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ño 2019\LEY 1712\EJECUCION PRESUPUESTAL HISTORICA ANUAL\2015\Gasto\"/>
    </mc:Choice>
  </mc:AlternateContent>
  <bookViews>
    <workbookView xWindow="0" yWindow="0" windowWidth="24000" windowHeight="9435"/>
  </bookViews>
  <sheets>
    <sheet name="Anexo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hidden="1">#REF!</definedName>
    <definedName name="ANEXO" hidden="1">'[7]Inversión total en programas'!$A$50:$IV$50,'[7]Inversión total en programas'!$A$60:$IV$63</definedName>
    <definedName name="_xlnm.Print_Area" localSheetId="0">'Anexo 2 '!$A$1:$M$202</definedName>
    <definedName name="_xlnm.Print_Area">#REF!</definedName>
    <definedName name="ASISCALLCENTER">#REF!</definedName>
    <definedName name="ASISCONTABPPC">#REF!</definedName>
    <definedName name="ASISDESPACHOS">#REF!</definedName>
    <definedName name="ASISICA">#REF!</definedName>
    <definedName name="AUXBODEGA">#REF!</definedName>
    <definedName name="cabezas">'[9]Anexo 1 Minagricultura'!#REF!</definedName>
    <definedName name="CABEZAS_PROYEC">'[1]Anexo 1 Minagricultura'!#REF!</definedName>
    <definedName name="CUOTAPPC2005">'[1]Anexo 1 Minagricultura'!#REF!</definedName>
    <definedName name="CUOTAPPC2013">'[1]Anexo 1 Minagricultura'!#REF!</definedName>
    <definedName name="CUOTAPPC203">'[1]Anexo 1 Minagricultura'!#REF!</definedName>
    <definedName name="DIAG_PPC">#REF!</definedName>
    <definedName name="DISTRIBUIDOR">#REF!</definedName>
    <definedName name="Dólar">#REF!</definedName>
    <definedName name="eeeee">'[1]Ejecución ingresos 2014'!#REF!</definedName>
    <definedName name="EPPC">'[1]Anexo 1 Minagricultura'!#REF!</definedName>
    <definedName name="Euro">#REF!</definedName>
    <definedName name="FDGFDG">#REF!</definedName>
    <definedName name="FECHA_DE_RECIBIDO">[10]BASE!$E$3:$E$177</definedName>
    <definedName name="FOMENTO">'[1]Anexo 1 Minagricultura'!#REF!</definedName>
    <definedName name="FOMENTOS">'[13]Anexo 1 Minagricultura'!$C$51</definedName>
    <definedName name="GTOSEPPC">#REF!</definedName>
    <definedName name="HONORAUDI_JURIDIC">#REF!</definedName>
    <definedName name="HONTOTAL">#REF!</definedName>
    <definedName name="Incremento">#REF!</definedName>
    <definedName name="Inflación">#REF!</definedName>
    <definedName name="LABORATORIOS">#REF!</definedName>
    <definedName name="NOMBDISTRI">#REF!</definedName>
    <definedName name="Pasajes">#REF!</definedName>
    <definedName name="ppc">'[14]Inversión total en programas'!$B$86</definedName>
    <definedName name="RESERV_FUTU">#REF!</definedName>
    <definedName name="saldo">'[1]Ejecución ingresos 2014'!#REF!</definedName>
    <definedName name="saldos">'[1]Ejecución ingresos 2014'!#REF!</definedName>
    <definedName name="SUPERA2004">'[1]Anexo 1 Minagricultura'!#REF!</definedName>
    <definedName name="SUPERA2005">'[1]Anexo 1 Minagricultura'!#REF!</definedName>
    <definedName name="SUPERA2010">'[14]Anexo 1 Minagricultura'!$C$21</definedName>
    <definedName name="SUPERA2012">'[1]Anexo 1 Minagricultura'!#REF!</definedName>
    <definedName name="SUPERAVIT">#REF!</definedName>
    <definedName name="SUPERAVIT2005_FNP">#REF!</definedName>
    <definedName name="SUPERAVITPPC_2005">#REF!</definedName>
    <definedName name="_xlnm.Print_Titles" localSheetId="0">'Anexo 2 '!$1:$7</definedName>
    <definedName name="_xlnm.Print_Titles">#REF!</definedName>
    <definedName name="VTAS2005">'[1]Anexo 1 Minagricultura'!$B$32</definedName>
    <definedName name="xx">[15]Ingresos!$C$19</definedName>
    <definedName name="Z_4099E833_BB74_4680_85C9_A6CF399D1CE2_.wvu.Cols" hidden="1">#REF!,#REF!,#REF!,#REF!</definedName>
    <definedName name="Z_4099E833_BB74_4680_85C9_A6CF399D1CE2_.wvu.FilterData" hidden="1">#REF!</definedName>
    <definedName name="Z_4099E833_BB74_4680_85C9_A6CF399D1CE2_.wvu.PrintArea" hidden="1">#REF!</definedName>
    <definedName name="Z_4099E833_BB74_4680_85C9_A6CF399D1CE2_.wvu.PrintTitles" hidden="1">#REF!</definedName>
    <definedName name="Z_4099E833_BB74_4680_85C9_A6CF399D1CE2_.wvu.Rows" hidden="1">#REF!,#REF!</definedName>
    <definedName name="ZFRONTERA">'[17]Ingresos 2014'!#REF!</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7" i="1" l="1"/>
  <c r="I206" i="1"/>
  <c r="M199" i="1"/>
  <c r="J199" i="1"/>
  <c r="L199" i="1" s="1"/>
  <c r="H199" i="1"/>
  <c r="H198" i="1"/>
  <c r="J198" i="1" s="1"/>
  <c r="J197" i="1"/>
  <c r="L197" i="1" s="1"/>
  <c r="I197" i="1"/>
  <c r="H197" i="1"/>
  <c r="H195" i="1"/>
  <c r="J195" i="1" s="1"/>
  <c r="L193" i="1"/>
  <c r="I193" i="1"/>
  <c r="J193" i="1" s="1"/>
  <c r="M193" i="1" s="1"/>
  <c r="M192" i="1"/>
  <c r="J192" i="1"/>
  <c r="L192" i="1" s="1"/>
  <c r="I192" i="1"/>
  <c r="K191" i="1"/>
  <c r="I191" i="1"/>
  <c r="M189" i="1"/>
  <c r="L189" i="1"/>
  <c r="E189" i="1"/>
  <c r="H189" i="1" s="1"/>
  <c r="J189" i="1" s="1"/>
  <c r="E188" i="1"/>
  <c r="H188" i="1" s="1"/>
  <c r="J188" i="1" s="1"/>
  <c r="E187" i="1"/>
  <c r="H187" i="1" s="1"/>
  <c r="H186" i="1" s="1"/>
  <c r="H185" i="1" s="1"/>
  <c r="J185" i="1" s="1"/>
  <c r="K186" i="1"/>
  <c r="E186" i="1"/>
  <c r="E185" i="1" s="1"/>
  <c r="E40" i="1" s="1"/>
  <c r="K185" i="1"/>
  <c r="L183" i="1"/>
  <c r="D183" i="1"/>
  <c r="H183" i="1" s="1"/>
  <c r="J183" i="1" s="1"/>
  <c r="M183" i="1" s="1"/>
  <c r="D182" i="1"/>
  <c r="H182" i="1" s="1"/>
  <c r="J182" i="1" s="1"/>
  <c r="D181" i="1"/>
  <c r="H181" i="1" s="1"/>
  <c r="J181" i="1" s="1"/>
  <c r="D180" i="1"/>
  <c r="H180" i="1" s="1"/>
  <c r="J180" i="1" s="1"/>
  <c r="J179" i="1"/>
  <c r="M179" i="1" s="1"/>
  <c r="H179" i="1"/>
  <c r="D179" i="1"/>
  <c r="D178" i="1"/>
  <c r="H178" i="1" s="1"/>
  <c r="J178" i="1" s="1"/>
  <c r="M177" i="1"/>
  <c r="H177" i="1"/>
  <c r="J177" i="1" s="1"/>
  <c r="L177" i="1" s="1"/>
  <c r="D177" i="1"/>
  <c r="D176" i="1"/>
  <c r="H176" i="1" s="1"/>
  <c r="J176" i="1" s="1"/>
  <c r="K175" i="1"/>
  <c r="M174" i="1"/>
  <c r="H174" i="1"/>
  <c r="J174" i="1" s="1"/>
  <c r="L174" i="1" s="1"/>
  <c r="D174" i="1"/>
  <c r="H173" i="1"/>
  <c r="J173" i="1" s="1"/>
  <c r="D173" i="1"/>
  <c r="D172" i="1"/>
  <c r="K171" i="1"/>
  <c r="D169" i="1"/>
  <c r="H169" i="1" s="1"/>
  <c r="J169" i="1" s="1"/>
  <c r="M168" i="1"/>
  <c r="L168" i="1"/>
  <c r="H168" i="1"/>
  <c r="J168" i="1" s="1"/>
  <c r="D167" i="1"/>
  <c r="H167" i="1" s="1"/>
  <c r="J167" i="1" s="1"/>
  <c r="J166" i="1"/>
  <c r="D166" i="1"/>
  <c r="H166" i="1" s="1"/>
  <c r="M165" i="1"/>
  <c r="J165" i="1"/>
  <c r="L165" i="1" s="1"/>
  <c r="H165" i="1"/>
  <c r="D165" i="1"/>
  <c r="H164" i="1"/>
  <c r="K163" i="1"/>
  <c r="D162" i="1"/>
  <c r="H162" i="1" s="1"/>
  <c r="J162" i="1" s="1"/>
  <c r="D161" i="1"/>
  <c r="H161" i="1" s="1"/>
  <c r="J161" i="1" s="1"/>
  <c r="M161" i="1" s="1"/>
  <c r="D160" i="1"/>
  <c r="H160" i="1" s="1"/>
  <c r="J160" i="1" s="1"/>
  <c r="H159" i="1"/>
  <c r="D159" i="1"/>
  <c r="D157" i="1" s="1"/>
  <c r="M158" i="1"/>
  <c r="J158" i="1"/>
  <c r="L158" i="1" s="1"/>
  <c r="H158" i="1"/>
  <c r="K157" i="1"/>
  <c r="J155" i="1"/>
  <c r="L155" i="1" s="1"/>
  <c r="H155" i="1"/>
  <c r="J154" i="1"/>
  <c r="M154" i="1" s="1"/>
  <c r="H154" i="1"/>
  <c r="J153" i="1"/>
  <c r="L153" i="1" s="1"/>
  <c r="D153" i="1"/>
  <c r="H153" i="1" s="1"/>
  <c r="K152" i="1"/>
  <c r="J152" i="1"/>
  <c r="D152" i="1"/>
  <c r="C149" i="1"/>
  <c r="H149" i="1" s="1"/>
  <c r="J149" i="1" s="1"/>
  <c r="C148" i="1"/>
  <c r="H148" i="1" s="1"/>
  <c r="J148" i="1" s="1"/>
  <c r="M148" i="1" s="1"/>
  <c r="C147" i="1"/>
  <c r="C145" i="1" s="1"/>
  <c r="H145" i="1" s="1"/>
  <c r="J146" i="1"/>
  <c r="C146" i="1"/>
  <c r="H146" i="1" s="1"/>
  <c r="K145" i="1"/>
  <c r="C144" i="1"/>
  <c r="H144" i="1" s="1"/>
  <c r="J144" i="1" s="1"/>
  <c r="J143" i="1"/>
  <c r="L143" i="1" s="1"/>
  <c r="H143" i="1"/>
  <c r="C142" i="1"/>
  <c r="H142" i="1" s="1"/>
  <c r="J142" i="1" s="1"/>
  <c r="L141" i="1"/>
  <c r="C141" i="1"/>
  <c r="H141" i="1" s="1"/>
  <c r="J141" i="1" s="1"/>
  <c r="M141" i="1" s="1"/>
  <c r="C140" i="1"/>
  <c r="H140" i="1" s="1"/>
  <c r="J140" i="1" s="1"/>
  <c r="C139" i="1"/>
  <c r="J138" i="1"/>
  <c r="L138" i="1" s="1"/>
  <c r="H138" i="1"/>
  <c r="K137" i="1"/>
  <c r="M136" i="1"/>
  <c r="H136" i="1"/>
  <c r="J136" i="1" s="1"/>
  <c r="L136" i="1" s="1"/>
  <c r="C135" i="1"/>
  <c r="H135" i="1" s="1"/>
  <c r="J135" i="1" s="1"/>
  <c r="L135" i="1" s="1"/>
  <c r="C134" i="1"/>
  <c r="H134" i="1" s="1"/>
  <c r="J134" i="1" s="1"/>
  <c r="J133" i="1"/>
  <c r="H133" i="1"/>
  <c r="C132" i="1"/>
  <c r="L131" i="1"/>
  <c r="H131" i="1"/>
  <c r="J131" i="1" s="1"/>
  <c r="M131" i="1" s="1"/>
  <c r="K130" i="1"/>
  <c r="K129" i="1"/>
  <c r="G127" i="1"/>
  <c r="H127" i="1" s="1"/>
  <c r="J127" i="1" s="1"/>
  <c r="M127" i="1" s="1"/>
  <c r="G126" i="1"/>
  <c r="H126" i="1" s="1"/>
  <c r="J126" i="1" s="1"/>
  <c r="M126" i="1" s="1"/>
  <c r="H125" i="1"/>
  <c r="G125" i="1"/>
  <c r="K124" i="1"/>
  <c r="G124" i="1"/>
  <c r="M123" i="1"/>
  <c r="L123" i="1"/>
  <c r="G123" i="1"/>
  <c r="H123" i="1" s="1"/>
  <c r="J123" i="1" s="1"/>
  <c r="G122" i="1"/>
  <c r="H122" i="1" s="1"/>
  <c r="K121" i="1"/>
  <c r="G121" i="1"/>
  <c r="G120" i="1"/>
  <c r="H120" i="1" s="1"/>
  <c r="J120" i="1" s="1"/>
  <c r="M120" i="1" s="1"/>
  <c r="H119" i="1"/>
  <c r="J119" i="1" s="1"/>
  <c r="G119" i="1"/>
  <c r="M118" i="1"/>
  <c r="J118" i="1"/>
  <c r="L118" i="1" s="1"/>
  <c r="H118" i="1"/>
  <c r="G117" i="1"/>
  <c r="H117" i="1" s="1"/>
  <c r="J117" i="1" s="1"/>
  <c r="G116" i="1"/>
  <c r="L115" i="1"/>
  <c r="G115" i="1"/>
  <c r="H115" i="1" s="1"/>
  <c r="J115" i="1" s="1"/>
  <c r="M115" i="1" s="1"/>
  <c r="K114" i="1"/>
  <c r="G113" i="1"/>
  <c r="H113" i="1" s="1"/>
  <c r="J113" i="1" s="1"/>
  <c r="G112" i="1"/>
  <c r="K111" i="1"/>
  <c r="G110" i="1"/>
  <c r="H110" i="1" s="1"/>
  <c r="J110" i="1" s="1"/>
  <c r="M110" i="1" s="1"/>
  <c r="G109" i="1"/>
  <c r="H108" i="1"/>
  <c r="J108" i="1" s="1"/>
  <c r="G108" i="1"/>
  <c r="J107" i="1"/>
  <c r="G107" i="1"/>
  <c r="H107" i="1" s="1"/>
  <c r="K106" i="1"/>
  <c r="L103" i="1"/>
  <c r="F103" i="1"/>
  <c r="H103" i="1" s="1"/>
  <c r="J103" i="1" s="1"/>
  <c r="M103" i="1" s="1"/>
  <c r="F102" i="1"/>
  <c r="K101" i="1"/>
  <c r="L100" i="1"/>
  <c r="H100" i="1"/>
  <c r="J100" i="1" s="1"/>
  <c r="M100" i="1" s="1"/>
  <c r="H99" i="1"/>
  <c r="F99" i="1"/>
  <c r="K98" i="1"/>
  <c r="F98" i="1"/>
  <c r="M97" i="1"/>
  <c r="J97" i="1"/>
  <c r="L97" i="1" s="1"/>
  <c r="H97" i="1"/>
  <c r="H96" i="1"/>
  <c r="J96" i="1" s="1"/>
  <c r="M95" i="1"/>
  <c r="J95" i="1"/>
  <c r="L95" i="1" s="1"/>
  <c r="F95" i="1"/>
  <c r="H95" i="1" s="1"/>
  <c r="M94" i="1"/>
  <c r="J94" i="1"/>
  <c r="L94" i="1" s="1"/>
  <c r="H94" i="1"/>
  <c r="F94" i="1"/>
  <c r="J93" i="1"/>
  <c r="M93" i="1" s="1"/>
  <c r="H93" i="1"/>
  <c r="H92" i="1" s="1"/>
  <c r="F93" i="1"/>
  <c r="K92" i="1"/>
  <c r="F92" i="1"/>
  <c r="J91" i="1"/>
  <c r="M91" i="1" s="1"/>
  <c r="H91" i="1"/>
  <c r="F90" i="1"/>
  <c r="H90" i="1" s="1"/>
  <c r="J90" i="1" s="1"/>
  <c r="M90" i="1" s="1"/>
  <c r="F89" i="1"/>
  <c r="H89" i="1" s="1"/>
  <c r="J89" i="1" s="1"/>
  <c r="J88" i="1"/>
  <c r="H88" i="1"/>
  <c r="H87" i="1"/>
  <c r="J87" i="1" s="1"/>
  <c r="M87" i="1" s="1"/>
  <c r="F87" i="1"/>
  <c r="J86" i="1"/>
  <c r="F86" i="1"/>
  <c r="H86" i="1" s="1"/>
  <c r="H85" i="1"/>
  <c r="J85" i="1" s="1"/>
  <c r="M85" i="1" s="1"/>
  <c r="F85" i="1"/>
  <c r="M84" i="1"/>
  <c r="J84" i="1"/>
  <c r="L84" i="1" s="1"/>
  <c r="F84" i="1"/>
  <c r="H84" i="1" s="1"/>
  <c r="F83" i="1"/>
  <c r="K82" i="1"/>
  <c r="F81" i="1"/>
  <c r="H81" i="1" s="1"/>
  <c r="J81" i="1" s="1"/>
  <c r="H80" i="1"/>
  <c r="J80" i="1" s="1"/>
  <c r="M80" i="1" s="1"/>
  <c r="F80" i="1"/>
  <c r="J79" i="1"/>
  <c r="H79" i="1"/>
  <c r="H78" i="1"/>
  <c r="J78" i="1" s="1"/>
  <c r="F77" i="1"/>
  <c r="K76" i="1"/>
  <c r="B73" i="1"/>
  <c r="H73" i="1" s="1"/>
  <c r="J73" i="1" s="1"/>
  <c r="M73" i="1" s="1"/>
  <c r="B72" i="1"/>
  <c r="K71" i="1"/>
  <c r="B70" i="1"/>
  <c r="H70" i="1" s="1"/>
  <c r="J70" i="1" s="1"/>
  <c r="M69" i="1"/>
  <c r="L69" i="1"/>
  <c r="J69" i="1"/>
  <c r="H69" i="1"/>
  <c r="B68" i="1"/>
  <c r="M67" i="1"/>
  <c r="L67" i="1"/>
  <c r="H67" i="1"/>
  <c r="J67" i="1" s="1"/>
  <c r="B67" i="1"/>
  <c r="K66" i="1"/>
  <c r="H65" i="1"/>
  <c r="J65" i="1" s="1"/>
  <c r="B64" i="1"/>
  <c r="H64" i="1" s="1"/>
  <c r="H62" i="1" s="1"/>
  <c r="B63" i="1"/>
  <c r="H63" i="1" s="1"/>
  <c r="J63" i="1" s="1"/>
  <c r="K62" i="1"/>
  <c r="M61" i="1"/>
  <c r="L61" i="1"/>
  <c r="J61" i="1"/>
  <c r="H61" i="1"/>
  <c r="H60" i="1"/>
  <c r="J60" i="1" s="1"/>
  <c r="B60" i="1"/>
  <c r="B58" i="1" s="1"/>
  <c r="M59" i="1"/>
  <c r="L59" i="1"/>
  <c r="H59" i="1"/>
  <c r="J59" i="1" s="1"/>
  <c r="B59" i="1"/>
  <c r="K58" i="1"/>
  <c r="H58" i="1"/>
  <c r="H57" i="1"/>
  <c r="J57" i="1" s="1"/>
  <c r="L57" i="1" s="1"/>
  <c r="B57" i="1"/>
  <c r="H56" i="1"/>
  <c r="J56" i="1" s="1"/>
  <c r="M56" i="1" s="1"/>
  <c r="B56" i="1"/>
  <c r="J55" i="1"/>
  <c r="L55" i="1" s="1"/>
  <c r="B55" i="1"/>
  <c r="H55" i="1" s="1"/>
  <c r="H54" i="1"/>
  <c r="J54" i="1" s="1"/>
  <c r="B54" i="1"/>
  <c r="B53" i="1" s="1"/>
  <c r="H53" i="1" s="1"/>
  <c r="J53" i="1" s="1"/>
  <c r="K53" i="1"/>
  <c r="L53" i="1" s="1"/>
  <c r="B52" i="1"/>
  <c r="H52" i="1" s="1"/>
  <c r="J52" i="1" s="1"/>
  <c r="H51" i="1"/>
  <c r="J51" i="1" s="1"/>
  <c r="K50" i="1"/>
  <c r="B50" i="1"/>
  <c r="B48" i="1"/>
  <c r="H46" i="1"/>
  <c r="J46" i="1" s="1"/>
  <c r="M46" i="1" s="1"/>
  <c r="B46" i="1"/>
  <c r="J45" i="1"/>
  <c r="M45" i="1" s="1"/>
  <c r="H45" i="1"/>
  <c r="B45" i="1"/>
  <c r="B44" i="1"/>
  <c r="K43" i="1"/>
  <c r="K38" i="1"/>
  <c r="K37" i="1"/>
  <c r="I36" i="1"/>
  <c r="J36" i="1" s="1"/>
  <c r="H36" i="1"/>
  <c r="I35" i="1"/>
  <c r="H35" i="1"/>
  <c r="I34" i="1"/>
  <c r="G34" i="1"/>
  <c r="F34" i="1"/>
  <c r="B34" i="1"/>
  <c r="H34" i="1" s="1"/>
  <c r="J34" i="1" s="1"/>
  <c r="I33" i="1"/>
  <c r="G33" i="1"/>
  <c r="F33" i="1"/>
  <c r="D33" i="1"/>
  <c r="C33" i="1"/>
  <c r="B33" i="1"/>
  <c r="L32" i="1"/>
  <c r="I32" i="1"/>
  <c r="H32" i="1"/>
  <c r="J32" i="1" s="1"/>
  <c r="M32" i="1" s="1"/>
  <c r="I31" i="1"/>
  <c r="H31" i="1"/>
  <c r="J31" i="1" s="1"/>
  <c r="G31" i="1"/>
  <c r="F31" i="1"/>
  <c r="D31" i="1"/>
  <c r="C31" i="1"/>
  <c r="B31" i="1"/>
  <c r="I30" i="1"/>
  <c r="G30" i="1"/>
  <c r="H30" i="1" s="1"/>
  <c r="J30" i="1" s="1"/>
  <c r="I29" i="1"/>
  <c r="H29" i="1"/>
  <c r="J29" i="1" s="1"/>
  <c r="G29" i="1"/>
  <c r="E29" i="1"/>
  <c r="D29" i="1"/>
  <c r="C29" i="1"/>
  <c r="B29" i="1"/>
  <c r="I28" i="1"/>
  <c r="G28" i="1"/>
  <c r="F28" i="1"/>
  <c r="F37" i="1" s="1"/>
  <c r="E28" i="1"/>
  <c r="D28" i="1"/>
  <c r="C28" i="1"/>
  <c r="B28" i="1"/>
  <c r="I27" i="1"/>
  <c r="I37" i="1" s="1"/>
  <c r="H27" i="1"/>
  <c r="J27" i="1" s="1"/>
  <c r="I26" i="1"/>
  <c r="G26" i="1"/>
  <c r="F26" i="1"/>
  <c r="E26" i="1"/>
  <c r="D26" i="1"/>
  <c r="C26" i="1"/>
  <c r="B26" i="1"/>
  <c r="J25" i="1"/>
  <c r="I25" i="1"/>
  <c r="G25" i="1"/>
  <c r="F25" i="1"/>
  <c r="E25" i="1"/>
  <c r="D25" i="1"/>
  <c r="C25" i="1"/>
  <c r="B25" i="1"/>
  <c r="H25" i="1" s="1"/>
  <c r="I24" i="1"/>
  <c r="H24" i="1"/>
  <c r="J24" i="1" s="1"/>
  <c r="G24" i="1"/>
  <c r="I23" i="1"/>
  <c r="G23" i="1"/>
  <c r="E23" i="1"/>
  <c r="D23" i="1"/>
  <c r="C23" i="1"/>
  <c r="B23" i="1"/>
  <c r="H23" i="1" s="1"/>
  <c r="J23" i="1" s="1"/>
  <c r="I22" i="1"/>
  <c r="G22" i="1"/>
  <c r="F22" i="1"/>
  <c r="D22" i="1"/>
  <c r="C22" i="1"/>
  <c r="B22" i="1"/>
  <c r="K20" i="1"/>
  <c r="I19" i="1"/>
  <c r="G19" i="1"/>
  <c r="F19" i="1"/>
  <c r="H19" i="1" s="1"/>
  <c r="J19" i="1" s="1"/>
  <c r="E19" i="1"/>
  <c r="D19" i="1"/>
  <c r="C19" i="1"/>
  <c r="B19" i="1"/>
  <c r="I18" i="1"/>
  <c r="G18" i="1"/>
  <c r="F18" i="1"/>
  <c r="E18" i="1"/>
  <c r="D18" i="1"/>
  <c r="C18" i="1"/>
  <c r="B18" i="1"/>
  <c r="I17" i="1"/>
  <c r="H17" i="1"/>
  <c r="J17" i="1" s="1"/>
  <c r="G17" i="1"/>
  <c r="F17" i="1"/>
  <c r="E17" i="1"/>
  <c r="D17" i="1"/>
  <c r="C17" i="1"/>
  <c r="B17" i="1"/>
  <c r="I16" i="1"/>
  <c r="I9" i="1" s="1"/>
  <c r="G16" i="1"/>
  <c r="F16" i="1"/>
  <c r="E16" i="1"/>
  <c r="D16" i="1"/>
  <c r="C16" i="1"/>
  <c r="B16" i="1"/>
  <c r="H16" i="1" s="1"/>
  <c r="J16" i="1" s="1"/>
  <c r="I15" i="1"/>
  <c r="G15" i="1"/>
  <c r="F15" i="1"/>
  <c r="E15" i="1"/>
  <c r="D15" i="1"/>
  <c r="C15" i="1"/>
  <c r="B15" i="1"/>
  <c r="J14" i="1"/>
  <c r="I14" i="1"/>
  <c r="G14" i="1"/>
  <c r="F14" i="1"/>
  <c r="D14" i="1"/>
  <c r="H14" i="1" s="1"/>
  <c r="C14" i="1"/>
  <c r="B14" i="1"/>
  <c r="I13" i="1"/>
  <c r="B13" i="1"/>
  <c r="H13" i="1" s="1"/>
  <c r="J13" i="1" s="1"/>
  <c r="L13" i="1" s="1"/>
  <c r="I12" i="1"/>
  <c r="G12" i="1"/>
  <c r="G20" i="1" s="1"/>
  <c r="F12" i="1"/>
  <c r="E12" i="1"/>
  <c r="D12" i="1"/>
  <c r="C12" i="1"/>
  <c r="B12" i="1"/>
  <c r="H12" i="1" s="1"/>
  <c r="J12" i="1" s="1"/>
  <c r="I11" i="1"/>
  <c r="G11" i="1"/>
  <c r="F11" i="1"/>
  <c r="E11" i="1"/>
  <c r="D11" i="1"/>
  <c r="D9" i="1" s="1"/>
  <c r="C11" i="1"/>
  <c r="B11" i="1"/>
  <c r="I10" i="1"/>
  <c r="G10" i="1"/>
  <c r="F10" i="1"/>
  <c r="E10" i="1"/>
  <c r="D10" i="1"/>
  <c r="C10" i="1"/>
  <c r="H10" i="1" s="1"/>
  <c r="B10" i="1"/>
  <c r="K9" i="1"/>
  <c r="G9" i="1"/>
  <c r="M16" i="1" l="1"/>
  <c r="L16" i="1"/>
  <c r="M89" i="1"/>
  <c r="L89" i="1"/>
  <c r="M12" i="1"/>
  <c r="L12" i="1"/>
  <c r="M142" i="1"/>
  <c r="L142" i="1"/>
  <c r="M31" i="1"/>
  <c r="L31" i="1"/>
  <c r="M181" i="1"/>
  <c r="L181" i="1"/>
  <c r="M23" i="1"/>
  <c r="L23" i="1"/>
  <c r="L30" i="1"/>
  <c r="M30" i="1"/>
  <c r="M134" i="1"/>
  <c r="L134" i="1"/>
  <c r="M70" i="1"/>
  <c r="L70" i="1"/>
  <c r="M88" i="1"/>
  <c r="L88" i="1"/>
  <c r="H112" i="1"/>
  <c r="G111" i="1"/>
  <c r="L146" i="1"/>
  <c r="D20" i="1"/>
  <c r="M19" i="1"/>
  <c r="L19" i="1"/>
  <c r="M24" i="1"/>
  <c r="L24" i="1"/>
  <c r="L45" i="1"/>
  <c r="J64" i="1"/>
  <c r="M78" i="1"/>
  <c r="L78" i="1"/>
  <c r="H102" i="1"/>
  <c r="F101" i="1"/>
  <c r="M113" i="1"/>
  <c r="L113" i="1"/>
  <c r="C130" i="1"/>
  <c r="H132" i="1"/>
  <c r="J132" i="1" s="1"/>
  <c r="M146" i="1"/>
  <c r="L166" i="1"/>
  <c r="M166" i="1"/>
  <c r="C9" i="1"/>
  <c r="E9" i="1"/>
  <c r="M14" i="1"/>
  <c r="L14" i="1"/>
  <c r="C37" i="1"/>
  <c r="C38" i="1" s="1"/>
  <c r="H22" i="1"/>
  <c r="M25" i="1"/>
  <c r="L25" i="1"/>
  <c r="M29" i="1"/>
  <c r="L29" i="1"/>
  <c r="M34" i="1"/>
  <c r="L34" i="1"/>
  <c r="M36" i="1"/>
  <c r="L36" i="1"/>
  <c r="K49" i="1"/>
  <c r="L65" i="1"/>
  <c r="M65" i="1"/>
  <c r="F82" i="1"/>
  <c r="L85" i="1"/>
  <c r="L126" i="1"/>
  <c r="M167" i="1"/>
  <c r="L167" i="1"/>
  <c r="M173" i="1"/>
  <c r="L173" i="1"/>
  <c r="F9" i="1"/>
  <c r="M13" i="1"/>
  <c r="H15" i="1"/>
  <c r="J15" i="1" s="1"/>
  <c r="D37" i="1"/>
  <c r="H26" i="1"/>
  <c r="J26" i="1" s="1"/>
  <c r="H33" i="1"/>
  <c r="J33" i="1" s="1"/>
  <c r="M51" i="1"/>
  <c r="L51" i="1"/>
  <c r="L73" i="1"/>
  <c r="H83" i="1"/>
  <c r="M108" i="1"/>
  <c r="L108" i="1"/>
  <c r="D156" i="1"/>
  <c r="J164" i="1"/>
  <c r="H163" i="1"/>
  <c r="L182" i="1"/>
  <c r="M182" i="1"/>
  <c r="J10" i="1"/>
  <c r="M54" i="1"/>
  <c r="L54" i="1"/>
  <c r="G37" i="1"/>
  <c r="G38" i="1" s="1"/>
  <c r="B62" i="1"/>
  <c r="H98" i="1"/>
  <c r="J99" i="1"/>
  <c r="M119" i="1"/>
  <c r="L119" i="1"/>
  <c r="L56" i="1"/>
  <c r="C137" i="1"/>
  <c r="H137" i="1" s="1"/>
  <c r="H139" i="1"/>
  <c r="J139" i="1" s="1"/>
  <c r="L195" i="1"/>
  <c r="M195" i="1"/>
  <c r="B9" i="1"/>
  <c r="H11" i="1"/>
  <c r="J11" i="1" s="1"/>
  <c r="F20" i="1"/>
  <c r="F38" i="1" s="1"/>
  <c r="M53" i="1"/>
  <c r="M63" i="1"/>
  <c r="L80" i="1"/>
  <c r="L91" i="1"/>
  <c r="L120" i="1"/>
  <c r="H175" i="1"/>
  <c r="M185" i="1"/>
  <c r="L185" i="1"/>
  <c r="J191" i="1"/>
  <c r="H50" i="1"/>
  <c r="J50" i="1" s="1"/>
  <c r="M50" i="1" s="1"/>
  <c r="B49" i="1"/>
  <c r="H49" i="1" s="1"/>
  <c r="J49" i="1" s="1"/>
  <c r="H77" i="1"/>
  <c r="F76" i="1"/>
  <c r="L17" i="1"/>
  <c r="M17" i="1"/>
  <c r="C20" i="1"/>
  <c r="M27" i="1"/>
  <c r="L27" i="1"/>
  <c r="M52" i="1"/>
  <c r="L52" i="1"/>
  <c r="L86" i="1"/>
  <c r="M86" i="1"/>
  <c r="L93" i="1"/>
  <c r="J92" i="1"/>
  <c r="H109" i="1"/>
  <c r="J109" i="1" s="1"/>
  <c r="G106" i="1"/>
  <c r="G105" i="1" s="1"/>
  <c r="G40" i="1" s="1"/>
  <c r="J159" i="1"/>
  <c r="H157" i="1"/>
  <c r="L178" i="1"/>
  <c r="M178" i="1"/>
  <c r="E20" i="1"/>
  <c r="M96" i="1"/>
  <c r="L96" i="1"/>
  <c r="H116" i="1"/>
  <c r="G114" i="1"/>
  <c r="M144" i="1"/>
  <c r="L144" i="1"/>
  <c r="H48" i="1"/>
  <c r="L63" i="1"/>
  <c r="M81" i="1"/>
  <c r="L81" i="1"/>
  <c r="K105" i="1"/>
  <c r="M135" i="1"/>
  <c r="L152" i="1"/>
  <c r="M152" i="1"/>
  <c r="K151" i="1"/>
  <c r="K170" i="1"/>
  <c r="M117" i="1"/>
  <c r="L117" i="1"/>
  <c r="M160" i="1"/>
  <c r="L160" i="1"/>
  <c r="E37" i="1"/>
  <c r="B66" i="1"/>
  <c r="M176" i="1"/>
  <c r="J175" i="1"/>
  <c r="L176" i="1"/>
  <c r="J187" i="1"/>
  <c r="H18" i="1"/>
  <c r="J18" i="1" s="1"/>
  <c r="H28" i="1"/>
  <c r="J28" i="1" s="1"/>
  <c r="B43" i="1"/>
  <c r="H44" i="1"/>
  <c r="L46" i="1"/>
  <c r="M57" i="1"/>
  <c r="H68" i="1"/>
  <c r="H124" i="1"/>
  <c r="J125" i="1"/>
  <c r="L133" i="1"/>
  <c r="M133" i="1"/>
  <c r="L140" i="1"/>
  <c r="M140" i="1"/>
  <c r="L148" i="1"/>
  <c r="L161" i="1"/>
  <c r="L169" i="1"/>
  <c r="M169" i="1"/>
  <c r="L179" i="1"/>
  <c r="M197" i="1"/>
  <c r="I20" i="1"/>
  <c r="I38" i="1" s="1"/>
  <c r="I201" i="1" s="1"/>
  <c r="L60" i="1"/>
  <c r="M60" i="1"/>
  <c r="L107" i="1"/>
  <c r="M107" i="1"/>
  <c r="H121" i="1"/>
  <c r="J122" i="1"/>
  <c r="M162" i="1"/>
  <c r="L162" i="1"/>
  <c r="M188" i="1"/>
  <c r="L188" i="1"/>
  <c r="M198" i="1"/>
  <c r="L198" i="1"/>
  <c r="B20" i="1"/>
  <c r="B37" i="1"/>
  <c r="B38" i="1" s="1"/>
  <c r="J35" i="1"/>
  <c r="M55" i="1"/>
  <c r="J58" i="1"/>
  <c r="L58" i="1" s="1"/>
  <c r="H72" i="1"/>
  <c r="B71" i="1"/>
  <c r="K75" i="1"/>
  <c r="L79" i="1"/>
  <c r="M79" i="1"/>
  <c r="L87" i="1"/>
  <c r="L90" i="1"/>
  <c r="M149" i="1"/>
  <c r="L149" i="1"/>
  <c r="L154" i="1"/>
  <c r="L180" i="1"/>
  <c r="M180" i="1"/>
  <c r="M138" i="1"/>
  <c r="M143" i="1"/>
  <c r="M153" i="1"/>
  <c r="D175" i="1"/>
  <c r="I208" i="1"/>
  <c r="H147" i="1"/>
  <c r="J147" i="1" s="1"/>
  <c r="J145" i="1" s="1"/>
  <c r="K156" i="1"/>
  <c r="D163" i="1"/>
  <c r="L110" i="1"/>
  <c r="L127" i="1"/>
  <c r="H152" i="1"/>
  <c r="M155" i="1"/>
  <c r="D171" i="1"/>
  <c r="D170" i="1" s="1"/>
  <c r="D151" i="1" s="1"/>
  <c r="D40" i="1" s="1"/>
  <c r="H172" i="1"/>
  <c r="M145" i="1" l="1"/>
  <c r="L145" i="1"/>
  <c r="J116" i="1"/>
  <c r="H114" i="1"/>
  <c r="L15" i="1"/>
  <c r="M15" i="1"/>
  <c r="J172" i="1"/>
  <c r="H171" i="1"/>
  <c r="H170" i="1" s="1"/>
  <c r="H130" i="1"/>
  <c r="H129" i="1" s="1"/>
  <c r="J129" i="1" s="1"/>
  <c r="C129" i="1"/>
  <c r="C40" i="1" s="1"/>
  <c r="C201" i="1" s="1"/>
  <c r="L35" i="1"/>
  <c r="M35" i="1"/>
  <c r="L28" i="1"/>
  <c r="M28" i="1"/>
  <c r="J48" i="1"/>
  <c r="H47" i="1"/>
  <c r="M139" i="1"/>
  <c r="L139" i="1"/>
  <c r="J137" i="1"/>
  <c r="L164" i="1"/>
  <c r="J163" i="1"/>
  <c r="M164" i="1"/>
  <c r="M58" i="1"/>
  <c r="H20" i="1"/>
  <c r="M122" i="1"/>
  <c r="J121" i="1"/>
  <c r="L122" i="1"/>
  <c r="J68" i="1"/>
  <c r="H66" i="1"/>
  <c r="M18" i="1"/>
  <c r="L18" i="1"/>
  <c r="B47" i="1"/>
  <c r="B42" i="1" s="1"/>
  <c r="B40" i="1" s="1"/>
  <c r="L33" i="1"/>
  <c r="M33" i="1"/>
  <c r="M49" i="1"/>
  <c r="K47" i="1"/>
  <c r="L49" i="1"/>
  <c r="J112" i="1"/>
  <c r="H111" i="1"/>
  <c r="J22" i="1"/>
  <c r="H37" i="1"/>
  <c r="M175" i="1"/>
  <c r="L175" i="1"/>
  <c r="M109" i="1"/>
  <c r="L109" i="1"/>
  <c r="J106" i="1"/>
  <c r="M64" i="1"/>
  <c r="L64" i="1"/>
  <c r="H106" i="1"/>
  <c r="H105" i="1" s="1"/>
  <c r="M191" i="1"/>
  <c r="L191" i="1"/>
  <c r="H71" i="1"/>
  <c r="J72" i="1"/>
  <c r="H156" i="1"/>
  <c r="H151" i="1" s="1"/>
  <c r="J151" i="1" s="1"/>
  <c r="F75" i="1"/>
  <c r="F40" i="1" s="1"/>
  <c r="F201" i="1" s="1"/>
  <c r="H9" i="1"/>
  <c r="L26" i="1"/>
  <c r="M26" i="1"/>
  <c r="L50" i="1"/>
  <c r="J102" i="1"/>
  <c r="H101" i="1"/>
  <c r="M147" i="1"/>
  <c r="L147" i="1"/>
  <c r="J44" i="1"/>
  <c r="H43" i="1"/>
  <c r="J98" i="1"/>
  <c r="M99" i="1"/>
  <c r="L99" i="1"/>
  <c r="M132" i="1"/>
  <c r="L132" i="1"/>
  <c r="J130" i="1"/>
  <c r="M92" i="1"/>
  <c r="L92" i="1"/>
  <c r="J62" i="1"/>
  <c r="G201" i="1"/>
  <c r="H207" i="1" s="1"/>
  <c r="J207" i="1" s="1"/>
  <c r="M125" i="1"/>
  <c r="J124" i="1"/>
  <c r="L125" i="1"/>
  <c r="L187" i="1"/>
  <c r="J186" i="1"/>
  <c r="M187" i="1"/>
  <c r="E38" i="1"/>
  <c r="E201" i="1" s="1"/>
  <c r="M159" i="1"/>
  <c r="L159" i="1"/>
  <c r="J157" i="1"/>
  <c r="H76" i="1"/>
  <c r="H75" i="1" s="1"/>
  <c r="J75" i="1" s="1"/>
  <c r="M75" i="1" s="1"/>
  <c r="J77" i="1"/>
  <c r="M11" i="1"/>
  <c r="L11" i="1"/>
  <c r="J20" i="1"/>
  <c r="M10" i="1"/>
  <c r="L10" i="1"/>
  <c r="J9" i="1"/>
  <c r="H82" i="1"/>
  <c r="J83" i="1"/>
  <c r="D38" i="1"/>
  <c r="D201" i="1" s="1"/>
  <c r="H40" i="1" l="1"/>
  <c r="J40" i="1" s="1"/>
  <c r="B201" i="1"/>
  <c r="M151" i="1"/>
  <c r="L151" i="1"/>
  <c r="L62" i="1"/>
  <c r="M62" i="1"/>
  <c r="M72" i="1"/>
  <c r="L72" i="1"/>
  <c r="J71" i="1"/>
  <c r="M121" i="1"/>
  <c r="L121" i="1"/>
  <c r="J156" i="1"/>
  <c r="M157" i="1"/>
  <c r="L157" i="1"/>
  <c r="L124" i="1"/>
  <c r="M124" i="1"/>
  <c r="M130" i="1"/>
  <c r="L130" i="1"/>
  <c r="M106" i="1"/>
  <c r="L106" i="1"/>
  <c r="M112" i="1"/>
  <c r="L112" i="1"/>
  <c r="J111" i="1"/>
  <c r="J105" i="1" s="1"/>
  <c r="L129" i="1"/>
  <c r="M129" i="1"/>
  <c r="M116" i="1"/>
  <c r="L116" i="1"/>
  <c r="J114" i="1"/>
  <c r="M44" i="1"/>
  <c r="J43" i="1"/>
  <c r="L44" i="1"/>
  <c r="H38" i="1"/>
  <c r="L75" i="1"/>
  <c r="K42" i="1"/>
  <c r="J47" i="1"/>
  <c r="M47" i="1" s="1"/>
  <c r="M48" i="1"/>
  <c r="L48" i="1"/>
  <c r="M172" i="1"/>
  <c r="J171" i="1"/>
  <c r="L172" i="1"/>
  <c r="M83" i="1"/>
  <c r="J82" i="1"/>
  <c r="L83" i="1"/>
  <c r="M98" i="1"/>
  <c r="L98" i="1"/>
  <c r="H42" i="1"/>
  <c r="J42" i="1" s="1"/>
  <c r="M20" i="1"/>
  <c r="L20" i="1"/>
  <c r="M186" i="1"/>
  <c r="L186" i="1"/>
  <c r="L102" i="1"/>
  <c r="M102" i="1"/>
  <c r="J101" i="1"/>
  <c r="L77" i="1"/>
  <c r="M77" i="1"/>
  <c r="J76" i="1"/>
  <c r="J37" i="1"/>
  <c r="L22" i="1"/>
  <c r="M22" i="1"/>
  <c r="L137" i="1"/>
  <c r="M137" i="1"/>
  <c r="L9" i="1"/>
  <c r="M9" i="1"/>
  <c r="L68" i="1"/>
  <c r="M68" i="1"/>
  <c r="J66" i="1"/>
  <c r="M163" i="1"/>
  <c r="L163" i="1"/>
  <c r="M105" i="1" l="1"/>
  <c r="L105" i="1"/>
  <c r="L43" i="1"/>
  <c r="M43" i="1"/>
  <c r="L66" i="1"/>
  <c r="M66" i="1"/>
  <c r="M82" i="1"/>
  <c r="L82" i="1"/>
  <c r="M42" i="1"/>
  <c r="K40" i="1"/>
  <c r="L42" i="1"/>
  <c r="M114" i="1"/>
  <c r="L114" i="1"/>
  <c r="M37" i="1"/>
  <c r="L37" i="1"/>
  <c r="J38" i="1"/>
  <c r="L47" i="1"/>
  <c r="L156" i="1"/>
  <c r="M156" i="1"/>
  <c r="M76" i="1"/>
  <c r="L76" i="1"/>
  <c r="J170" i="1"/>
  <c r="M171" i="1"/>
  <c r="L171" i="1"/>
  <c r="H206" i="1"/>
  <c r="H201" i="1"/>
  <c r="J201" i="1" s="1"/>
  <c r="M101" i="1"/>
  <c r="L101" i="1"/>
  <c r="M111" i="1"/>
  <c r="L111" i="1"/>
  <c r="L71" i="1"/>
  <c r="M71" i="1"/>
  <c r="L38" i="1" l="1"/>
  <c r="M38" i="1"/>
  <c r="L170" i="1"/>
  <c r="M170" i="1"/>
  <c r="L40" i="1"/>
  <c r="K201" i="1"/>
  <c r="M40" i="1"/>
  <c r="H208" i="1"/>
  <c r="J206" i="1"/>
  <c r="J208" i="1" s="1"/>
  <c r="M201" i="1" l="1"/>
  <c r="L201" i="1"/>
</calcChain>
</file>

<file path=xl/comments1.xml><?xml version="1.0" encoding="utf-8"?>
<comments xmlns="http://schemas.openxmlformats.org/spreadsheetml/2006/main">
  <authors>
    <author>Oscar Rubio</author>
  </authors>
  <commentList>
    <comment ref="M13" authorId="0" shapeId="0">
      <text>
        <r>
          <rPr>
            <sz val="8"/>
            <color indexed="81"/>
            <rFont val="Tahoma"/>
            <family val="2"/>
          </rPr>
          <t>Inicialmente se tenia contemplado honorarios de un ing de sistemas para el acompañamiento de pruebas del sistema nacional de recaudo, sin embargo se efectuo el acompañamiento del outsorsing de sistemas, optimizando el recurso</t>
        </r>
      </text>
    </comment>
    <comment ref="M29" authorId="0" shapeId="0">
      <text>
        <r>
          <rPr>
            <sz val="8"/>
            <color indexed="81"/>
            <rFont val="Tahoma"/>
            <family val="2"/>
          </rPr>
          <t>Se optimizo el recurso en el pago de las diferentes polizas en los convenios</t>
        </r>
      </text>
    </comment>
    <comment ref="M71" authorId="0" shapeId="0">
      <text>
        <r>
          <rPr>
            <sz val="8"/>
            <color indexed="81"/>
            <rFont val="Tahoma"/>
            <family val="2"/>
          </rPr>
          <t xml:space="preserve">No se han programado los pilotos de rotulado y trazabilidad de carne por parte del MinSalud en los departamentos de Antioquia, Valle del Cauca y Bogotá"
</t>
        </r>
      </text>
    </comment>
    <comment ref="M101" authorId="0" shapeId="0">
      <text>
        <r>
          <rPr>
            <sz val="8"/>
            <color indexed="81"/>
            <rFont val="Tahoma"/>
            <family val="2"/>
          </rPr>
          <t>El evento de carne de cerdo que se realizaria eb Cali, se cancelo por no contar con las condiciones esperadas y se realizara en el III trimestre del año</t>
        </r>
      </text>
    </comment>
    <comment ref="M114" authorId="0" shapeId="0">
      <text>
        <r>
          <rPr>
            <sz val="8"/>
            <color indexed="81"/>
            <rFont val="Tahoma"/>
            <family val="2"/>
          </rPr>
          <t xml:space="preserve">No  ejecutaran $428.000.000 destinados para dotación de laboratorio del ICA de Cúcuta debido a que estan pendientes las especificaciones técnicas que debe generar el ICA, además de las obras de adecuación de dicho laboratorio, adicionalmente se devuelve  $125.000.000  ya que el inicio del muestreo sanitario se postergó para el mes de julio.
</t>
        </r>
      </text>
    </comment>
    <comment ref="M156" authorId="0" shapeId="0">
      <text>
        <r>
          <rPr>
            <sz val="8"/>
            <color indexed="81"/>
            <rFont val="Tahoma"/>
            <family val="2"/>
          </rPr>
          <t>No se concreto la firma del convenio con la Secretaria de Antioquia, por tal motivo se devuelve el recurso inicialmente solicitado</t>
        </r>
      </text>
    </comment>
    <comment ref="M157" authorId="0" shapeId="0">
      <text>
        <r>
          <rPr>
            <sz val="8"/>
            <color indexed="81"/>
            <rFont val="Tahoma"/>
            <family val="2"/>
          </rPr>
          <t>No se concreto la firma del convenio con la Secretaria de Antioquia, por tal motivo se devuelve el recurso inicialmente solicitado</t>
        </r>
      </text>
    </comment>
    <comment ref="M163" authorId="0" shapeId="0">
      <text>
        <r>
          <rPr>
            <sz val="8"/>
            <color indexed="81"/>
            <rFont val="Tahoma"/>
            <family val="2"/>
          </rPr>
          <t>El consultor que se encargara del proceso de la sistematización de las experiencias de asociatividad, sera contratado hasta el III trimestre 2015</t>
        </r>
      </text>
    </comment>
    <comment ref="M170" authorId="0" shapeId="0">
      <text>
        <r>
          <rPr>
            <sz val="8"/>
            <color indexed="81"/>
            <rFont val="Tahoma"/>
            <family val="2"/>
          </rPr>
          <t>Debido a demoras por parte del MADR en la enttrega de los documentos necesarios para la firma del convenio, no se ejecutaran la totalidad de los recursos estimados para el trimestre</t>
        </r>
      </text>
    </comment>
    <comment ref="M186" authorId="0" shapeId="0">
      <text>
        <r>
          <rPr>
            <sz val="8"/>
            <color indexed="81"/>
            <rFont val="Tahoma"/>
            <family val="2"/>
          </rPr>
          <t>El  muestreo de las diferentes enfermedades se programo hasta el mes de julio, ya que se necesita el concepto técnico del ICA</t>
        </r>
      </text>
    </comment>
  </commentList>
</comments>
</file>

<file path=xl/sharedStrings.xml><?xml version="1.0" encoding="utf-8"?>
<sst xmlns="http://schemas.openxmlformats.org/spreadsheetml/2006/main" count="206" uniqueCount="204">
  <si>
    <t>MINISTERIO DE AGRICULTURA  Y DESARROLLO RURAL</t>
  </si>
  <si>
    <t>DIRECCIÓN DE PLANEACIÓN Y SEGUIMIENTO PRESUPUESTAL</t>
  </si>
  <si>
    <t>PRESUPUESTO DE GASTOS DE FUNCIONAMIENTO E INVERSIÓN 2.015</t>
  </si>
  <si>
    <t>EJECUCIÓN TRIMESTRE ABRIL-JUNIO 2015</t>
  </si>
  <si>
    <t>ANEXO 2</t>
  </si>
  <si>
    <t>CUENTAS</t>
  </si>
  <si>
    <t>PROGRAMAS ECONÓMICA</t>
  </si>
  <si>
    <t>PROGRAMAS TÉCNICA</t>
  </si>
  <si>
    <t>PROGRAMAS INVESTIGACIÓN Y TRANSFERENCIA DE TÉCNOLOGÍA</t>
  </si>
  <si>
    <t>PROGRAMA SANIDAD</t>
  </si>
  <si>
    <t>PROGRAMAS MERCADEO</t>
  </si>
  <si>
    <t xml:space="preserve">PROGRAMA PPC </t>
  </si>
  <si>
    <t>TOTAL INVERSIÓN</t>
  </si>
  <si>
    <t>GASTOS DE FUNCIONAMIENTO</t>
  </si>
  <si>
    <t>TOTAL PRESUPUESTO</t>
  </si>
  <si>
    <t>TOTAL EJECUTADO</t>
  </si>
  <si>
    <t>ACUERDO 09/15</t>
  </si>
  <si>
    <t>% EJECUCIÓN</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</si>
  <si>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</si>
  <si>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</si>
  <si>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</si>
  <si>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</si>
  <si>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</si>
  <si>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</si>
  <si>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</si>
  <si>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</si>
  <si>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</si>
  <si>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</si>
  <si>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</si>
  <si>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</si>
  <si>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</si>
  <si>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</si>
  <si>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</si>
  <si>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</si>
  <si>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</si>
  <si>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</si>
  <si>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</si>
  <si>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</si>
  <si>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</si>
  <si>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</si>
  <si>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</si>
  <si>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</si>
  <si>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</si>
  <si>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</si>
  <si>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</si>
  <si>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</si>
  <si>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</si>
  <si>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</si>
  <si>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TOTAL FUNCIONAMIENTO</t>
  </si>
  <si>
    <t>TOTAL PROGRAMAS Y PROYECTOS</t>
  </si>
  <si>
    <t>TOTAL ÁREA ECONÓMICA</t>
  </si>
  <si>
    <t>Fortalecimiento institucional</t>
  </si>
  <si>
    <t>Comsac</t>
  </si>
  <si>
    <t>Acuerdos de Libre Comercio</t>
  </si>
  <si>
    <t xml:space="preserve">Cadena Carnica Porcína </t>
  </si>
  <si>
    <t>Centro de servicios técnicos y financieros</t>
  </si>
  <si>
    <t>Atención de Solicitudes (Asistencia a Productores)</t>
  </si>
  <si>
    <t>Convenios</t>
  </si>
  <si>
    <t xml:space="preserve">   Contrapartidas Gobernaciones y/o Alcaldias</t>
  </si>
  <si>
    <t xml:space="preserve">     Convenio Gobernacion de Cundinamarca</t>
  </si>
  <si>
    <t xml:space="preserve">     Convenio Pereira</t>
  </si>
  <si>
    <t xml:space="preserve">   Contrapartidas FNP</t>
  </si>
  <si>
    <t xml:space="preserve">     Convenio Gobernacion de Cundinamarca FNP</t>
  </si>
  <si>
    <t xml:space="preserve">     Convenio Pereira FNP</t>
  </si>
  <si>
    <t xml:space="preserve">  Seguimiento a convenios</t>
  </si>
  <si>
    <t>Divulgación Resolución 2640</t>
  </si>
  <si>
    <t>Sistemas de información de mercados</t>
  </si>
  <si>
    <t>Monitoreo Precios de la Carne al Consumidor</t>
  </si>
  <si>
    <t>Actualización Información Nacional</t>
  </si>
  <si>
    <t>Seguimiento Mercados Internacionales</t>
  </si>
  <si>
    <t>Control al recaudo</t>
  </si>
  <si>
    <t>Seguimiento al recaudo regional</t>
  </si>
  <si>
    <t>Movilización coordinadores</t>
  </si>
  <si>
    <t>Jornadas de trabajo con los coordinadores regionales (visita plantas)</t>
  </si>
  <si>
    <t>Fortalecimiento del beneficio formal</t>
  </si>
  <si>
    <t>Movilización Jefe Coordinadores de recaudo</t>
  </si>
  <si>
    <t>Trabajo con autoridades</t>
  </si>
  <si>
    <t>Jornadas de trabajo con los coordinadores regionales(trabajo con autoridades)</t>
  </si>
  <si>
    <t>Fortalecimiento Infraestructura</t>
  </si>
  <si>
    <t>Aseguramiento de la calidad</t>
  </si>
  <si>
    <t>Asesorias BPM y HACCP</t>
  </si>
  <si>
    <t>Sello de producto en la cadena de transformación</t>
  </si>
  <si>
    <t>TOTAL ÁREA MERCADEO</t>
  </si>
  <si>
    <t>Investigación de mercados</t>
  </si>
  <si>
    <t>Home panel de Nilsen</t>
  </si>
  <si>
    <t>Brand equity tracking</t>
  </si>
  <si>
    <t>Eye Trancking</t>
  </si>
  <si>
    <t>Monitoreo de Medios</t>
  </si>
  <si>
    <t>Tracking publicitario ( Neuro nilsen)</t>
  </si>
  <si>
    <t>Sensibilización de las bondades gastronomicas y nutricionales de la carne de cerdo</t>
  </si>
  <si>
    <t>Seguimiento gestión al equipo incentivo y sensibilizacion de las bondades de la carne de cerdo</t>
  </si>
  <si>
    <t>Nutricionistas</t>
  </si>
  <si>
    <t>Asesores Gastronómicos</t>
  </si>
  <si>
    <t>Viajes regionales equipo incentivo y sensibilizacion de las bondades de la carne de cerdo</t>
  </si>
  <si>
    <t>Día de la Carne de Cerdo</t>
  </si>
  <si>
    <t>Capacitación anual contratistas</t>
  </si>
  <si>
    <t xml:space="preserve">Material Publicitario, Promoción y Divulgación para el Incentivo y sensibilizacion </t>
  </si>
  <si>
    <t>Eventos especializados (Sector, gastronomicos , varios)</t>
  </si>
  <si>
    <t xml:space="preserve">Conceptos y artes </t>
  </si>
  <si>
    <t>Campaña de fomento al consumo</t>
  </si>
  <si>
    <t>Campaña de publicidad</t>
  </si>
  <si>
    <t>Agencia Free Press</t>
  </si>
  <si>
    <t>Consultoría MESA</t>
  </si>
  <si>
    <t>Pauta institucional</t>
  </si>
  <si>
    <t>Kit Publicitario</t>
  </si>
  <si>
    <t>Estrategia digital</t>
  </si>
  <si>
    <t>Me encanta la carne de cerdo.com</t>
  </si>
  <si>
    <t>Concurso innovador carne de cerdo</t>
  </si>
  <si>
    <t>Eventos de incentivo al consumo</t>
  </si>
  <si>
    <t>Festival de la Carne de cerdo</t>
  </si>
  <si>
    <t xml:space="preserve">Agroexpo </t>
  </si>
  <si>
    <t>TOTAL ÁREA ERRADICACIÓN PPC</t>
  </si>
  <si>
    <t>Regionalización</t>
  </si>
  <si>
    <t>Compra de biológico, chapetas y tenazas</t>
  </si>
  <si>
    <t>Compra de materiales y dotaciones</t>
  </si>
  <si>
    <t>Pago de Axilios de frío, flete y movilización</t>
  </si>
  <si>
    <t>Gastos de brigada</t>
  </si>
  <si>
    <t>Capacitación y divulgación</t>
  </si>
  <si>
    <t>Capacitación</t>
  </si>
  <si>
    <t>Divulgación</t>
  </si>
  <si>
    <t>Vigilancia Epidemiológica</t>
  </si>
  <si>
    <t>Diagnóstico Rutinario</t>
  </si>
  <si>
    <t>Determinació de factores de riesgo</t>
  </si>
  <si>
    <t>Adminisbilidad y normatividad sanitaria</t>
  </si>
  <si>
    <t>Control al contrabando</t>
  </si>
  <si>
    <t>Equipos de comunicación puestos de control</t>
  </si>
  <si>
    <t>Administración del programa</t>
  </si>
  <si>
    <t>Administración de la base de datos</t>
  </si>
  <si>
    <t>Depuración, codificación y verificación de predios</t>
  </si>
  <si>
    <t>Ciclos de vacunación</t>
  </si>
  <si>
    <t>Contratación de personal</t>
  </si>
  <si>
    <t>Auxilios comités</t>
  </si>
  <si>
    <t>Recolección de desechos biológicos</t>
  </si>
  <si>
    <t>TOTAL ÁREA TÉCNICA</t>
  </si>
  <si>
    <t>Programa nacional de bioseguridad, sanidad y productividad-PNBSP</t>
  </si>
  <si>
    <t>Capacitación y fortalecimiento de competencias</t>
  </si>
  <si>
    <t>Profesionales de acompañamiento    *(Sello de granja)</t>
  </si>
  <si>
    <t>Taller técnico de bioseguridad, sanidad y productividad</t>
  </si>
  <si>
    <t>Talleres de sensibilidad en bioseguridad, productividad  y economía de las enfermedades</t>
  </si>
  <si>
    <t>Benchmarking y análisis de productividad e impacto económico</t>
  </si>
  <si>
    <t>Reconocimiento a granjas categorizadas, medios</t>
  </si>
  <si>
    <t xml:space="preserve">Sostenibilidad y responsabilidad social empresarial en producción primaria </t>
  </si>
  <si>
    <t>Acompañamiento jurídico ambiental</t>
  </si>
  <si>
    <t xml:space="preserve">Profesionales de acompañamiento </t>
  </si>
  <si>
    <t xml:space="preserve">Granjas modelo y mesas de trabajo interinstitucionales </t>
  </si>
  <si>
    <t>Sensibilización y divulgación en P.I.G.A y R.S.E y Guía ambiental</t>
  </si>
  <si>
    <t>Estrategias de divulgación</t>
  </si>
  <si>
    <t>Determinación de la huella hídrica en el sector</t>
  </si>
  <si>
    <t>Inocuidad y bienestar animal en producción primaria y transporte</t>
  </si>
  <si>
    <t>Profesional de acompañamiento</t>
  </si>
  <si>
    <t>Fortalecimiento de competencias</t>
  </si>
  <si>
    <t xml:space="preserve">Implementación del programa de P.A.C.I.P - granja y transporte </t>
  </si>
  <si>
    <t>Bienestar Animal</t>
  </si>
  <si>
    <t>TOTAL ÁREA INVESTIGACIÓN Y TRANSFERENCIA</t>
  </si>
  <si>
    <t>Investigación y desarrollo</t>
  </si>
  <si>
    <t>Proyectos</t>
  </si>
  <si>
    <t>Capacitación anual</t>
  </si>
  <si>
    <t>Jornadas de divulgación resultados de investigación</t>
  </si>
  <si>
    <t>Transferencia de tecnología</t>
  </si>
  <si>
    <t xml:space="preserve">  Vinculación tecnologica</t>
  </si>
  <si>
    <t>Curso Virtual. Montaje de puntos de venta de carne de cerdo</t>
  </si>
  <si>
    <t>Gira técnica</t>
  </si>
  <si>
    <t>Capacitación en desposte de carne de cerdo</t>
  </si>
  <si>
    <t>Capacitación para expendedores</t>
  </si>
  <si>
    <t>Convenio Sec. De Antioquia</t>
  </si>
  <si>
    <t xml:space="preserve">  Talleres y seminarios</t>
  </si>
  <si>
    <t>Seminario Internacional</t>
  </si>
  <si>
    <t>Capacitación para operarios de granja</t>
  </si>
  <si>
    <t>Taller en manejo administrativo y financiero de las industrias de la cadena cárnica porcina</t>
  </si>
  <si>
    <t>Capacitación en manufactura de alimentos balanceados para porcinos</t>
  </si>
  <si>
    <t>Capacitación en Buenas Prácticas en la elaboración de alimentos balanceados para porcinos</t>
  </si>
  <si>
    <t>Material de apoyo</t>
  </si>
  <si>
    <t>Diagnostico</t>
  </si>
  <si>
    <t>Diagnostico rutinario con laboratorios oficiales</t>
  </si>
  <si>
    <t xml:space="preserve">  Diagnostico rutinario</t>
  </si>
  <si>
    <t xml:space="preserve">  Diagnostico integrado</t>
  </si>
  <si>
    <t xml:space="preserve">  Diagnóstico PRRS (incluido IFA)</t>
  </si>
  <si>
    <t>Diagnostico rutinario con laboratorios privados</t>
  </si>
  <si>
    <t>Varias enfermedades</t>
  </si>
  <si>
    <t>PRRS</t>
  </si>
  <si>
    <t>Técnicas Moleculares (PCR - Secuenciación)</t>
  </si>
  <si>
    <t>Diagnosticos importados</t>
  </si>
  <si>
    <t>Promoción del diagnóstico</t>
  </si>
  <si>
    <t>Diagnóstico Inocuidad</t>
  </si>
  <si>
    <t>Diagnóstico Ambiental</t>
  </si>
  <si>
    <t>Diagnóstico MADR</t>
  </si>
  <si>
    <t>TOTAL ÁREA SANIDAD</t>
  </si>
  <si>
    <t>Control y monitoreo para la enfermedad de PRRS  en granjas de Colombia</t>
  </si>
  <si>
    <t>Apoyo programa PRRS</t>
  </si>
  <si>
    <t>Epidemiología de la enfermedad (Nacional)</t>
  </si>
  <si>
    <t>Sensibilización y divulgación</t>
  </si>
  <si>
    <t>CUOTA DE ADMINISTRACIÓN</t>
  </si>
  <si>
    <t>Cuota de administración FNP</t>
  </si>
  <si>
    <t>Cuota de administración PPC</t>
  </si>
  <si>
    <t>FONDO DE EMERGENCIA</t>
  </si>
  <si>
    <t xml:space="preserve">RESERVA FUTURAS INVERSIONES Y GASTOS </t>
  </si>
  <si>
    <t>Cuota de fomento porcícola</t>
  </si>
  <si>
    <t>Cuota de erradicación Peste Porcina Clásica</t>
  </si>
  <si>
    <t xml:space="preserve">TOTAL GASTOS </t>
  </si>
  <si>
    <t>GASTOS</t>
  </si>
  <si>
    <t>INGRESOS</t>
  </si>
  <si>
    <t>RESERVA</t>
  </si>
  <si>
    <t>FNP</t>
  </si>
  <si>
    <t>PPC</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</si>
</sst>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 #,##0.00_ ;_ * \-#,##0.00_ ;_ * &quot;-&quot;??_ ;_ @_ "/>
    <numFmt numFmtId="165" formatCode="_ * #,##0_ ;_ * \-#,##0_ ;_ * &quot;-&quot;??_ ;_ @_ "/>
    <numFmt numFmtId="166" formatCode="_-* #,##0\ _€_-;\-* #,##0\ _€_-;_-* &quot;-&quot;??\ _€_-;_-@_-"/>
  </numFmts>
  <fonts count="17" x14ac:knownFonts="1">
    <font>
      <sz val="10"/>
      <name val="Arial"/>
    </font>
    <font>
      <sz val="10"/>
      <name val="Arial"/>
    </font>
    <font>
      <b/>
      <sz val="11"/>
      <name val="Arial"/>
      <family val="2"/>
      <charset val="186"/>
    </font>
    <font>
      <b/>
      <sz val="11"/>
      <color indexed="10"/>
      <name val="Arial"/>
      <family val="2"/>
      <charset val="186"/>
    </font>
    <font>
      <b/>
      <sz val="11"/>
      <color rgb="FFFF0000"/>
      <name val="Arial"/>
      <family val="2"/>
      <charset val="186"/>
    </font>
    <font>
      <sz val="11"/>
      <name val="Arial"/>
      <family val="2"/>
      <charset val="186"/>
    </font>
    <font>
      <b/>
      <sz val="11"/>
      <name val="Arial"/>
      <family val="2"/>
    </font>
    <font>
      <sz val="10"/>
      <color indexed="14"/>
      <name val="Arial"/>
      <family val="2"/>
    </font>
    <font>
      <sz val="11"/>
      <name val="Arial"/>
      <family val="2"/>
    </font>
    <font>
      <sz val="11"/>
      <color indexed="8"/>
      <name val="Arial"/>
      <family val="2"/>
    </font>
    <font>
      <b/>
      <sz val="10"/>
      <name val="Arial"/>
      <family val="2"/>
    </font>
    <font>
      <sz val="10"/>
      <name val="Arial"/>
      <family val="2"/>
    </font>
    <font>
      <b/>
      <sz val="11"/>
      <color rgb="FFFF0000"/>
      <name val="Arial"/>
      <family val="2"/>
    </font>
    <font>
      <sz val="9"/>
      <name val="Times New Roman"/>
      <family val="1"/>
    </font>
    <font>
      <sz val="12"/>
      <name val="Times New Roman"/>
      <family val="1"/>
    </font>
    <font>
      <b/>
      <sz val="12"/>
      <name val="Times New Roman"/>
      <family val="1"/>
    </font>
    <font>
      <sz val="8"/>
      <color indexed="81"/>
      <name val="Tahoma"/>
      <family val="2"/>
    </font>
  </fonts>
  <fills count="2">
    <fill>
      <patternFill patternType="none"/>
    </fill>
    <fill>
      <patternFill patternType="gray125"/>
    </fill>
  </fills>
  <borders count="20">
    <border>
      <left/>
      <right/>
      <top/>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double">
        <color indexed="64"/>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right style="double">
        <color indexed="64"/>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164" fontId="11" fillId="0" borderId="0" applyFont="0" applyFill="0" applyBorder="0" applyAlignment="0" applyProtection="0"/>
  </cellStyleXfs>
  <cellXfs count="82">
    <xf numFmtId="0" fontId="0" fillId="0" borderId="0" xfId="0"/>
    <xf numFmtId="0" fontId="2" fillId="0" borderId="0" xfId="0" applyFont="1" applyFill="1" applyAlignment="1">
      <alignment horizontal="center"/>
    </xf>
    <xf numFmtId="0" fontId="0" fillId="0" borderId="0" xfId="0" applyFill="1"/>
    <xf numFmtId="3" fontId="3" fillId="0" borderId="1" xfId="0" applyNumberFormat="1" applyFont="1" applyFill="1" applyBorder="1" applyAlignment="1">
      <alignment horizontal="centerContinuous"/>
    </xf>
    <xf numFmtId="3" fontId="2" fillId="0" borderId="1" xfId="0" applyNumberFormat="1" applyFont="1" applyFill="1" applyBorder="1" applyAlignment="1">
      <alignment horizontal="centerContinuous"/>
    </xf>
    <xf numFmtId="0" fontId="3" fillId="0" borderId="1" xfId="0" applyFont="1" applyFill="1" applyBorder="1" applyAlignment="1">
      <alignment horizontal="centerContinuous"/>
    </xf>
    <xf numFmtId="0" fontId="2" fillId="0" borderId="1" xfId="0" applyFont="1" applyFill="1" applyBorder="1" applyAlignment="1">
      <alignment horizontal="centerContinuous"/>
    </xf>
    <xf numFmtId="0" fontId="4" fillId="0" borderId="1" xfId="0" applyFont="1" applyFill="1" applyBorder="1" applyAlignment="1">
      <alignment horizontal="centerContinuous"/>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3" fontId="2" fillId="0" borderId="5" xfId="0" applyNumberFormat="1" applyFont="1" applyFill="1" applyBorder="1" applyAlignment="1"/>
    <xf numFmtId="0" fontId="5" fillId="0" borderId="6" xfId="0" applyFont="1" applyFill="1" applyBorder="1"/>
    <xf numFmtId="0" fontId="5" fillId="0" borderId="7" xfId="0" applyFont="1" applyFill="1" applyBorder="1"/>
    <xf numFmtId="3" fontId="6" fillId="0" borderId="5" xfId="0" applyNumberFormat="1" applyFont="1" applyFill="1" applyBorder="1" applyAlignment="1"/>
    <xf numFmtId="3" fontId="6" fillId="0" borderId="6" xfId="0" applyNumberFormat="1" applyFont="1" applyFill="1" applyBorder="1"/>
    <xf numFmtId="10" fontId="6" fillId="0" borderId="7" xfId="2" applyNumberFormat="1" applyFont="1" applyFill="1" applyBorder="1"/>
    <xf numFmtId="0" fontId="7" fillId="0" borderId="0" xfId="0" applyFont="1" applyFill="1"/>
    <xf numFmtId="3" fontId="5" fillId="0" borderId="5" xfId="0" applyNumberFormat="1" applyFont="1" applyFill="1" applyBorder="1" applyAlignment="1"/>
    <xf numFmtId="3" fontId="5" fillId="0" borderId="6" xfId="0" applyNumberFormat="1" applyFont="1" applyFill="1" applyBorder="1"/>
    <xf numFmtId="3" fontId="8" fillId="0" borderId="6" xfId="0" applyNumberFormat="1" applyFont="1" applyFill="1" applyBorder="1"/>
    <xf numFmtId="10" fontId="8" fillId="0" borderId="7" xfId="2" applyNumberFormat="1" applyFont="1" applyFill="1" applyBorder="1"/>
    <xf numFmtId="0" fontId="0" fillId="0" borderId="0" xfId="0" applyFill="1" applyAlignment="1">
      <alignment horizontal="center"/>
    </xf>
    <xf numFmtId="10" fontId="0" fillId="0" borderId="0" xfId="2" applyNumberFormat="1" applyFont="1" applyFill="1"/>
    <xf numFmtId="3" fontId="9" fillId="0" borderId="6" xfId="0" applyNumberFormat="1" applyFont="1" applyFill="1" applyBorder="1"/>
    <xf numFmtId="3" fontId="0" fillId="0" borderId="0" xfId="0" applyNumberFormat="1" applyFill="1"/>
    <xf numFmtId="0" fontId="2" fillId="0" borderId="5" xfId="0" applyFont="1" applyFill="1" applyBorder="1" applyAlignment="1"/>
    <xf numFmtId="3" fontId="2" fillId="0" borderId="6" xfId="0" applyNumberFormat="1" applyFont="1" applyFill="1" applyBorder="1"/>
    <xf numFmtId="2" fontId="0" fillId="0" borderId="0" xfId="2" applyNumberFormat="1" applyFont="1" applyFill="1"/>
    <xf numFmtId="0" fontId="5" fillId="0" borderId="5" xfId="0" applyFont="1" applyFill="1" applyBorder="1" applyAlignment="1"/>
    <xf numFmtId="3" fontId="5" fillId="0" borderId="6" xfId="1" applyNumberFormat="1" applyFont="1" applyFill="1" applyBorder="1"/>
    <xf numFmtId="3" fontId="6" fillId="0" borderId="6" xfId="1" applyNumberFormat="1" applyFont="1" applyFill="1" applyBorder="1"/>
    <xf numFmtId="0" fontId="2" fillId="0" borderId="8" xfId="0" applyFont="1" applyFill="1" applyBorder="1" applyAlignment="1"/>
    <xf numFmtId="3" fontId="2" fillId="0" borderId="9" xfId="0" applyNumberFormat="1" applyFont="1" applyFill="1" applyBorder="1"/>
    <xf numFmtId="3" fontId="6" fillId="0" borderId="9" xfId="1" applyNumberFormat="1" applyFont="1" applyFill="1" applyBorder="1"/>
    <xf numFmtId="10" fontId="6" fillId="0" borderId="10" xfId="2" applyNumberFormat="1" applyFont="1" applyFill="1" applyBorder="1"/>
    <xf numFmtId="43" fontId="0" fillId="0" borderId="0" xfId="0" applyNumberFormat="1" applyFill="1"/>
    <xf numFmtId="0" fontId="5" fillId="0" borderId="11" xfId="0" applyFont="1" applyFill="1" applyBorder="1" applyAlignment="1"/>
    <xf numFmtId="3" fontId="5" fillId="0" borderId="12" xfId="0" applyNumberFormat="1" applyFont="1" applyFill="1" applyBorder="1"/>
    <xf numFmtId="10" fontId="6" fillId="0" borderId="13" xfId="2" applyNumberFormat="1" applyFont="1" applyFill="1" applyBorder="1"/>
    <xf numFmtId="0" fontId="2" fillId="0" borderId="14" xfId="0" applyFont="1" applyFill="1" applyBorder="1" applyAlignment="1"/>
    <xf numFmtId="3" fontId="2" fillId="0" borderId="15" xfId="0" applyNumberFormat="1" applyFont="1" applyFill="1" applyBorder="1"/>
    <xf numFmtId="10" fontId="6" fillId="0" borderId="16" xfId="2" applyNumberFormat="1" applyFont="1" applyFill="1" applyBorder="1"/>
    <xf numFmtId="37" fontId="2" fillId="0" borderId="5" xfId="0" applyNumberFormat="1" applyFont="1" applyFill="1" applyBorder="1" applyAlignment="1"/>
    <xf numFmtId="0" fontId="10" fillId="0" borderId="0" xfId="0" applyFont="1" applyFill="1"/>
    <xf numFmtId="37" fontId="8" fillId="0" borderId="5" xfId="0" applyNumberFormat="1" applyFont="1" applyFill="1" applyBorder="1" applyAlignment="1">
      <alignment horizontal="left"/>
    </xf>
    <xf numFmtId="37" fontId="6" fillId="0" borderId="5" xfId="0" applyNumberFormat="1" applyFont="1" applyFill="1" applyBorder="1" applyAlignment="1">
      <alignment horizontal="left"/>
    </xf>
    <xf numFmtId="0" fontId="11" fillId="0" borderId="0" xfId="0" applyFont="1" applyFill="1"/>
    <xf numFmtId="164" fontId="2" fillId="0" borderId="6" xfId="1" applyFont="1" applyFill="1" applyBorder="1"/>
    <xf numFmtId="164" fontId="8" fillId="0" borderId="6" xfId="1" applyFont="1" applyFill="1" applyBorder="1"/>
    <xf numFmtId="164" fontId="10" fillId="0" borderId="0" xfId="1" applyFont="1" applyFill="1"/>
    <xf numFmtId="3" fontId="12" fillId="0" borderId="6" xfId="0" applyNumberFormat="1" applyFont="1" applyFill="1" applyBorder="1"/>
    <xf numFmtId="3" fontId="4" fillId="0" borderId="6" xfId="0" applyNumberFormat="1" applyFont="1" applyFill="1" applyBorder="1"/>
    <xf numFmtId="37" fontId="8" fillId="0" borderId="5" xfId="0" applyNumberFormat="1" applyFont="1" applyFill="1" applyBorder="1" applyAlignment="1"/>
    <xf numFmtId="37" fontId="6" fillId="0" borderId="5" xfId="0" applyNumberFormat="1" applyFont="1" applyFill="1" applyBorder="1" applyAlignment="1"/>
    <xf numFmtId="3" fontId="6" fillId="0" borderId="6" xfId="3" applyNumberFormat="1" applyFont="1" applyFill="1" applyBorder="1"/>
    <xf numFmtId="0" fontId="5" fillId="0" borderId="17" xfId="0" applyFont="1" applyFill="1" applyBorder="1" applyAlignment="1"/>
    <xf numFmtId="3" fontId="2" fillId="0" borderId="18" xfId="0" applyNumberFormat="1" applyFont="1" applyFill="1" applyBorder="1"/>
    <xf numFmtId="0" fontId="5" fillId="0" borderId="18" xfId="0" applyFont="1" applyFill="1" applyBorder="1"/>
    <xf numFmtId="3" fontId="5" fillId="0" borderId="18" xfId="0" applyNumberFormat="1" applyFont="1" applyFill="1" applyBorder="1"/>
    <xf numFmtId="0" fontId="5" fillId="0" borderId="19" xfId="0" applyFont="1" applyFill="1" applyBorder="1"/>
    <xf numFmtId="0" fontId="13" fillId="0" borderId="0" xfId="0" applyFont="1" applyFill="1" applyAlignment="1"/>
    <xf numFmtId="3" fontId="13" fillId="0" borderId="0" xfId="0" applyNumberFormat="1" applyFont="1" applyFill="1"/>
    <xf numFmtId="37" fontId="13" fillId="0" borderId="0" xfId="0" applyNumberFormat="1" applyFont="1" applyFill="1"/>
    <xf numFmtId="0" fontId="13" fillId="0" borderId="0" xfId="0" applyFont="1" applyFill="1"/>
    <xf numFmtId="10" fontId="13" fillId="0" borderId="0" xfId="0" applyNumberFormat="1" applyFont="1" applyFill="1"/>
    <xf numFmtId="37" fontId="0" fillId="0" borderId="0" xfId="0" applyNumberFormat="1" applyFill="1"/>
    <xf numFmtId="164" fontId="13" fillId="0" borderId="0" xfId="1" applyFont="1" applyFill="1"/>
    <xf numFmtId="9" fontId="13" fillId="0" borderId="0" xfId="2" applyFont="1" applyFill="1"/>
    <xf numFmtId="0" fontId="14" fillId="0" borderId="0" xfId="0" applyFont="1" applyFill="1"/>
    <xf numFmtId="0" fontId="15" fillId="0" borderId="0" xfId="0" applyFont="1" applyFill="1" applyAlignment="1">
      <alignment horizontal="center"/>
    </xf>
    <xf numFmtId="3" fontId="15" fillId="0" borderId="0" xfId="0" applyNumberFormat="1" applyFont="1" applyFill="1" applyAlignment="1">
      <alignment horizontal="center"/>
    </xf>
    <xf numFmtId="3" fontId="13" fillId="0" borderId="0" xfId="0" applyNumberFormat="1" applyFont="1" applyFill="1" applyAlignment="1"/>
    <xf numFmtId="3" fontId="14" fillId="0" borderId="0" xfId="0" applyNumberFormat="1" applyFont="1" applyFill="1"/>
    <xf numFmtId="165" fontId="14" fillId="0" borderId="0" xfId="1" applyNumberFormat="1" applyFont="1" applyFill="1"/>
    <xf numFmtId="10" fontId="13" fillId="0" borderId="0" xfId="2" applyNumberFormat="1" applyFont="1" applyFill="1"/>
    <xf numFmtId="3" fontId="14" fillId="0" borderId="1" xfId="0" applyNumberFormat="1" applyFont="1" applyFill="1" applyBorder="1"/>
    <xf numFmtId="165" fontId="14" fillId="0" borderId="1" xfId="1" applyNumberFormat="1" applyFont="1" applyFill="1" applyBorder="1"/>
    <xf numFmtId="165" fontId="14" fillId="0" borderId="0" xfId="1" applyNumberFormat="1" applyFont="1" applyFill="1" applyBorder="1"/>
    <xf numFmtId="3" fontId="15" fillId="0" borderId="0" xfId="0" applyNumberFormat="1" applyFont="1" applyFill="1" applyAlignment="1"/>
    <xf numFmtId="166" fontId="15" fillId="0" borderId="0" xfId="0" applyNumberFormat="1" applyFont="1" applyFill="1" applyAlignment="1"/>
    <xf numFmtId="164" fontId="14" fillId="0" borderId="0" xfId="1" applyFont="1" applyFill="1"/>
  </cellXfs>
  <cellStyles count="4">
    <cellStyle name="Millares" xfId="1" builtinId="3"/>
    <cellStyle name="Millares 2 2" xf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5/CIERRE%20ABR-JUN%20201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irectorppc/AppData/Local/Microsoft/Windows/Temporary%20Internet%20Files/Content.IE5/68SX2PI0/Desagregado%20&#193;rea%20201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ORCICOL\Administrativa\Temp\desagregado%20ppc%2020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ORCICOL\Administrativa\Users\OscarRubio\AppData\Local\Microsoft\Windows\Temporary%20Internet%20Files\Content.Outlook\INBWVVAW\ANEXO%20ACUERDO%204-12.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JorgeOrtiz/Desktop/PPC2013/PRESUPUESTO%202014/PRESUPUESTO%20DEFINITIVO%202014%20NOV/Desagregado%20PPC%202014%20%20definitiv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241;o%202015/SOLICITUD%20&#193;REAS/II%20TRIMESTRE/Enviado%20II%20trimestre%20Econom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241;o%202015/SOLICITUD%20&#193;REAS/II%20TRIMESTRE/Solicitud%20II%20trimestre%20mercadeo%20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241;o%202015/SOLICITUD%20&#193;REAS/II%20TRIMESTRE/PRESUPUESTO%20II%202015%20PP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A&#241;o%202015/SOLICITUD%20&#193;REAS/II%20TRIMESTRE/T&#233;cnica%202015,%20estimado%20ejecuci&#243;n%20I%20tri%20y%20Solicitud%20I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241;o%202015/SOLICITUD%20&#193;REAS/II%20TRIMESTRE/Presupuesto%20I%20y%20T%20Segundo%20Trimestre%202015%20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ORCICOL\Administrativa\Informe%20gesti&#243;n%20definitivo%20I%20semestre%202012\gastos%20enero%20junio%20de%20201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14">
          <cell r="B14">
            <v>3596486467.5</v>
          </cell>
        </row>
        <row r="15">
          <cell r="B15">
            <v>2157891880.5</v>
          </cell>
        </row>
        <row r="18">
          <cell r="B18">
            <v>63887460</v>
          </cell>
        </row>
        <row r="19">
          <cell r="B19">
            <v>38332476</v>
          </cell>
        </row>
        <row r="32">
          <cell r="B32">
            <v>296995820.79999995</v>
          </cell>
        </row>
        <row r="39">
          <cell r="B39">
            <v>6502177141</v>
          </cell>
        </row>
        <row r="43">
          <cell r="B43">
            <v>3542882309.5500002</v>
          </cell>
        </row>
      </sheetData>
      <sheetData sheetId="1"/>
      <sheetData sheetId="2"/>
      <sheetData sheetId="3"/>
      <sheetData sheetId="4"/>
      <sheetData sheetId="5"/>
      <sheetData sheetId="6"/>
      <sheetData sheetId="7"/>
      <sheetData sheetId="8"/>
      <sheetData sheetId="9"/>
      <sheetData sheetId="10">
        <row r="8">
          <cell r="F8">
            <v>5000000</v>
          </cell>
        </row>
        <row r="10">
          <cell r="F10">
            <v>26387281.850000001</v>
          </cell>
          <cell r="G10">
            <v>4500000</v>
          </cell>
          <cell r="I10">
            <v>16000000</v>
          </cell>
          <cell r="J10">
            <v>2000000</v>
          </cell>
        </row>
        <row r="12">
          <cell r="F12">
            <v>3965200.0125000002</v>
          </cell>
        </row>
        <row r="14">
          <cell r="F14">
            <v>4751579.0049999999</v>
          </cell>
          <cell r="G14">
            <v>3500000</v>
          </cell>
        </row>
        <row r="16">
          <cell r="F16">
            <v>5130111.9674999993</v>
          </cell>
          <cell r="G16">
            <v>1900000</v>
          </cell>
          <cell r="H16">
            <v>1900000</v>
          </cell>
          <cell r="I16">
            <v>1900000</v>
          </cell>
          <cell r="J16">
            <v>1900000</v>
          </cell>
          <cell r="K16">
            <v>1900000</v>
          </cell>
          <cell r="L16">
            <v>1900000</v>
          </cell>
        </row>
        <row r="18">
          <cell r="F18">
            <v>6856960.0324999997</v>
          </cell>
          <cell r="G18">
            <v>2190000</v>
          </cell>
          <cell r="I18">
            <v>2420103.4500000002</v>
          </cell>
          <cell r="J18">
            <v>941151.42749999999</v>
          </cell>
          <cell r="K18">
            <v>403350.57500000001</v>
          </cell>
          <cell r="L18">
            <v>2420103.4500000002</v>
          </cell>
        </row>
        <row r="20">
          <cell r="F20">
            <v>12109203.755000003</v>
          </cell>
          <cell r="G20">
            <v>2320000</v>
          </cell>
          <cell r="I20">
            <v>750000</v>
          </cell>
          <cell r="L20">
            <v>4000000</v>
          </cell>
        </row>
        <row r="22">
          <cell r="F22">
            <v>6250000</v>
          </cell>
          <cell r="G22">
            <v>81000000</v>
          </cell>
          <cell r="I22">
            <v>4500000</v>
          </cell>
          <cell r="J22">
            <v>4087624.52085</v>
          </cell>
          <cell r="K22">
            <v>1929613</v>
          </cell>
          <cell r="L22">
            <v>8000000</v>
          </cell>
        </row>
        <row r="24">
          <cell r="F24">
            <v>2813849.79</v>
          </cell>
          <cell r="G24">
            <v>3000000</v>
          </cell>
          <cell r="H24">
            <v>2400000</v>
          </cell>
          <cell r="I24">
            <v>3000000</v>
          </cell>
          <cell r="J24">
            <v>2000000</v>
          </cell>
        </row>
        <row r="26">
          <cell r="F26">
            <v>11662387.5</v>
          </cell>
          <cell r="G26">
            <v>63000000</v>
          </cell>
          <cell r="H26">
            <v>1000000</v>
          </cell>
          <cell r="I26">
            <v>4849333</v>
          </cell>
          <cell r="J26">
            <v>2643237.5</v>
          </cell>
          <cell r="K26">
            <v>1586000</v>
          </cell>
          <cell r="L26">
            <v>2499655</v>
          </cell>
        </row>
        <row r="28">
          <cell r="F28">
            <v>1126865.835</v>
          </cell>
          <cell r="G28">
            <v>750000</v>
          </cell>
          <cell r="H28">
            <v>300000</v>
          </cell>
          <cell r="I28">
            <v>300000</v>
          </cell>
          <cell r="J28">
            <v>638441.93999999994</v>
          </cell>
          <cell r="K28">
            <v>513250</v>
          </cell>
          <cell r="L28">
            <v>602658</v>
          </cell>
        </row>
        <row r="30">
          <cell r="F30">
            <v>5500000</v>
          </cell>
          <cell r="G30">
            <v>9000000</v>
          </cell>
          <cell r="H30">
            <v>375000</v>
          </cell>
          <cell r="I30">
            <v>1500000</v>
          </cell>
          <cell r="K30">
            <v>35000000</v>
          </cell>
        </row>
        <row r="32">
          <cell r="F32">
            <v>5213414.2675000001</v>
          </cell>
        </row>
        <row r="34">
          <cell r="F34">
            <v>21887665.75</v>
          </cell>
          <cell r="G34">
            <v>14400000</v>
          </cell>
        </row>
        <row r="36">
          <cell r="F36">
            <v>0</v>
          </cell>
        </row>
      </sheetData>
      <sheetData sheetId="11">
        <row r="12">
          <cell r="K12">
            <v>35720400</v>
          </cell>
          <cell r="L12">
            <v>2332350</v>
          </cell>
          <cell r="M12">
            <v>279882</v>
          </cell>
          <cell r="N12">
            <v>2332350</v>
          </cell>
          <cell r="O12">
            <v>1166175</v>
          </cell>
          <cell r="S12">
            <v>6890566.4880000008</v>
          </cell>
          <cell r="U12">
            <v>1119528</v>
          </cell>
          <cell r="X12">
            <v>1399410</v>
          </cell>
        </row>
        <row r="21">
          <cell r="K21">
            <v>176223884.9262</v>
          </cell>
          <cell r="L21">
            <v>12503046.24385</v>
          </cell>
          <cell r="M21">
            <v>1500365.5492619998</v>
          </cell>
          <cell r="N21">
            <v>12503046.24385</v>
          </cell>
          <cell r="O21">
            <v>7342661.8719250001</v>
          </cell>
          <cell r="S21">
            <v>35508509.51290381</v>
          </cell>
          <cell r="U21">
            <v>6699187.4370480003</v>
          </cell>
          <cell r="X21">
            <v>8373984.2963100011</v>
          </cell>
        </row>
        <row r="39">
          <cell r="K39">
            <v>53670265.952399999</v>
          </cell>
          <cell r="L39">
            <v>2290244.6626999998</v>
          </cell>
          <cell r="M39">
            <v>274829.35952399997</v>
          </cell>
          <cell r="N39">
            <v>2290244.6626999998</v>
          </cell>
          <cell r="O39">
            <v>2236261.0813499996</v>
          </cell>
          <cell r="S39">
            <v>9584364.3147335276</v>
          </cell>
          <cell r="U39">
            <v>1823682.6780960001</v>
          </cell>
          <cell r="X39">
            <v>2279603.3476200001</v>
          </cell>
        </row>
        <row r="48">
          <cell r="K48">
            <v>60095541.904799998</v>
          </cell>
          <cell r="L48">
            <v>2825684.3253999995</v>
          </cell>
          <cell r="M48">
            <v>339082.11904799996</v>
          </cell>
          <cell r="N48">
            <v>2825684.3253999995</v>
          </cell>
          <cell r="O48">
            <v>2503980.9126999998</v>
          </cell>
          <cell r="S48">
            <v>10935085.825447055</v>
          </cell>
          <cell r="U48">
            <v>2080693.7161920001</v>
          </cell>
          <cell r="X48">
            <v>2600867.1452400004</v>
          </cell>
        </row>
        <row r="57">
          <cell r="K57">
            <v>52311298.9014</v>
          </cell>
          <cell r="L57">
            <v>2176997.40845</v>
          </cell>
          <cell r="M57">
            <v>261239.68901399997</v>
          </cell>
          <cell r="N57">
            <v>2176997.40845</v>
          </cell>
          <cell r="O57">
            <v>2179637.454225</v>
          </cell>
          <cell r="S57">
            <v>9298682.2612723075</v>
          </cell>
          <cell r="U57">
            <v>1769323.996056</v>
          </cell>
          <cell r="X57">
            <v>2211654.9950700002</v>
          </cell>
        </row>
        <row r="65">
          <cell r="K65">
            <v>6530580</v>
          </cell>
          <cell r="L65">
            <v>544215</v>
          </cell>
          <cell r="M65">
            <v>65305.799999999996</v>
          </cell>
          <cell r="N65">
            <v>544215</v>
          </cell>
          <cell r="O65">
            <v>272107.5</v>
          </cell>
          <cell r="S65">
            <v>1372858.5275999999</v>
          </cell>
          <cell r="U65">
            <v>261223.20000000004</v>
          </cell>
          <cell r="X65">
            <v>326529</v>
          </cell>
        </row>
        <row r="69">
          <cell r="K69">
            <v>179083967.27880001</v>
          </cell>
          <cell r="L69">
            <v>12741386.439900002</v>
          </cell>
          <cell r="M69">
            <v>1528966.3727879999</v>
          </cell>
          <cell r="N69">
            <v>12741386.439900002</v>
          </cell>
          <cell r="O69">
            <v>7461831.9699500008</v>
          </cell>
          <cell r="S69">
            <v>36566876.675699368</v>
          </cell>
          <cell r="U69">
            <v>6822470.7311519999</v>
          </cell>
          <cell r="X69">
            <v>8528088.4139399994</v>
          </cell>
        </row>
        <row r="96">
          <cell r="I96">
            <v>0</v>
          </cell>
          <cell r="K96">
            <v>800000</v>
          </cell>
          <cell r="M96">
            <v>200000</v>
          </cell>
          <cell r="O96">
            <v>200000</v>
          </cell>
          <cell r="Q96">
            <v>200000</v>
          </cell>
          <cell r="S96">
            <v>600000</v>
          </cell>
        </row>
        <row r="107">
          <cell r="I107">
            <v>29363593.2874</v>
          </cell>
        </row>
      </sheetData>
      <sheetData sheetId="12"/>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área X"/>
    </sheetNames>
    <sheetDataSet>
      <sheetData sheetId="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iclos"/>
      <sheetName val="INGRESOS 2010"/>
      <sheetName val="anexo viaticos gastos de viaje"/>
      <sheetName val="anexo materiales y dotaciones"/>
      <sheetName val="anexo publicidad"/>
      <sheetName val="anexo impresos y publicaciones"/>
      <sheetName val="Escenario PPC"/>
      <sheetName val="Auxilios distribuidores"/>
      <sheetName val="NOMINA HONORARIOS 201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ow r="86">
          <cell r="B86">
            <v>117000000</v>
          </cell>
        </row>
      </sheetData>
      <sheetData sheetId="15" refreshError="1"/>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
      <sheetName val="ANEXO INGRESOS"/>
      <sheetName val="ANEXO II"/>
      <sheetName val="Anexo 2 x Areas"/>
      <sheetName val="SUPERAVIT"/>
      <sheetName val="RES"/>
      <sheetName val="ECO"/>
      <sheetName val="TEC"/>
      <sheetName val="PPC"/>
      <sheetName val="MER"/>
      <sheetName val="FU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s>
    <sheetDataSet>
      <sheetData sheetId="0">
        <row r="5">
          <cell r="C5">
            <v>19960750</v>
          </cell>
        </row>
        <row r="23">
          <cell r="C23">
            <v>9860075.6699999999</v>
          </cell>
        </row>
        <row r="24">
          <cell r="C24">
            <v>10000000</v>
          </cell>
        </row>
        <row r="25">
          <cell r="C25">
            <v>19641818.946000002</v>
          </cell>
        </row>
        <row r="27">
          <cell r="C27">
            <v>64052544.859999999</v>
          </cell>
        </row>
        <row r="31">
          <cell r="C31">
            <v>85000000</v>
          </cell>
        </row>
        <row r="33">
          <cell r="C33">
            <v>25000000</v>
          </cell>
        </row>
        <row r="34">
          <cell r="C34">
            <v>42000000</v>
          </cell>
        </row>
        <row r="35">
          <cell r="C35">
            <v>9800000</v>
          </cell>
        </row>
        <row r="36">
          <cell r="C36">
            <v>114235649.40000001</v>
          </cell>
        </row>
        <row r="38">
          <cell r="C38">
            <v>23677542.16</v>
          </cell>
        </row>
        <row r="39">
          <cell r="C39">
            <v>3815081.8</v>
          </cell>
        </row>
        <row r="42">
          <cell r="C42">
            <v>25290000</v>
          </cell>
        </row>
        <row r="43">
          <cell r="C43">
            <v>42978978</v>
          </cell>
        </row>
        <row r="46">
          <cell r="C46">
            <v>6800000</v>
          </cell>
        </row>
        <row r="47">
          <cell r="C47">
            <v>29600000</v>
          </cell>
        </row>
        <row r="49">
          <cell r="C49">
            <v>24381000</v>
          </cell>
        </row>
        <row r="51">
          <cell r="C51">
            <v>56893000</v>
          </cell>
        </row>
        <row r="52">
          <cell r="C52">
            <v>10000000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sheetName val="FINAL - SOLICITUD TRIM"/>
      <sheetName val="PROPUESTA 2015"/>
      <sheetName val="DESAGREGADO AÑO"/>
      <sheetName val="MEENCANTA"/>
      <sheetName val="MONI AGENCIA INVER"/>
    </sheetNames>
    <sheetDataSet>
      <sheetData sheetId="0"/>
      <sheetData sheetId="1">
        <row r="9">
          <cell r="I9">
            <v>42620233</v>
          </cell>
        </row>
        <row r="12">
          <cell r="I12">
            <v>6539247</v>
          </cell>
        </row>
        <row r="13">
          <cell r="I13">
            <v>72100000</v>
          </cell>
        </row>
        <row r="15">
          <cell r="I15">
            <v>15860000</v>
          </cell>
        </row>
        <row r="16">
          <cell r="I16">
            <v>57600000</v>
          </cell>
        </row>
        <row r="17">
          <cell r="I17">
            <v>46680000</v>
          </cell>
        </row>
        <row r="19">
          <cell r="I19">
            <v>13750000</v>
          </cell>
        </row>
        <row r="20">
          <cell r="I20">
            <v>45000000</v>
          </cell>
        </row>
        <row r="28">
          <cell r="I28">
            <v>25000000</v>
          </cell>
        </row>
        <row r="34">
          <cell r="I34">
            <v>110000000</v>
          </cell>
        </row>
        <row r="38">
          <cell r="I38">
            <v>1500000000</v>
          </cell>
        </row>
        <row r="43">
          <cell r="I43">
            <v>15450000</v>
          </cell>
        </row>
        <row r="44">
          <cell r="I44">
            <v>13790844</v>
          </cell>
        </row>
        <row r="48">
          <cell r="I48">
            <v>44000000</v>
          </cell>
        </row>
        <row r="56">
          <cell r="I56">
            <v>120000000</v>
          </cell>
        </row>
        <row r="67">
          <cell r="I67">
            <v>40000000</v>
          </cell>
        </row>
      </sheetData>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2)"/>
      <sheetName val="Consolidado área PPC "/>
      <sheetName val="II TRE PPC"/>
      <sheetName val="Ingresos 2015"/>
      <sheetName val="Escenario PPC"/>
      <sheetName val="CONSOLIDADO SANIDAD"/>
      <sheetName val="II SANIDAD"/>
      <sheetName val="Anexo 2 "/>
    </sheetNames>
    <sheetDataSet>
      <sheetData sheetId="0"/>
      <sheetData sheetId="1"/>
      <sheetData sheetId="2"/>
      <sheetData sheetId="3">
        <row r="52">
          <cell r="C52">
            <v>296995820.79999995</v>
          </cell>
        </row>
      </sheetData>
      <sheetData sheetId="4"/>
      <sheetData sheetId="5"/>
      <sheetData sheetId="6">
        <row r="5">
          <cell r="D5">
            <v>2400000</v>
          </cell>
        </row>
        <row r="13">
          <cell r="D13">
            <v>18000000</v>
          </cell>
        </row>
        <row r="16">
          <cell r="D16">
            <v>108000000</v>
          </cell>
        </row>
        <row r="25">
          <cell r="D25">
            <v>6000000</v>
          </cell>
        </row>
      </sheetData>
      <sheetData sheetId="7">
        <row r="13">
          <cell r="G13">
            <v>4500000</v>
          </cell>
        </row>
        <row r="91">
          <cell r="G91">
            <v>650000000</v>
          </cell>
        </row>
        <row r="92">
          <cell r="G92">
            <v>25000000</v>
          </cell>
        </row>
        <row r="93">
          <cell r="G93">
            <v>14000000</v>
          </cell>
        </row>
        <row r="94">
          <cell r="G94">
            <v>221000000</v>
          </cell>
        </row>
        <row r="96">
          <cell r="G96">
            <v>34400000</v>
          </cell>
        </row>
        <row r="97">
          <cell r="G97">
            <v>20000000</v>
          </cell>
        </row>
        <row r="99">
          <cell r="G99">
            <v>40000000</v>
          </cell>
        </row>
        <row r="100">
          <cell r="G100">
            <v>240000000</v>
          </cell>
        </row>
        <row r="101">
          <cell r="G101">
            <v>18000000</v>
          </cell>
        </row>
        <row r="103">
          <cell r="G103">
            <v>15000000</v>
          </cell>
        </row>
        <row r="104">
          <cell r="G104">
            <v>1560000</v>
          </cell>
        </row>
        <row r="106">
          <cell r="G106">
            <v>47613900</v>
          </cell>
        </row>
        <row r="107">
          <cell r="G107">
            <v>160000000</v>
          </cell>
        </row>
        <row r="109">
          <cell r="G109">
            <v>900000000</v>
          </cell>
        </row>
        <row r="110">
          <cell r="G110">
            <v>21651000</v>
          </cell>
        </row>
        <row r="111">
          <cell r="G111">
            <v>15300000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écnica"/>
    </sheetNames>
    <sheetDataSet>
      <sheetData sheetId="0">
        <row r="5">
          <cell r="H5">
            <v>2000000</v>
          </cell>
        </row>
        <row r="17">
          <cell r="H17">
            <v>61600000</v>
          </cell>
        </row>
        <row r="32">
          <cell r="H32">
            <v>7000000</v>
          </cell>
        </row>
        <row r="35">
          <cell r="H35">
            <v>6000000</v>
          </cell>
        </row>
        <row r="43">
          <cell r="H43">
            <v>12000000</v>
          </cell>
        </row>
        <row r="45">
          <cell r="H45">
            <v>114000000</v>
          </cell>
        </row>
        <row r="60">
          <cell r="H60">
            <v>15000000</v>
          </cell>
        </row>
        <row r="63">
          <cell r="H63">
            <v>24000000</v>
          </cell>
        </row>
        <row r="69">
          <cell r="H69">
            <v>3000000</v>
          </cell>
        </row>
        <row r="72">
          <cell r="H72">
            <v>12360000</v>
          </cell>
        </row>
        <row r="74">
          <cell r="H74">
            <v>7000000</v>
          </cell>
        </row>
        <row r="77">
          <cell r="H77">
            <v>3600000</v>
          </cell>
        </row>
        <row r="81">
          <cell r="H81">
            <v>33900000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AÑO 1ER TRIMESTRE"/>
      <sheetName val="SOLICITUD II TRIMESTRE"/>
      <sheetName val="Proyectado ejecucion"/>
    </sheetNames>
    <sheetDataSet>
      <sheetData sheetId="0"/>
      <sheetData sheetId="1">
        <row r="24">
          <cell r="E24">
            <v>1929613</v>
          </cell>
        </row>
        <row r="38">
          <cell r="E38">
            <v>81800000</v>
          </cell>
        </row>
        <row r="44">
          <cell r="E44">
            <v>20000000</v>
          </cell>
        </row>
        <row r="45">
          <cell r="E45">
            <v>38800000</v>
          </cell>
        </row>
        <row r="46">
          <cell r="E46">
            <v>30000000</v>
          </cell>
        </row>
        <row r="48">
          <cell r="E48">
            <v>368508000</v>
          </cell>
        </row>
        <row r="51">
          <cell r="E51">
            <v>27500000</v>
          </cell>
        </row>
        <row r="52">
          <cell r="E52">
            <v>12000000</v>
          </cell>
        </row>
        <row r="53">
          <cell r="E53">
            <v>12200000</v>
          </cell>
        </row>
        <row r="55">
          <cell r="E55">
            <v>27500000</v>
          </cell>
        </row>
        <row r="59">
          <cell r="E59">
            <v>509346</v>
          </cell>
        </row>
        <row r="60">
          <cell r="E60">
            <v>15000000</v>
          </cell>
        </row>
        <row r="62">
          <cell r="E62">
            <v>15000000</v>
          </cell>
        </row>
        <row r="63">
          <cell r="E63">
            <v>35000000</v>
          </cell>
        </row>
        <row r="64">
          <cell r="E64">
            <v>22800000</v>
          </cell>
        </row>
        <row r="65">
          <cell r="E65">
            <v>10000000</v>
          </cell>
        </row>
        <row r="66">
          <cell r="E66">
            <v>5000000</v>
          </cell>
        </row>
        <row r="67">
          <cell r="E67">
            <v>10000000</v>
          </cell>
        </row>
        <row r="68">
          <cell r="E68">
            <v>2000000</v>
          </cell>
        </row>
        <row r="69">
          <cell r="E69">
            <v>1284288550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X Areas"/>
      <sheetName val="#¡REF"/>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80"/>
  <sheetViews>
    <sheetView tabSelected="1" showWhiteSpace="0" view="pageBreakPreview" zoomScale="90" zoomScaleNormal="90" zoomScaleSheetLayoutView="90" workbookViewId="0">
      <pane xSplit="1" ySplit="9" topLeftCell="C10" activePane="bottomRight" state="frozen"/>
      <selection pane="topRight" activeCell="B1" sqref="B1"/>
      <selection pane="bottomLeft" activeCell="A10" sqref="A10"/>
      <selection pane="bottomRight" activeCell="K151" sqref="K151"/>
    </sheetView>
  </sheetViews>
  <sheetFormatPr baseColWidth="10" defaultRowHeight="12.75" outlineLevelRow="2" x14ac:dyDescent="0.2"/>
  <cols>
    <col min="1" max="1" width="57.7109375" style="2" customWidth="1"/>
    <col min="2" max="2" width="14.5703125" style="2" customWidth="1"/>
    <col min="3" max="3" width="14.7109375" style="2" customWidth="1"/>
    <col min="4" max="4" width="18.42578125" style="2" customWidth="1"/>
    <col min="5" max="5" width="13.42578125" style="2" customWidth="1"/>
    <col min="6" max="7" width="15.42578125" style="2" customWidth="1"/>
    <col min="8" max="8" width="16.140625" style="2" customWidth="1"/>
    <col min="9" max="9" width="20" style="2" customWidth="1"/>
    <col min="10" max="11" width="18.140625" style="2" customWidth="1"/>
    <col min="12" max="12" width="15.85546875" style="2" customWidth="1"/>
    <col min="13" max="13" width="9.42578125" style="2" customWidth="1"/>
    <col min="14" max="14" width="17.85546875" style="2" bestFit="1" customWidth="1"/>
    <col min="15" max="17" width="14.5703125" style="2" customWidth="1"/>
    <col min="18" max="16384" width="11.42578125" style="2"/>
  </cols>
  <sheetData>
    <row r="1" spans="1:16" ht="15" x14ac:dyDescent="0.25">
      <c r="A1" s="1" t="s">
        <v>0</v>
      </c>
      <c r="B1" s="1"/>
      <c r="C1" s="1"/>
      <c r="D1" s="1"/>
      <c r="E1" s="1"/>
      <c r="F1" s="1"/>
      <c r="G1" s="1"/>
      <c r="H1" s="1"/>
      <c r="I1" s="1"/>
      <c r="J1" s="1"/>
      <c r="K1" s="1"/>
      <c r="L1" s="1"/>
      <c r="M1" s="1"/>
    </row>
    <row r="2" spans="1:16" ht="15" x14ac:dyDescent="0.25">
      <c r="A2" s="1" t="s">
        <v>1</v>
      </c>
      <c r="B2" s="1"/>
      <c r="C2" s="1"/>
      <c r="D2" s="1"/>
      <c r="E2" s="1"/>
      <c r="F2" s="1"/>
      <c r="G2" s="1"/>
      <c r="H2" s="1"/>
      <c r="I2" s="1"/>
      <c r="J2" s="1"/>
      <c r="K2" s="1"/>
      <c r="L2" s="1"/>
      <c r="M2" s="1"/>
    </row>
    <row r="3" spans="1:16" ht="15" x14ac:dyDescent="0.25">
      <c r="A3" s="1" t="s">
        <v>2</v>
      </c>
      <c r="B3" s="1"/>
      <c r="C3" s="1"/>
      <c r="D3" s="1"/>
      <c r="E3" s="1"/>
      <c r="F3" s="1"/>
      <c r="G3" s="1"/>
      <c r="H3" s="1"/>
      <c r="I3" s="1"/>
      <c r="J3" s="1"/>
      <c r="K3" s="1"/>
      <c r="L3" s="1"/>
      <c r="M3" s="1"/>
    </row>
    <row r="4" spans="1:16" ht="15" x14ac:dyDescent="0.25">
      <c r="A4" s="1" t="s">
        <v>3</v>
      </c>
      <c r="B4" s="1"/>
      <c r="C4" s="1"/>
      <c r="D4" s="1"/>
      <c r="E4" s="1"/>
      <c r="F4" s="1"/>
      <c r="G4" s="1"/>
      <c r="H4" s="1"/>
      <c r="I4" s="1"/>
      <c r="J4" s="1"/>
      <c r="K4" s="1"/>
      <c r="L4" s="1"/>
      <c r="M4" s="1"/>
    </row>
    <row r="5" spans="1:16" ht="15" x14ac:dyDescent="0.25">
      <c r="A5" s="1" t="s">
        <v>4</v>
      </c>
      <c r="B5" s="1"/>
      <c r="C5" s="1"/>
      <c r="D5" s="1"/>
      <c r="E5" s="1"/>
      <c r="F5" s="1"/>
      <c r="G5" s="1"/>
      <c r="H5" s="1"/>
      <c r="I5" s="1"/>
      <c r="J5" s="1"/>
      <c r="K5" s="1"/>
      <c r="L5" s="1"/>
      <c r="M5" s="1"/>
    </row>
    <row r="6" spans="1:16" ht="15.75" thickBot="1" x14ac:dyDescent="0.3">
      <c r="A6" s="3"/>
      <c r="B6" s="4"/>
      <c r="C6" s="5"/>
      <c r="D6" s="5"/>
      <c r="E6" s="6"/>
      <c r="F6" s="6"/>
      <c r="G6" s="6"/>
      <c r="H6" s="7"/>
      <c r="I6" s="6"/>
    </row>
    <row r="7" spans="1:16" ht="75.75" customHeight="1" thickTop="1" x14ac:dyDescent="0.2">
      <c r="A7" s="8" t="s">
        <v>5</v>
      </c>
      <c r="B7" s="9" t="s">
        <v>6</v>
      </c>
      <c r="C7" s="9" t="s">
        <v>7</v>
      </c>
      <c r="D7" s="9" t="s">
        <v>8</v>
      </c>
      <c r="E7" s="9" t="s">
        <v>9</v>
      </c>
      <c r="F7" s="9" t="s">
        <v>10</v>
      </c>
      <c r="G7" s="9" t="s">
        <v>11</v>
      </c>
      <c r="H7" s="9" t="s">
        <v>12</v>
      </c>
      <c r="I7" s="9" t="s">
        <v>13</v>
      </c>
      <c r="J7" s="9" t="s">
        <v>14</v>
      </c>
      <c r="K7" s="9" t="s">
        <v>15</v>
      </c>
      <c r="L7" s="9" t="s">
        <v>16</v>
      </c>
      <c r="M7" s="10" t="s">
        <v>17</v>
      </c>
    </row>
    <row r="8" spans="1:16" ht="15" x14ac:dyDescent="0.25">
      <c r="A8" s="11" t="s">
        <v>18</v>
      </c>
      <c r="B8" s="12"/>
      <c r="C8" s="12"/>
      <c r="D8" s="12"/>
      <c r="E8" s="12"/>
      <c r="F8" s="12"/>
      <c r="G8" s="12"/>
      <c r="H8" s="12"/>
      <c r="I8" s="12"/>
      <c r="J8" s="12"/>
      <c r="K8" s="12"/>
      <c r="L8" s="12"/>
      <c r="M8" s="13"/>
    </row>
    <row r="9" spans="1:16" ht="15" x14ac:dyDescent="0.25">
      <c r="A9" s="14" t="s">
        <v>19</v>
      </c>
      <c r="B9" s="15">
        <f t="shared" ref="B9:K9" si="0">SUM(B10:B19)</f>
        <v>281415436.08134878</v>
      </c>
      <c r="C9" s="15">
        <f t="shared" si="0"/>
        <v>84406620.274227053</v>
      </c>
      <c r="D9" s="15">
        <f t="shared" si="0"/>
        <v>72585832.113937318</v>
      </c>
      <c r="E9" s="15">
        <f t="shared" si="0"/>
        <v>9917034.0275999997</v>
      </c>
      <c r="F9" s="15">
        <f t="shared" si="0"/>
        <v>74649496.059123501</v>
      </c>
      <c r="G9" s="15">
        <f t="shared" si="0"/>
        <v>266074974.32212943</v>
      </c>
      <c r="H9" s="15">
        <f t="shared" si="0"/>
        <v>789049392.87836611</v>
      </c>
      <c r="I9" s="15">
        <f t="shared" si="0"/>
        <v>80604254.775400013</v>
      </c>
      <c r="J9" s="15">
        <f t="shared" si="0"/>
        <v>869653647.65376616</v>
      </c>
      <c r="K9" s="15">
        <f t="shared" si="0"/>
        <v>849610562</v>
      </c>
      <c r="L9" s="15">
        <f>+K9-J9</f>
        <v>-20043085.653766155</v>
      </c>
      <c r="M9" s="16">
        <f t="shared" ref="M9:M72" si="1">IFERROR(K9/J9,0)</f>
        <v>0.97695279527908574</v>
      </c>
      <c r="N9" s="17"/>
    </row>
    <row r="10" spans="1:16" ht="14.25" x14ac:dyDescent="0.2">
      <c r="A10" s="18" t="s">
        <v>20</v>
      </c>
      <c r="B10" s="19">
        <f>+'[1]Nómina y honorarios 2015'!K21</f>
        <v>176223884.9262</v>
      </c>
      <c r="C10" s="19">
        <f>+'[1]Nómina y honorarios 2015'!K48</f>
        <v>60095541.904799998</v>
      </c>
      <c r="D10" s="19">
        <f>+'[1]Nómina y honorarios 2015'!K57</f>
        <v>52311298.9014</v>
      </c>
      <c r="E10" s="19">
        <f>+'[1]Nómina y honorarios 2015'!K65</f>
        <v>6530580</v>
      </c>
      <c r="F10" s="19">
        <f>+'[1]Nómina y honorarios 2015'!K39</f>
        <v>53670265.952399999</v>
      </c>
      <c r="G10" s="19">
        <f>+'[1]Nómina y honorarios 2015'!K69</f>
        <v>179083967.27880001</v>
      </c>
      <c r="H10" s="20">
        <f t="shared" ref="H10:H19" si="2">+B10+C10+D10+G10+E10+F10</f>
        <v>527915538.96360004</v>
      </c>
      <c r="I10" s="19">
        <f>+'[1]Nómina y honorarios 2015'!K12</f>
        <v>35720400</v>
      </c>
      <c r="J10" s="19">
        <f t="shared" ref="J10:J19" si="3">+H10+I10</f>
        <v>563635938.96360004</v>
      </c>
      <c r="K10" s="19">
        <v>551484792</v>
      </c>
      <c r="L10" s="19">
        <f t="shared" ref="L10:L73" si="4">+K10-J10</f>
        <v>-12151146.963600039</v>
      </c>
      <c r="M10" s="21">
        <f t="shared" si="1"/>
        <v>0.97844149720838725</v>
      </c>
      <c r="P10" s="22"/>
    </row>
    <row r="11" spans="1:16" ht="14.25" x14ac:dyDescent="0.2">
      <c r="A11" s="18" t="s">
        <v>21</v>
      </c>
      <c r="B11" s="19">
        <f>+'[1]Nómina y honorarios 2015'!O21</f>
        <v>7342661.8719250001</v>
      </c>
      <c r="C11" s="19">
        <f>+'[1]Nómina y honorarios 2015'!O48</f>
        <v>2503980.9126999998</v>
      </c>
      <c r="D11" s="19">
        <f>+'[1]Nómina y honorarios 2015'!O57</f>
        <v>2179637.454225</v>
      </c>
      <c r="E11" s="19">
        <f>+'[1]Nómina y honorarios 2015'!O65</f>
        <v>272107.5</v>
      </c>
      <c r="F11" s="19">
        <f>+'[1]Nómina y honorarios 2015'!O39</f>
        <v>2236261.0813499996</v>
      </c>
      <c r="G11" s="19">
        <f>+'[1]Nómina y honorarios 2015'!O69</f>
        <v>7461831.9699500008</v>
      </c>
      <c r="H11" s="20">
        <f t="shared" si="2"/>
        <v>21996480.790149998</v>
      </c>
      <c r="I11" s="19">
        <f>+'[1]Nómina y honorarios 2015'!O12</f>
        <v>1166175</v>
      </c>
      <c r="J11" s="19">
        <f t="shared" si="3"/>
        <v>23162655.790149998</v>
      </c>
      <c r="K11" s="19">
        <v>23068355</v>
      </c>
      <c r="L11" s="19">
        <f t="shared" si="4"/>
        <v>-94300.79014999792</v>
      </c>
      <c r="M11" s="21">
        <f t="shared" si="1"/>
        <v>0.9959287574359198</v>
      </c>
      <c r="N11" s="23"/>
    </row>
    <row r="12" spans="1:16" ht="14.25" x14ac:dyDescent="0.2">
      <c r="A12" s="18" t="s">
        <v>22</v>
      </c>
      <c r="B12" s="19">
        <f>+'[1]Nómina y honorarios 2015'!N21</f>
        <v>12503046.24385</v>
      </c>
      <c r="C12" s="19">
        <f>+'[1]Nómina y honorarios 2015'!N48</f>
        <v>2825684.3253999995</v>
      </c>
      <c r="D12" s="19">
        <f>+'[1]Nómina y honorarios 2015'!N57</f>
        <v>2176997.40845</v>
      </c>
      <c r="E12" s="19">
        <f>+'[1]Nómina y honorarios 2015'!N65</f>
        <v>544215</v>
      </c>
      <c r="F12" s="19">
        <f>+'[1]Nómina y honorarios 2015'!N39</f>
        <v>2290244.6626999998</v>
      </c>
      <c r="G12" s="19">
        <f>+'[1]Nómina y honorarios 2015'!N69</f>
        <v>12741386.439900002</v>
      </c>
      <c r="H12" s="20">
        <f t="shared" si="2"/>
        <v>33081574.0803</v>
      </c>
      <c r="I12" s="19">
        <f>+'[1]Nómina y honorarios 2015'!N12</f>
        <v>2332350</v>
      </c>
      <c r="J12" s="19">
        <f t="shared" si="3"/>
        <v>35413924.080300003</v>
      </c>
      <c r="K12" s="19">
        <v>35277956</v>
      </c>
      <c r="L12" s="19">
        <f t="shared" si="4"/>
        <v>-135968.08030000329</v>
      </c>
      <c r="M12" s="21">
        <f t="shared" si="1"/>
        <v>0.99616060394799233</v>
      </c>
      <c r="N12" s="23"/>
    </row>
    <row r="13" spans="1:16" ht="14.25" x14ac:dyDescent="0.2">
      <c r="A13" s="18" t="s">
        <v>23</v>
      </c>
      <c r="B13" s="24">
        <f>+[2]Solicitud!$C$5</f>
        <v>19960750</v>
      </c>
      <c r="C13" s="24">
        <v>0</v>
      </c>
      <c r="D13" s="24">
        <v>0</v>
      </c>
      <c r="E13" s="20">
        <v>0</v>
      </c>
      <c r="F13" s="20">
        <v>0</v>
      </c>
      <c r="G13" s="20">
        <v>0</v>
      </c>
      <c r="H13" s="20">
        <f t="shared" si="2"/>
        <v>19960750</v>
      </c>
      <c r="I13" s="19">
        <f>+'[1]Nómina y honorarios 2015'!I107</f>
        <v>29363593.2874</v>
      </c>
      <c r="J13" s="19">
        <f t="shared" si="3"/>
        <v>49324343.2874</v>
      </c>
      <c r="K13" s="19">
        <v>43006746</v>
      </c>
      <c r="L13" s="19">
        <f t="shared" si="4"/>
        <v>-6317597.2873999998</v>
      </c>
      <c r="M13" s="21">
        <f t="shared" si="1"/>
        <v>0.87191725492240169</v>
      </c>
      <c r="N13" s="23"/>
    </row>
    <row r="14" spans="1:16" ht="14.25" x14ac:dyDescent="0.2">
      <c r="A14" s="18" t="s">
        <v>24</v>
      </c>
      <c r="B14" s="19">
        <f>+'[1]Nómina y honorarios 2015'!K96</f>
        <v>800000</v>
      </c>
      <c r="C14" s="19">
        <f>+'[1]Nómina y honorarios 2015'!O96</f>
        <v>200000</v>
      </c>
      <c r="D14" s="19">
        <f>+'[1]Nómina y honorarios 2015'!Q96</f>
        <v>200000</v>
      </c>
      <c r="E14" s="19">
        <v>0</v>
      </c>
      <c r="F14" s="19">
        <f>+'[1]Nómina y honorarios 2015'!M96</f>
        <v>200000</v>
      </c>
      <c r="G14" s="19">
        <f>+'[1]Nómina y honorarios 2015'!S96</f>
        <v>600000</v>
      </c>
      <c r="H14" s="20">
        <f t="shared" si="2"/>
        <v>2000000</v>
      </c>
      <c r="I14" s="19">
        <f>+'[1]Nómina y honorarios 2015'!I96</f>
        <v>0</v>
      </c>
      <c r="J14" s="19">
        <f t="shared" si="3"/>
        <v>2000000</v>
      </c>
      <c r="K14" s="19">
        <v>2000000</v>
      </c>
      <c r="L14" s="19">
        <f t="shared" si="4"/>
        <v>0</v>
      </c>
      <c r="M14" s="21">
        <f t="shared" si="1"/>
        <v>1</v>
      </c>
      <c r="N14" s="23"/>
    </row>
    <row r="15" spans="1:16" ht="14.25" x14ac:dyDescent="0.2">
      <c r="A15" s="18" t="s">
        <v>25</v>
      </c>
      <c r="B15" s="19">
        <f>+'[1]Nómina y honorarios 2015'!L21</f>
        <v>12503046.24385</v>
      </c>
      <c r="C15" s="19">
        <f>+'[1]Nómina y honorarios 2015'!L48</f>
        <v>2825684.3253999995</v>
      </c>
      <c r="D15" s="19">
        <f>+'[1]Nómina y honorarios 2015'!L57</f>
        <v>2176997.40845</v>
      </c>
      <c r="E15" s="19">
        <f>+'[1]Nómina y honorarios 2015'!L65</f>
        <v>544215</v>
      </c>
      <c r="F15" s="19">
        <f>+'[1]Nómina y honorarios 2015'!L39</f>
        <v>2290244.6626999998</v>
      </c>
      <c r="G15" s="19">
        <f>+'[1]Nómina y honorarios 2015'!L69</f>
        <v>12741386.439900002</v>
      </c>
      <c r="H15" s="20">
        <f t="shared" si="2"/>
        <v>33081574.0803</v>
      </c>
      <c r="I15" s="19">
        <f>+'[1]Nómina y honorarios 2015'!L12</f>
        <v>2332350</v>
      </c>
      <c r="J15" s="19">
        <f t="shared" si="3"/>
        <v>35413924.080300003</v>
      </c>
      <c r="K15" s="19">
        <v>35277956</v>
      </c>
      <c r="L15" s="19">
        <f t="shared" si="4"/>
        <v>-135968.08030000329</v>
      </c>
      <c r="M15" s="21">
        <f t="shared" si="1"/>
        <v>0.99616060394799233</v>
      </c>
      <c r="N15" s="23"/>
      <c r="O15" s="25"/>
      <c r="P15" s="25"/>
    </row>
    <row r="16" spans="1:16" ht="14.25" x14ac:dyDescent="0.2">
      <c r="A16" s="18" t="s">
        <v>26</v>
      </c>
      <c r="B16" s="19">
        <f>+'[1]Nómina y honorarios 2015'!M21</f>
        <v>1500365.5492619998</v>
      </c>
      <c r="C16" s="19">
        <f>+'[1]Nómina y honorarios 2015'!M48</f>
        <v>339082.11904799996</v>
      </c>
      <c r="D16" s="19">
        <f>+'[1]Nómina y honorarios 2015'!M57</f>
        <v>261239.68901399997</v>
      </c>
      <c r="E16" s="19">
        <f>+'[1]Nómina y honorarios 2015'!M65</f>
        <v>65305.799999999996</v>
      </c>
      <c r="F16" s="19">
        <f>+'[1]Nómina y honorarios 2015'!M39</f>
        <v>274829.35952399997</v>
      </c>
      <c r="G16" s="19">
        <f>+'[1]Nómina y honorarios 2015'!M69</f>
        <v>1528966.3727879999</v>
      </c>
      <c r="H16" s="20">
        <f t="shared" si="2"/>
        <v>3969788.8896359992</v>
      </c>
      <c r="I16" s="19">
        <f>+'[1]Nómina y honorarios 2015'!M12</f>
        <v>279882</v>
      </c>
      <c r="J16" s="19">
        <f t="shared" si="3"/>
        <v>4249670.8896359988</v>
      </c>
      <c r="K16" s="19">
        <v>4249669</v>
      </c>
      <c r="L16" s="19">
        <f t="shared" si="4"/>
        <v>-1.8896359987556934</v>
      </c>
      <c r="M16" s="21">
        <f t="shared" si="1"/>
        <v>0.99999955534533191</v>
      </c>
      <c r="N16" s="23"/>
      <c r="O16" s="25"/>
      <c r="P16" s="25"/>
    </row>
    <row r="17" spans="1:14" ht="14.25" x14ac:dyDescent="0.2">
      <c r="A17" s="18" t="s">
        <v>27</v>
      </c>
      <c r="B17" s="19">
        <f>+'[1]Nómina y honorarios 2015'!S21</f>
        <v>35508509.51290381</v>
      </c>
      <c r="C17" s="19">
        <f>+'[1]Nómina y honorarios 2015'!S48</f>
        <v>10935085.825447055</v>
      </c>
      <c r="D17" s="19">
        <f>+'[1]Nómina y honorarios 2015'!S57</f>
        <v>9298682.2612723075</v>
      </c>
      <c r="E17" s="19">
        <f>+'[1]Nómina y honorarios 2015'!S65</f>
        <v>1372858.5275999999</v>
      </c>
      <c r="F17" s="19">
        <f>+'[1]Nómina y honorarios 2015'!S39</f>
        <v>9584364.3147335276</v>
      </c>
      <c r="G17" s="19">
        <f>+'[1]Nómina y honorarios 2015'!S69</f>
        <v>36566876.675699368</v>
      </c>
      <c r="H17" s="20">
        <f t="shared" si="2"/>
        <v>103266377.11765608</v>
      </c>
      <c r="I17" s="19">
        <f>+'[1]Nómina y honorarios 2015'!S12</f>
        <v>6890566.4880000008</v>
      </c>
      <c r="J17" s="19">
        <f t="shared" si="3"/>
        <v>110156943.60565609</v>
      </c>
      <c r="K17" s="19">
        <v>109192429</v>
      </c>
      <c r="L17" s="19">
        <f t="shared" si="4"/>
        <v>-964514.6056560874</v>
      </c>
      <c r="M17" s="21">
        <f t="shared" si="1"/>
        <v>0.99124417786037267</v>
      </c>
      <c r="N17" s="23"/>
    </row>
    <row r="18" spans="1:14" ht="14.25" x14ac:dyDescent="0.2">
      <c r="A18" s="18" t="s">
        <v>28</v>
      </c>
      <c r="B18" s="19">
        <f>+'[1]Nómina y honorarios 2015'!U21</f>
        <v>6699187.4370480003</v>
      </c>
      <c r="C18" s="19">
        <f>+'[1]Nómina y honorarios 2015'!U48</f>
        <v>2080693.7161920001</v>
      </c>
      <c r="D18" s="19">
        <f>+'[1]Nómina y honorarios 2015'!U57</f>
        <v>1769323.996056</v>
      </c>
      <c r="E18" s="19">
        <f>+'[1]Nómina y honorarios 2015'!U65</f>
        <v>261223.20000000004</v>
      </c>
      <c r="F18" s="19">
        <f>+'[1]Nómina y honorarios 2015'!U39</f>
        <v>1823682.6780960001</v>
      </c>
      <c r="G18" s="19">
        <f>+'[1]Nómina y honorarios 2015'!U69</f>
        <v>6822470.7311519999</v>
      </c>
      <c r="H18" s="20">
        <f t="shared" si="2"/>
        <v>19456581.758543998</v>
      </c>
      <c r="I18" s="19">
        <f>+'[1]Nómina y honorarios 2015'!U12</f>
        <v>1119528</v>
      </c>
      <c r="J18" s="19">
        <f t="shared" si="3"/>
        <v>20576109.758543998</v>
      </c>
      <c r="K18" s="19">
        <v>20469771</v>
      </c>
      <c r="L18" s="19">
        <f t="shared" si="4"/>
        <v>-106338.758543998</v>
      </c>
      <c r="M18" s="21">
        <f t="shared" si="1"/>
        <v>0.99483193082697075</v>
      </c>
      <c r="N18" s="23"/>
    </row>
    <row r="19" spans="1:14" ht="14.25" x14ac:dyDescent="0.2">
      <c r="A19" s="18" t="s">
        <v>29</v>
      </c>
      <c r="B19" s="19">
        <f>+'[1]Nómina y honorarios 2015'!X21</f>
        <v>8373984.2963100011</v>
      </c>
      <c r="C19" s="19">
        <f>+'[1]Nómina y honorarios 2015'!X48</f>
        <v>2600867.1452400004</v>
      </c>
      <c r="D19" s="19">
        <f>+'[1]Nómina y honorarios 2015'!X57</f>
        <v>2211654.9950700002</v>
      </c>
      <c r="E19" s="19">
        <f>+'[1]Nómina y honorarios 2015'!X65</f>
        <v>326529</v>
      </c>
      <c r="F19" s="19">
        <f>+'[1]Nómina y honorarios 2015'!X39</f>
        <v>2279603.3476200001</v>
      </c>
      <c r="G19" s="19">
        <f>+'[1]Nómina y honorarios 2015'!X69</f>
        <v>8528088.4139399994</v>
      </c>
      <c r="H19" s="20">
        <f t="shared" si="2"/>
        <v>24320727.198180001</v>
      </c>
      <c r="I19" s="19">
        <f>+'[1]Nómina y honorarios 2015'!X12</f>
        <v>1399410</v>
      </c>
      <c r="J19" s="19">
        <f t="shared" si="3"/>
        <v>25720137.198180001</v>
      </c>
      <c r="K19" s="19">
        <v>25582888</v>
      </c>
      <c r="L19" s="19">
        <f t="shared" si="4"/>
        <v>-137249.19818000123</v>
      </c>
      <c r="M19" s="21">
        <f t="shared" si="1"/>
        <v>0.99466374548772962</v>
      </c>
      <c r="N19" s="23"/>
    </row>
    <row r="20" spans="1:14" ht="15" x14ac:dyDescent="0.25">
      <c r="A20" s="26" t="s">
        <v>30</v>
      </c>
      <c r="B20" s="27">
        <f t="shared" ref="B20:G20" si="5">SUM(B10:B19)</f>
        <v>281415436.08134878</v>
      </c>
      <c r="C20" s="27">
        <f t="shared" si="5"/>
        <v>84406620.274227053</v>
      </c>
      <c r="D20" s="27">
        <f t="shared" si="5"/>
        <v>72585832.113937318</v>
      </c>
      <c r="E20" s="27">
        <f t="shared" si="5"/>
        <v>9917034.0275999997</v>
      </c>
      <c r="F20" s="27">
        <f t="shared" si="5"/>
        <v>74649496.059123501</v>
      </c>
      <c r="G20" s="27">
        <f t="shared" si="5"/>
        <v>266074974.32212943</v>
      </c>
      <c r="H20" s="27">
        <f>+B20+C20+D20+G20+E20+F20</f>
        <v>789049392.87836611</v>
      </c>
      <c r="I20" s="27">
        <f>SUM(I10:I19)</f>
        <v>80604254.775400013</v>
      </c>
      <c r="J20" s="27">
        <f>SUM(J10:J19)</f>
        <v>869653647.65376616</v>
      </c>
      <c r="K20" s="27">
        <f>SUM(K10:K19)</f>
        <v>849610562</v>
      </c>
      <c r="L20" s="27">
        <f t="shared" si="4"/>
        <v>-20043085.653766155</v>
      </c>
      <c r="M20" s="16">
        <f t="shared" si="1"/>
        <v>0.97695279527908574</v>
      </c>
      <c r="N20" s="28"/>
    </row>
    <row r="21" spans="1:14" ht="15" x14ac:dyDescent="0.25">
      <c r="A21" s="11" t="s">
        <v>31</v>
      </c>
      <c r="B21" s="19"/>
      <c r="C21" s="19"/>
      <c r="D21" s="19"/>
      <c r="E21" s="19"/>
      <c r="F21" s="19"/>
      <c r="G21" s="19"/>
      <c r="H21" s="19"/>
      <c r="I21" s="27"/>
      <c r="J21" s="19"/>
      <c r="K21" s="27"/>
      <c r="L21" s="27"/>
      <c r="M21" s="16"/>
      <c r="N21" s="23"/>
    </row>
    <row r="22" spans="1:14" ht="14.25" x14ac:dyDescent="0.2">
      <c r="A22" s="29" t="s">
        <v>32</v>
      </c>
      <c r="B22" s="30">
        <f>+[1]Funcionamiento!I10</f>
        <v>16000000</v>
      </c>
      <c r="C22" s="30">
        <f>+[1]Funcionamiento!J10</f>
        <v>2000000</v>
      </c>
      <c r="D22" s="30">
        <f>+[1]Funcionamiento!K10</f>
        <v>0</v>
      </c>
      <c r="E22" s="30">
        <v>0</v>
      </c>
      <c r="F22" s="30">
        <f>+[1]Funcionamiento!L10</f>
        <v>0</v>
      </c>
      <c r="G22" s="30">
        <f>+[1]Funcionamiento!G10</f>
        <v>4500000</v>
      </c>
      <c r="H22" s="30">
        <f t="shared" ref="H22:H36" si="6">+B22+C22+D22+G22+E22+F22</f>
        <v>22500000</v>
      </c>
      <c r="I22" s="19">
        <f>+[1]Funcionamiento!F10</f>
        <v>26387281.850000001</v>
      </c>
      <c r="J22" s="19">
        <f>+I22+H22</f>
        <v>48887281.850000001</v>
      </c>
      <c r="K22" s="19">
        <v>21806345</v>
      </c>
      <c r="L22" s="19">
        <f t="shared" si="4"/>
        <v>-27080936.850000001</v>
      </c>
      <c r="M22" s="21">
        <f t="shared" si="1"/>
        <v>0.44605353733733921</v>
      </c>
      <c r="N22" s="23"/>
    </row>
    <row r="23" spans="1:14" ht="14.25" x14ac:dyDescent="0.2">
      <c r="A23" s="29" t="s">
        <v>33</v>
      </c>
      <c r="B23" s="19">
        <f>+[1]Funcionamiento!I24</f>
        <v>3000000</v>
      </c>
      <c r="C23" s="30">
        <f>+[1]Funcionamiento!J24</f>
        <v>2000000</v>
      </c>
      <c r="D23" s="30">
        <f>+[1]Funcionamiento!K24</f>
        <v>0</v>
      </c>
      <c r="E23" s="19">
        <f>+[1]Funcionamiento!H24</f>
        <v>2400000</v>
      </c>
      <c r="F23" s="30">
        <v>0</v>
      </c>
      <c r="G23" s="19">
        <f>+[1]Funcionamiento!G24</f>
        <v>3000000</v>
      </c>
      <c r="H23" s="30">
        <f t="shared" si="6"/>
        <v>10400000</v>
      </c>
      <c r="I23" s="19">
        <f>+[1]Funcionamiento!F24</f>
        <v>2813849.79</v>
      </c>
      <c r="J23" s="19">
        <f t="shared" ref="J23:J36" si="7">+H23+I23</f>
        <v>13213849.789999999</v>
      </c>
      <c r="K23" s="19">
        <v>7207258</v>
      </c>
      <c r="L23" s="19">
        <f t="shared" si="4"/>
        <v>-6006591.7899999991</v>
      </c>
      <c r="M23" s="21">
        <f t="shared" si="1"/>
        <v>0.54543211210515818</v>
      </c>
    </row>
    <row r="24" spans="1:14" ht="14.25" x14ac:dyDescent="0.2">
      <c r="A24" s="29" t="s">
        <v>34</v>
      </c>
      <c r="B24" s="30">
        <v>0</v>
      </c>
      <c r="C24" s="30">
        <v>0</v>
      </c>
      <c r="D24" s="30">
        <v>0</v>
      </c>
      <c r="E24" s="30">
        <v>0</v>
      </c>
      <c r="F24" s="30">
        <v>0</v>
      </c>
      <c r="G24" s="30">
        <f>+[1]Funcionamiento!G14</f>
        <v>3500000</v>
      </c>
      <c r="H24" s="30">
        <f t="shared" si="6"/>
        <v>3500000</v>
      </c>
      <c r="I24" s="19">
        <f>+[1]Funcionamiento!F14</f>
        <v>4751579.0049999999</v>
      </c>
      <c r="J24" s="19">
        <f t="shared" si="7"/>
        <v>8251579.0049999999</v>
      </c>
      <c r="K24" s="19">
        <v>7772147</v>
      </c>
      <c r="L24" s="19">
        <f t="shared" si="4"/>
        <v>-479432.00499999989</v>
      </c>
      <c r="M24" s="21">
        <f t="shared" si="1"/>
        <v>0.94189815007412636</v>
      </c>
      <c r="N24" s="23"/>
    </row>
    <row r="25" spans="1:14" ht="14.25" x14ac:dyDescent="0.2">
      <c r="A25" s="29" t="s">
        <v>35</v>
      </c>
      <c r="B25" s="19">
        <f>+[1]Funcionamiento!I26</f>
        <v>4849333</v>
      </c>
      <c r="C25" s="30">
        <f>+[1]Funcionamiento!J26</f>
        <v>2643237.5</v>
      </c>
      <c r="D25" s="30">
        <f>+[1]Funcionamiento!K26</f>
        <v>1586000</v>
      </c>
      <c r="E25" s="30">
        <f>+[1]Funcionamiento!H26</f>
        <v>1000000</v>
      </c>
      <c r="F25" s="30">
        <f>+[1]Funcionamiento!L26</f>
        <v>2499655</v>
      </c>
      <c r="G25" s="30">
        <f>+[1]Funcionamiento!G26</f>
        <v>63000000</v>
      </c>
      <c r="H25" s="30">
        <f t="shared" si="6"/>
        <v>75578225.5</v>
      </c>
      <c r="I25" s="19">
        <f>+[1]Funcionamiento!F26</f>
        <v>11662387.5</v>
      </c>
      <c r="J25" s="19">
        <f t="shared" si="7"/>
        <v>87240613</v>
      </c>
      <c r="K25" s="19">
        <v>69152305</v>
      </c>
      <c r="L25" s="19">
        <f t="shared" si="4"/>
        <v>-18088308</v>
      </c>
      <c r="M25" s="21">
        <f t="shared" si="1"/>
        <v>0.79266184202534207</v>
      </c>
    </row>
    <row r="26" spans="1:14" ht="14.25" x14ac:dyDescent="0.2">
      <c r="A26" s="29" t="s">
        <v>36</v>
      </c>
      <c r="B26" s="30">
        <f>+[1]Funcionamiento!I28</f>
        <v>300000</v>
      </c>
      <c r="C26" s="30">
        <f>+[1]Funcionamiento!J28</f>
        <v>638441.93999999994</v>
      </c>
      <c r="D26" s="30">
        <f>+[1]Funcionamiento!K28</f>
        <v>513250</v>
      </c>
      <c r="E26" s="30">
        <f>+[1]Funcionamiento!H28</f>
        <v>300000</v>
      </c>
      <c r="F26" s="30">
        <f>+[1]Funcionamiento!L28</f>
        <v>602658</v>
      </c>
      <c r="G26" s="30">
        <f>+[1]Funcionamiento!G28</f>
        <v>750000</v>
      </c>
      <c r="H26" s="30">
        <f t="shared" si="6"/>
        <v>3104349.94</v>
      </c>
      <c r="I26" s="19">
        <f>+[1]Funcionamiento!F28</f>
        <v>1126865.835</v>
      </c>
      <c r="J26" s="19">
        <f t="shared" si="7"/>
        <v>4231215.7750000004</v>
      </c>
      <c r="K26" s="19">
        <v>2041800</v>
      </c>
      <c r="L26" s="19">
        <f t="shared" si="4"/>
        <v>-2189415.7750000004</v>
      </c>
      <c r="M26" s="21">
        <f t="shared" si="1"/>
        <v>0.4825563404409457</v>
      </c>
    </row>
    <row r="27" spans="1:14" ht="14.25" x14ac:dyDescent="0.2">
      <c r="A27" s="18" t="s">
        <v>37</v>
      </c>
      <c r="B27" s="30">
        <v>0</v>
      </c>
      <c r="C27" s="30">
        <v>0</v>
      </c>
      <c r="D27" s="30">
        <v>0</v>
      </c>
      <c r="E27" s="30">
        <v>0</v>
      </c>
      <c r="F27" s="30">
        <v>0</v>
      </c>
      <c r="G27" s="30">
        <v>0</v>
      </c>
      <c r="H27" s="30">
        <f t="shared" si="6"/>
        <v>0</v>
      </c>
      <c r="I27" s="19">
        <f>+[1]Funcionamiento!F8</f>
        <v>5000000</v>
      </c>
      <c r="J27" s="19">
        <f t="shared" si="7"/>
        <v>5000000</v>
      </c>
      <c r="K27" s="19">
        <v>380000</v>
      </c>
      <c r="L27" s="19">
        <f t="shared" si="4"/>
        <v>-4620000</v>
      </c>
      <c r="M27" s="21">
        <f t="shared" si="1"/>
        <v>7.5999999999999998E-2</v>
      </c>
      <c r="N27" s="23"/>
    </row>
    <row r="28" spans="1:14" ht="14.25" x14ac:dyDescent="0.2">
      <c r="A28" s="29" t="s">
        <v>38</v>
      </c>
      <c r="B28" s="30">
        <f>+[1]Funcionamiento!I16</f>
        <v>1900000</v>
      </c>
      <c r="C28" s="30">
        <f>+[1]Funcionamiento!J16</f>
        <v>1900000</v>
      </c>
      <c r="D28" s="30">
        <f>+[1]Funcionamiento!K16</f>
        <v>1900000</v>
      </c>
      <c r="E28" s="30">
        <f>+[1]Funcionamiento!H16</f>
        <v>1900000</v>
      </c>
      <c r="F28" s="30">
        <f>+[1]Funcionamiento!L16</f>
        <v>1900000</v>
      </c>
      <c r="G28" s="30">
        <f>+[1]Funcionamiento!G16</f>
        <v>1900000</v>
      </c>
      <c r="H28" s="30">
        <f t="shared" si="6"/>
        <v>11400000</v>
      </c>
      <c r="I28" s="19">
        <f>+[1]Funcionamiento!F16</f>
        <v>5130111.9674999993</v>
      </c>
      <c r="J28" s="19">
        <f t="shared" si="7"/>
        <v>16530111.967499999</v>
      </c>
      <c r="K28" s="19">
        <v>15692477</v>
      </c>
      <c r="L28" s="19">
        <f t="shared" si="4"/>
        <v>-837634.96749999933</v>
      </c>
      <c r="M28" s="21">
        <f t="shared" si="1"/>
        <v>0.94932672149185193</v>
      </c>
    </row>
    <row r="29" spans="1:14" ht="14.25" x14ac:dyDescent="0.2">
      <c r="A29" s="29" t="s">
        <v>39</v>
      </c>
      <c r="B29" s="30">
        <f>+[1]Funcionamiento!I30</f>
        <v>1500000</v>
      </c>
      <c r="C29" s="30">
        <f>[1]Funcionamiento!J30</f>
        <v>0</v>
      </c>
      <c r="D29" s="30">
        <f>+[1]Funcionamiento!K30</f>
        <v>35000000</v>
      </c>
      <c r="E29" s="30">
        <f>+[1]Funcionamiento!H30</f>
        <v>375000</v>
      </c>
      <c r="F29" s="30">
        <v>0</v>
      </c>
      <c r="G29" s="30">
        <f>+[1]Funcionamiento!G30</f>
        <v>9000000</v>
      </c>
      <c r="H29" s="30">
        <f t="shared" si="6"/>
        <v>45875000</v>
      </c>
      <c r="I29" s="19">
        <f>+[1]Funcionamiento!F30</f>
        <v>5500000</v>
      </c>
      <c r="J29" s="19">
        <f t="shared" si="7"/>
        <v>51375000</v>
      </c>
      <c r="K29" s="19">
        <v>9523317</v>
      </c>
      <c r="L29" s="19">
        <f t="shared" si="4"/>
        <v>-41851683</v>
      </c>
      <c r="M29" s="21">
        <f t="shared" si="1"/>
        <v>0.18536870072992701</v>
      </c>
    </row>
    <row r="30" spans="1:14" ht="14.25" x14ac:dyDescent="0.2">
      <c r="A30" s="29" t="s">
        <v>40</v>
      </c>
      <c r="B30" s="30">
        <v>0</v>
      </c>
      <c r="C30" s="30">
        <v>0</v>
      </c>
      <c r="D30" s="30">
        <v>0</v>
      </c>
      <c r="E30" s="30">
        <v>0</v>
      </c>
      <c r="F30" s="30">
        <v>0</v>
      </c>
      <c r="G30" s="30">
        <f>+[1]Funcionamiento!G34</f>
        <v>14400000</v>
      </c>
      <c r="H30" s="30">
        <f t="shared" si="6"/>
        <v>14400000</v>
      </c>
      <c r="I30" s="19">
        <f>+[1]Funcionamiento!F34</f>
        <v>21887665.75</v>
      </c>
      <c r="J30" s="19">
        <f t="shared" si="7"/>
        <v>36287665.75</v>
      </c>
      <c r="K30" s="19">
        <v>26650924</v>
      </c>
      <c r="L30" s="19">
        <f t="shared" si="4"/>
        <v>-9636741.75</v>
      </c>
      <c r="M30" s="21">
        <f t="shared" si="1"/>
        <v>0.73443478518592786</v>
      </c>
    </row>
    <row r="31" spans="1:14" ht="14.25" x14ac:dyDescent="0.2">
      <c r="A31" s="29" t="s">
        <v>41</v>
      </c>
      <c r="B31" s="19">
        <f>[1]Funcionamiento!I22</f>
        <v>4500000</v>
      </c>
      <c r="C31" s="19">
        <f>[1]Funcionamiento!J22</f>
        <v>4087624.52085</v>
      </c>
      <c r="D31" s="19">
        <f>+[1]Funcionamiento!K22</f>
        <v>1929613</v>
      </c>
      <c r="E31" s="19">
        <v>0</v>
      </c>
      <c r="F31" s="30">
        <f>+[1]Funcionamiento!L22</f>
        <v>8000000</v>
      </c>
      <c r="G31" s="19">
        <f>+[1]Funcionamiento!G22</f>
        <v>81000000</v>
      </c>
      <c r="H31" s="30">
        <f t="shared" si="6"/>
        <v>99517237.520850003</v>
      </c>
      <c r="I31" s="19">
        <f>+[1]Funcionamiento!F22</f>
        <v>6250000</v>
      </c>
      <c r="J31" s="19">
        <f t="shared" si="7"/>
        <v>105767237.52085</v>
      </c>
      <c r="K31" s="19">
        <v>97450702</v>
      </c>
      <c r="L31" s="19">
        <f t="shared" si="4"/>
        <v>-8316535.5208500028</v>
      </c>
      <c r="M31" s="21">
        <f t="shared" si="1"/>
        <v>0.92136945508092183</v>
      </c>
    </row>
    <row r="32" spans="1:14" ht="14.25" x14ac:dyDescent="0.2">
      <c r="A32" s="29" t="s">
        <v>42</v>
      </c>
      <c r="B32" s="30">
        <v>0</v>
      </c>
      <c r="C32" s="30">
        <v>0</v>
      </c>
      <c r="D32" s="30">
        <v>0</v>
      </c>
      <c r="E32" s="30">
        <v>0</v>
      </c>
      <c r="F32" s="30">
        <v>0</v>
      </c>
      <c r="G32" s="30">
        <v>0</v>
      </c>
      <c r="H32" s="30">
        <f t="shared" si="6"/>
        <v>0</v>
      </c>
      <c r="I32" s="19">
        <f>+[1]Funcionamiento!F12</f>
        <v>3965200.0125000002</v>
      </c>
      <c r="J32" s="19">
        <f t="shared" si="7"/>
        <v>3965200.0125000002</v>
      </c>
      <c r="K32" s="19">
        <v>1959410</v>
      </c>
      <c r="L32" s="19">
        <f t="shared" si="4"/>
        <v>-2005790.0125000002</v>
      </c>
      <c r="M32" s="21">
        <f t="shared" si="1"/>
        <v>0.49415161752827214</v>
      </c>
      <c r="N32" s="23"/>
    </row>
    <row r="33" spans="1:14" ht="14.25" x14ac:dyDescent="0.2">
      <c r="A33" s="29" t="s">
        <v>43</v>
      </c>
      <c r="B33" s="19">
        <f>[1]Funcionamiento!I18</f>
        <v>2420103.4500000002</v>
      </c>
      <c r="C33" s="19">
        <f>[1]Funcionamiento!J18</f>
        <v>941151.42749999999</v>
      </c>
      <c r="D33" s="19">
        <f>+[1]Funcionamiento!K18</f>
        <v>403350.57500000001</v>
      </c>
      <c r="E33" s="19">
        <v>0</v>
      </c>
      <c r="F33" s="19">
        <f>+[1]Funcionamiento!L18</f>
        <v>2420103.4500000002</v>
      </c>
      <c r="G33" s="19">
        <f>+[1]Funcionamiento!G17+[1]Funcionamiento!G18</f>
        <v>2190000</v>
      </c>
      <c r="H33" s="30">
        <f t="shared" si="6"/>
        <v>8374708.9025000008</v>
      </c>
      <c r="I33" s="19">
        <f>+[1]Funcionamiento!F18</f>
        <v>6856960.0324999997</v>
      </c>
      <c r="J33" s="19">
        <f t="shared" si="7"/>
        <v>15231668.935000001</v>
      </c>
      <c r="K33" s="19">
        <v>9444652</v>
      </c>
      <c r="L33" s="19">
        <f t="shared" si="4"/>
        <v>-5787016.9350000005</v>
      </c>
      <c r="M33" s="21">
        <f t="shared" si="1"/>
        <v>0.62006678587253572</v>
      </c>
    </row>
    <row r="34" spans="1:14" ht="14.25" x14ac:dyDescent="0.2">
      <c r="A34" s="29" t="s">
        <v>44</v>
      </c>
      <c r="B34" s="30">
        <f>+[1]Funcionamiento!I20</f>
        <v>750000</v>
      </c>
      <c r="C34" s="30">
        <v>0</v>
      </c>
      <c r="D34" s="30">
        <v>0</v>
      </c>
      <c r="E34" s="30">
        <v>0</v>
      </c>
      <c r="F34" s="30">
        <f>+[1]Funcionamiento!L20</f>
        <v>4000000</v>
      </c>
      <c r="G34" s="30">
        <f>+[1]Funcionamiento!G20</f>
        <v>2320000</v>
      </c>
      <c r="H34" s="30">
        <f t="shared" si="6"/>
        <v>7070000</v>
      </c>
      <c r="I34" s="19">
        <f>+[1]Funcionamiento!F20</f>
        <v>12109203.755000003</v>
      </c>
      <c r="J34" s="19">
        <f>+H34+I34</f>
        <v>19179203.755000003</v>
      </c>
      <c r="K34" s="19">
        <v>17446305</v>
      </c>
      <c r="L34" s="19">
        <f t="shared" si="4"/>
        <v>-1732898.7550000027</v>
      </c>
      <c r="M34" s="21">
        <f t="shared" si="1"/>
        <v>0.90964699175541963</v>
      </c>
    </row>
    <row r="35" spans="1:14" ht="14.25" x14ac:dyDescent="0.2">
      <c r="A35" s="29" t="s">
        <v>45</v>
      </c>
      <c r="B35" s="30">
        <v>0</v>
      </c>
      <c r="C35" s="30">
        <v>0</v>
      </c>
      <c r="D35" s="30">
        <v>0</v>
      </c>
      <c r="E35" s="30">
        <v>0</v>
      </c>
      <c r="F35" s="30">
        <v>0</v>
      </c>
      <c r="G35" s="30">
        <v>0</v>
      </c>
      <c r="H35" s="30">
        <f t="shared" si="6"/>
        <v>0</v>
      </c>
      <c r="I35" s="19">
        <f>+[1]Funcionamiento!F36</f>
        <v>0</v>
      </c>
      <c r="J35" s="19">
        <f t="shared" si="7"/>
        <v>0</v>
      </c>
      <c r="K35" s="19">
        <v>0</v>
      </c>
      <c r="L35" s="19">
        <f t="shared" si="4"/>
        <v>0</v>
      </c>
      <c r="M35" s="21">
        <f t="shared" si="1"/>
        <v>0</v>
      </c>
    </row>
    <row r="36" spans="1:14" ht="14.25" x14ac:dyDescent="0.2">
      <c r="A36" s="29" t="s">
        <v>46</v>
      </c>
      <c r="B36" s="30">
        <v>0</v>
      </c>
      <c r="C36" s="30">
        <v>0</v>
      </c>
      <c r="D36" s="30">
        <v>0</v>
      </c>
      <c r="E36" s="30">
        <v>0</v>
      </c>
      <c r="F36" s="30">
        <v>0</v>
      </c>
      <c r="G36" s="30">
        <v>0</v>
      </c>
      <c r="H36" s="30">
        <f t="shared" si="6"/>
        <v>0</v>
      </c>
      <c r="I36" s="19">
        <f>+[1]Funcionamiento!F32</f>
        <v>5213414.2675000001</v>
      </c>
      <c r="J36" s="19">
        <f t="shared" si="7"/>
        <v>5213414.2675000001</v>
      </c>
      <c r="K36" s="19">
        <v>3045076</v>
      </c>
      <c r="L36" s="19">
        <f t="shared" si="4"/>
        <v>-2168338.2675000001</v>
      </c>
      <c r="M36" s="21">
        <f t="shared" si="1"/>
        <v>0.58408479429358906</v>
      </c>
    </row>
    <row r="37" spans="1:14" ht="15" x14ac:dyDescent="0.25">
      <c r="A37" s="26" t="s">
        <v>47</v>
      </c>
      <c r="B37" s="27">
        <f t="shared" ref="B37:J37" si="8">SUM(B22:B36)</f>
        <v>35219436.450000003</v>
      </c>
      <c r="C37" s="27">
        <f>SUM(C22:C36)</f>
        <v>14210455.388350001</v>
      </c>
      <c r="D37" s="27">
        <f t="shared" si="8"/>
        <v>41332213.575000003</v>
      </c>
      <c r="E37" s="27">
        <f t="shared" si="8"/>
        <v>5975000</v>
      </c>
      <c r="F37" s="27">
        <f t="shared" si="8"/>
        <v>19422416.449999999</v>
      </c>
      <c r="G37" s="27">
        <f t="shared" si="8"/>
        <v>185560000</v>
      </c>
      <c r="H37" s="31">
        <f t="shared" si="8"/>
        <v>301719521.86334997</v>
      </c>
      <c r="I37" s="27">
        <f t="shared" si="8"/>
        <v>118654519.765</v>
      </c>
      <c r="J37" s="27">
        <f t="shared" si="8"/>
        <v>420374041.62834996</v>
      </c>
      <c r="K37" s="27">
        <f>SUM(K22:K36)</f>
        <v>289572718</v>
      </c>
      <c r="L37" s="27">
        <f t="shared" si="4"/>
        <v>-130801323.62834996</v>
      </c>
      <c r="M37" s="16">
        <f t="shared" si="1"/>
        <v>0.6888453836928623</v>
      </c>
    </row>
    <row r="38" spans="1:14" ht="15" x14ac:dyDescent="0.25">
      <c r="A38" s="32" t="s">
        <v>48</v>
      </c>
      <c r="B38" s="33">
        <f t="shared" ref="B38:G38" si="9">+B37+B20</f>
        <v>316634872.53134876</v>
      </c>
      <c r="C38" s="33">
        <f t="shared" si="9"/>
        <v>98617075.662577048</v>
      </c>
      <c r="D38" s="33">
        <f t="shared" si="9"/>
        <v>113918045.68893732</v>
      </c>
      <c r="E38" s="33">
        <f t="shared" si="9"/>
        <v>15892034.0276</v>
      </c>
      <c r="F38" s="33">
        <f t="shared" si="9"/>
        <v>94071912.509123504</v>
      </c>
      <c r="G38" s="33">
        <f t="shared" si="9"/>
        <v>451634974.32212943</v>
      </c>
      <c r="H38" s="34">
        <f>+B38+C38+D38+G38+E38+F38</f>
        <v>1090768914.7417161</v>
      </c>
      <c r="I38" s="33">
        <f>+I37+I20</f>
        <v>199258774.54040003</v>
      </c>
      <c r="J38" s="33">
        <f>+J37+J20</f>
        <v>1290027689.2821162</v>
      </c>
      <c r="K38" s="33">
        <f>+K37+K20</f>
        <v>1139183280</v>
      </c>
      <c r="L38" s="33">
        <f t="shared" si="4"/>
        <v>-150844409.28211617</v>
      </c>
      <c r="M38" s="35">
        <f t="shared" si="1"/>
        <v>0.88306885926916878</v>
      </c>
      <c r="N38" s="36"/>
    </row>
    <row r="39" spans="1:14" ht="15" x14ac:dyDescent="0.25">
      <c r="A39" s="37"/>
      <c r="B39" s="38"/>
      <c r="C39" s="38"/>
      <c r="D39" s="38"/>
      <c r="E39" s="38"/>
      <c r="F39" s="38"/>
      <c r="G39" s="38"/>
      <c r="H39" s="38"/>
      <c r="I39" s="38"/>
      <c r="J39" s="38"/>
      <c r="K39" s="38"/>
      <c r="L39" s="38"/>
      <c r="M39" s="39"/>
    </row>
    <row r="40" spans="1:14" ht="15" x14ac:dyDescent="0.25">
      <c r="A40" s="40" t="s">
        <v>49</v>
      </c>
      <c r="B40" s="41">
        <f>+B42</f>
        <v>603025690.83599997</v>
      </c>
      <c r="C40" s="41">
        <f>+C129</f>
        <v>299460000</v>
      </c>
      <c r="D40" s="41">
        <f>+D151</f>
        <v>2026105896</v>
      </c>
      <c r="E40" s="41">
        <f>+E185</f>
        <v>132000000</v>
      </c>
      <c r="F40" s="41">
        <f>+F75</f>
        <v>2237155446</v>
      </c>
      <c r="G40" s="41">
        <f>+G105</f>
        <v>2871624900</v>
      </c>
      <c r="H40" s="41">
        <f>+B40+C40+D40+G40+E40+F40</f>
        <v>8169371932.8360004</v>
      </c>
      <c r="I40" s="41">
        <v>0</v>
      </c>
      <c r="J40" s="41">
        <f>+I40+H40</f>
        <v>8169371932.8360004</v>
      </c>
      <c r="K40" s="41">
        <f>+K42+K75+K105+K129+K151+K185</f>
        <v>5340523403</v>
      </c>
      <c r="L40" s="41">
        <f t="shared" si="4"/>
        <v>-2828848529.8360004</v>
      </c>
      <c r="M40" s="42">
        <f t="shared" si="1"/>
        <v>0.65372509011791746</v>
      </c>
    </row>
    <row r="41" spans="1:14" ht="15" x14ac:dyDescent="0.25">
      <c r="A41" s="40"/>
      <c r="B41" s="41"/>
      <c r="C41" s="41"/>
      <c r="D41" s="41"/>
      <c r="E41" s="41"/>
      <c r="F41" s="41"/>
      <c r="G41" s="41"/>
      <c r="H41" s="41"/>
      <c r="I41" s="41"/>
      <c r="J41" s="41"/>
      <c r="K41" s="41"/>
      <c r="L41" s="41"/>
      <c r="M41" s="42"/>
    </row>
    <row r="42" spans="1:14" ht="15" x14ac:dyDescent="0.25">
      <c r="A42" s="40" t="s">
        <v>50</v>
      </c>
      <c r="B42" s="41">
        <f>+B43+B47+B58+B62+B66+B71</f>
        <v>603025690.83599997</v>
      </c>
      <c r="C42" s="41"/>
      <c r="D42" s="41"/>
      <c r="E42" s="41"/>
      <c r="F42" s="41"/>
      <c r="G42" s="41"/>
      <c r="H42" s="41">
        <f>+H43+H47+H58+H62+H66+H71</f>
        <v>603025690.83599997</v>
      </c>
      <c r="I42" s="41"/>
      <c r="J42" s="41">
        <f>+H42+I42</f>
        <v>603025690.83599997</v>
      </c>
      <c r="K42" s="41">
        <f>+K43+K47+K58+K62+K66+K71</f>
        <v>538852448</v>
      </c>
      <c r="L42" s="41">
        <f t="shared" si="4"/>
        <v>-64173242.835999966</v>
      </c>
      <c r="M42" s="16">
        <f t="shared" si="1"/>
        <v>0.89358124568949315</v>
      </c>
    </row>
    <row r="43" spans="1:14" s="44" customFormat="1" ht="15" x14ac:dyDescent="0.25">
      <c r="A43" s="43" t="s">
        <v>51</v>
      </c>
      <c r="B43" s="27">
        <f>+SUM(B44:B46)</f>
        <v>39501894.616000004</v>
      </c>
      <c r="C43" s="27"/>
      <c r="D43" s="27"/>
      <c r="E43" s="27"/>
      <c r="F43" s="27"/>
      <c r="G43" s="27"/>
      <c r="H43" s="27">
        <f>+SUM(H44:H46)</f>
        <v>39501894.616000004</v>
      </c>
      <c r="I43" s="27"/>
      <c r="J43" s="27">
        <f>+SUM(J44:J46)</f>
        <v>39501894.616000004</v>
      </c>
      <c r="K43" s="20">
        <f>+SUM(K44:K46)</f>
        <v>26622802</v>
      </c>
      <c r="L43" s="20">
        <f t="shared" si="4"/>
        <v>-12879092.616000004</v>
      </c>
      <c r="M43" s="21">
        <f t="shared" si="1"/>
        <v>0.67396266074834277</v>
      </c>
    </row>
    <row r="44" spans="1:14" s="44" customFormat="1" ht="15" hidden="1" outlineLevel="1" x14ac:dyDescent="0.25">
      <c r="A44" s="45" t="s">
        <v>52</v>
      </c>
      <c r="B44" s="19">
        <f>+[2]Solicitud!$C$23+190000</f>
        <v>10050075.67</v>
      </c>
      <c r="C44" s="27"/>
      <c r="D44" s="27"/>
      <c r="E44" s="27"/>
      <c r="F44" s="27"/>
      <c r="G44" s="27"/>
      <c r="H44" s="19">
        <f>+B44+C44+D44+G44+E44+F44</f>
        <v>10050075.67</v>
      </c>
      <c r="I44" s="27"/>
      <c r="J44" s="20">
        <f>+H44+I44</f>
        <v>10050075.67</v>
      </c>
      <c r="K44" s="20">
        <v>9923254</v>
      </c>
      <c r="L44" s="20">
        <f t="shared" si="4"/>
        <v>-126821.66999999993</v>
      </c>
      <c r="M44" s="21">
        <f t="shared" si="1"/>
        <v>0.98738102337094147</v>
      </c>
    </row>
    <row r="45" spans="1:14" s="44" customFormat="1" ht="15" hidden="1" outlineLevel="1" x14ac:dyDescent="0.25">
      <c r="A45" s="45" t="s">
        <v>53</v>
      </c>
      <c r="B45" s="19">
        <f>+[2]Solicitud!$C$24-190000</f>
        <v>9810000</v>
      </c>
      <c r="C45" s="27"/>
      <c r="D45" s="27"/>
      <c r="E45" s="27"/>
      <c r="F45" s="27"/>
      <c r="G45" s="27"/>
      <c r="H45" s="19">
        <f>+B45+C45+D45+G45+E45+F45</f>
        <v>9810000</v>
      </c>
      <c r="I45" s="27"/>
      <c r="J45" s="20">
        <f>+H45+I45</f>
        <v>9810000</v>
      </c>
      <c r="K45" s="20">
        <v>0</v>
      </c>
      <c r="L45" s="20">
        <f t="shared" si="4"/>
        <v>-9810000</v>
      </c>
      <c r="M45" s="21">
        <f t="shared" si="1"/>
        <v>0</v>
      </c>
    </row>
    <row r="46" spans="1:14" s="44" customFormat="1" ht="15" hidden="1" outlineLevel="1" x14ac:dyDescent="0.25">
      <c r="A46" s="45" t="s">
        <v>54</v>
      </c>
      <c r="B46" s="19">
        <f>+[2]Solicitud!$C$25</f>
        <v>19641818.946000002</v>
      </c>
      <c r="C46" s="27"/>
      <c r="D46" s="27"/>
      <c r="E46" s="27"/>
      <c r="F46" s="27"/>
      <c r="G46" s="27"/>
      <c r="H46" s="19">
        <f>+B46+C46+D46+G46+E46+F46</f>
        <v>19641818.946000002</v>
      </c>
      <c r="I46" s="27"/>
      <c r="J46" s="20">
        <f>+H46+I46</f>
        <v>19641818.946000002</v>
      </c>
      <c r="K46" s="20">
        <v>16699548.000000002</v>
      </c>
      <c r="L46" s="20">
        <f t="shared" si="4"/>
        <v>-2942270.9460000005</v>
      </c>
      <c r="M46" s="21">
        <f t="shared" si="1"/>
        <v>0.85020374365077911</v>
      </c>
    </row>
    <row r="47" spans="1:14" s="44" customFormat="1" ht="15" collapsed="1" x14ac:dyDescent="0.25">
      <c r="A47" s="46" t="s">
        <v>55</v>
      </c>
      <c r="B47" s="15">
        <f>+B48+B49+B57</f>
        <v>340088194.25999999</v>
      </c>
      <c r="C47" s="27"/>
      <c r="D47" s="27"/>
      <c r="E47" s="27"/>
      <c r="F47" s="27"/>
      <c r="G47" s="27"/>
      <c r="H47" s="15">
        <f>+H48+H49+H57</f>
        <v>340088194.25999999</v>
      </c>
      <c r="I47" s="27"/>
      <c r="J47" s="15">
        <f>+J48+J49+J57</f>
        <v>340088194.25999999</v>
      </c>
      <c r="K47" s="27">
        <f>+K48+K49+K57</f>
        <v>309776916</v>
      </c>
      <c r="L47" s="27">
        <f t="shared" si="4"/>
        <v>-30311278.25999999</v>
      </c>
      <c r="M47" s="16">
        <f t="shared" si="1"/>
        <v>0.91087230085726889</v>
      </c>
    </row>
    <row r="48" spans="1:14" s="44" customFormat="1" ht="15" hidden="1" outlineLevel="1" x14ac:dyDescent="0.25">
      <c r="A48" s="45" t="s">
        <v>56</v>
      </c>
      <c r="B48" s="19">
        <f>+[2]Solicitud!$C$27</f>
        <v>64052544.859999999</v>
      </c>
      <c r="C48" s="27"/>
      <c r="D48" s="27"/>
      <c r="E48" s="27"/>
      <c r="F48" s="27"/>
      <c r="G48" s="27"/>
      <c r="H48" s="19">
        <f>+B48+C48+D48+G48+E48+F48</f>
        <v>64052544.859999999</v>
      </c>
      <c r="I48" s="27"/>
      <c r="J48" s="20">
        <f>+H48+I48</f>
        <v>64052544.859999999</v>
      </c>
      <c r="K48" s="20">
        <v>60871756</v>
      </c>
      <c r="L48" s="20">
        <f t="shared" si="4"/>
        <v>-3180788.8599999994</v>
      </c>
      <c r="M48" s="21">
        <f t="shared" si="1"/>
        <v>0.95034094481410114</v>
      </c>
    </row>
    <row r="49" spans="1:13" s="44" customFormat="1" ht="15" hidden="1" outlineLevel="1" x14ac:dyDescent="0.25">
      <c r="A49" s="45" t="s">
        <v>57</v>
      </c>
      <c r="B49" s="19">
        <f>+B50+B53+B56</f>
        <v>161800000</v>
      </c>
      <c r="C49" s="27"/>
      <c r="D49" s="27"/>
      <c r="E49" s="27"/>
      <c r="F49" s="27"/>
      <c r="G49" s="27"/>
      <c r="H49" s="19">
        <f>+B49+C49+D49+G49+E49+F49</f>
        <v>161800000</v>
      </c>
      <c r="I49" s="27"/>
      <c r="J49" s="20">
        <f t="shared" ref="J49:J57" si="10">+H49+I49</f>
        <v>161800000</v>
      </c>
      <c r="K49" s="20">
        <f>+K50+K53+K56</f>
        <v>135719192</v>
      </c>
      <c r="L49" s="20">
        <f t="shared" si="4"/>
        <v>-26080808</v>
      </c>
      <c r="M49" s="21">
        <f t="shared" si="1"/>
        <v>0.83880835599505565</v>
      </c>
    </row>
    <row r="50" spans="1:13" s="44" customFormat="1" ht="15" hidden="1" outlineLevel="2" x14ac:dyDescent="0.25">
      <c r="A50" s="45" t="s">
        <v>58</v>
      </c>
      <c r="B50" s="19">
        <f>+B51+B52</f>
        <v>85000000</v>
      </c>
      <c r="C50" s="27"/>
      <c r="D50" s="27"/>
      <c r="E50" s="27"/>
      <c r="F50" s="27"/>
      <c r="G50" s="27"/>
      <c r="H50" s="19">
        <f t="shared" ref="H50:H56" si="11">+B50+C50+D50+G50+E50+F50</f>
        <v>85000000</v>
      </c>
      <c r="I50" s="27"/>
      <c r="J50" s="20">
        <f t="shared" si="10"/>
        <v>85000000</v>
      </c>
      <c r="K50" s="20">
        <f>+K51+K52</f>
        <v>84913277</v>
      </c>
      <c r="L50" s="20">
        <f t="shared" si="4"/>
        <v>-86723</v>
      </c>
      <c r="M50" s="21">
        <f t="shared" si="1"/>
        <v>0.99897972941176472</v>
      </c>
    </row>
    <row r="51" spans="1:13" s="44" customFormat="1" ht="15" hidden="1" outlineLevel="2" x14ac:dyDescent="0.25">
      <c r="A51" s="45" t="s">
        <v>59</v>
      </c>
      <c r="B51" s="19"/>
      <c r="C51" s="27"/>
      <c r="D51" s="27"/>
      <c r="E51" s="27"/>
      <c r="F51" s="27"/>
      <c r="G51" s="27"/>
      <c r="H51" s="19">
        <f t="shared" si="11"/>
        <v>0</v>
      </c>
      <c r="I51" s="27"/>
      <c r="J51" s="20">
        <f t="shared" si="10"/>
        <v>0</v>
      </c>
      <c r="K51" s="20"/>
      <c r="L51" s="20">
        <f t="shared" si="4"/>
        <v>0</v>
      </c>
      <c r="M51" s="21">
        <f t="shared" si="1"/>
        <v>0</v>
      </c>
    </row>
    <row r="52" spans="1:13" s="44" customFormat="1" ht="15" hidden="1" outlineLevel="2" x14ac:dyDescent="0.25">
      <c r="A52" s="45" t="s">
        <v>60</v>
      </c>
      <c r="B52" s="19">
        <f>+[2]Solicitud!$C$31</f>
        <v>85000000</v>
      </c>
      <c r="C52" s="27"/>
      <c r="D52" s="27"/>
      <c r="E52" s="27"/>
      <c r="F52" s="27"/>
      <c r="G52" s="27"/>
      <c r="H52" s="19">
        <f t="shared" si="11"/>
        <v>85000000</v>
      </c>
      <c r="I52" s="27"/>
      <c r="J52" s="20">
        <f t="shared" si="10"/>
        <v>85000000</v>
      </c>
      <c r="K52" s="20">
        <v>84913277</v>
      </c>
      <c r="L52" s="20">
        <f t="shared" si="4"/>
        <v>-86723</v>
      </c>
      <c r="M52" s="21">
        <f t="shared" si="1"/>
        <v>0.99897972941176472</v>
      </c>
    </row>
    <row r="53" spans="1:13" s="44" customFormat="1" ht="15" hidden="1" outlineLevel="2" x14ac:dyDescent="0.25">
      <c r="A53" s="45" t="s">
        <v>61</v>
      </c>
      <c r="B53" s="19">
        <f>+B54+B55</f>
        <v>67000000</v>
      </c>
      <c r="C53" s="27"/>
      <c r="D53" s="27"/>
      <c r="E53" s="27"/>
      <c r="F53" s="27"/>
      <c r="G53" s="27"/>
      <c r="H53" s="19">
        <f t="shared" si="11"/>
        <v>67000000</v>
      </c>
      <c r="I53" s="27"/>
      <c r="J53" s="20">
        <f t="shared" si="10"/>
        <v>67000000</v>
      </c>
      <c r="K53" s="20">
        <f>+K54+K55</f>
        <v>41755531</v>
      </c>
      <c r="L53" s="20">
        <f t="shared" si="4"/>
        <v>-25244469</v>
      </c>
      <c r="M53" s="21">
        <f t="shared" si="1"/>
        <v>0.62321688059701497</v>
      </c>
    </row>
    <row r="54" spans="1:13" s="44" customFormat="1" ht="15" hidden="1" outlineLevel="2" x14ac:dyDescent="0.25">
      <c r="A54" s="45" t="s">
        <v>62</v>
      </c>
      <c r="B54" s="19">
        <f>+[2]Solicitud!$C$33</f>
        <v>25000000</v>
      </c>
      <c r="C54" s="27"/>
      <c r="D54" s="27"/>
      <c r="E54" s="27"/>
      <c r="F54" s="27"/>
      <c r="G54" s="27"/>
      <c r="H54" s="19">
        <f t="shared" si="11"/>
        <v>25000000</v>
      </c>
      <c r="I54" s="27"/>
      <c r="J54" s="20">
        <f t="shared" si="10"/>
        <v>25000000</v>
      </c>
      <c r="K54" s="20">
        <v>0</v>
      </c>
      <c r="L54" s="20">
        <f t="shared" si="4"/>
        <v>-25000000</v>
      </c>
      <c r="M54" s="21">
        <f t="shared" si="1"/>
        <v>0</v>
      </c>
    </row>
    <row r="55" spans="1:13" s="44" customFormat="1" ht="15" hidden="1" outlineLevel="2" x14ac:dyDescent="0.25">
      <c r="A55" s="45" t="s">
        <v>63</v>
      </c>
      <c r="B55" s="19">
        <f>+[2]Solicitud!$C$34</f>
        <v>42000000</v>
      </c>
      <c r="C55" s="27"/>
      <c r="D55" s="27"/>
      <c r="E55" s="27"/>
      <c r="F55" s="27"/>
      <c r="G55" s="27"/>
      <c r="H55" s="19">
        <f t="shared" si="11"/>
        <v>42000000</v>
      </c>
      <c r="I55" s="27"/>
      <c r="J55" s="20">
        <f t="shared" si="10"/>
        <v>42000000</v>
      </c>
      <c r="K55" s="20">
        <v>41755531</v>
      </c>
      <c r="L55" s="20">
        <f t="shared" si="4"/>
        <v>-244469</v>
      </c>
      <c r="M55" s="21">
        <f t="shared" si="1"/>
        <v>0.99417930952380951</v>
      </c>
    </row>
    <row r="56" spans="1:13" s="44" customFormat="1" ht="15" hidden="1" outlineLevel="2" x14ac:dyDescent="0.25">
      <c r="A56" s="45" t="s">
        <v>64</v>
      </c>
      <c r="B56" s="19">
        <f>+[2]Solicitud!$C$35</f>
        <v>9800000</v>
      </c>
      <c r="C56" s="27"/>
      <c r="D56" s="27"/>
      <c r="E56" s="27"/>
      <c r="F56" s="27"/>
      <c r="G56" s="27"/>
      <c r="H56" s="19">
        <f t="shared" si="11"/>
        <v>9800000</v>
      </c>
      <c r="I56" s="27"/>
      <c r="J56" s="20">
        <f t="shared" si="10"/>
        <v>9800000</v>
      </c>
      <c r="K56" s="20">
        <v>9050384</v>
      </c>
      <c r="L56" s="20">
        <f t="shared" si="4"/>
        <v>-749616</v>
      </c>
      <c r="M56" s="21">
        <f t="shared" si="1"/>
        <v>0.92350857142857146</v>
      </c>
    </row>
    <row r="57" spans="1:13" s="44" customFormat="1" ht="15" hidden="1" outlineLevel="1" x14ac:dyDescent="0.25">
      <c r="A57" s="45" t="s">
        <v>65</v>
      </c>
      <c r="B57" s="19">
        <f>+[2]Solicitud!$C$36</f>
        <v>114235649.40000001</v>
      </c>
      <c r="C57" s="27"/>
      <c r="D57" s="27"/>
      <c r="E57" s="27"/>
      <c r="F57" s="27"/>
      <c r="G57" s="27"/>
      <c r="H57" s="19">
        <f>+B57+C57+D57+G57+E57+F57</f>
        <v>114235649.40000001</v>
      </c>
      <c r="I57" s="27"/>
      <c r="J57" s="20">
        <f t="shared" si="10"/>
        <v>114235649.40000001</v>
      </c>
      <c r="K57" s="20">
        <v>113185968</v>
      </c>
      <c r="L57" s="20">
        <f t="shared" si="4"/>
        <v>-1049681.400000006</v>
      </c>
      <c r="M57" s="21">
        <f t="shared" si="1"/>
        <v>0.99081126246042062</v>
      </c>
    </row>
    <row r="58" spans="1:13" s="44" customFormat="1" ht="15" collapsed="1" x14ac:dyDescent="0.25">
      <c r="A58" s="46" t="s">
        <v>66</v>
      </c>
      <c r="B58" s="15">
        <f>SUM(B59:B61)</f>
        <v>27492623.960000001</v>
      </c>
      <c r="C58" s="27"/>
      <c r="D58" s="27"/>
      <c r="E58" s="27"/>
      <c r="F58" s="27"/>
      <c r="G58" s="27"/>
      <c r="H58" s="15">
        <f>SUM(H59:H61)</f>
        <v>27492623.960000001</v>
      </c>
      <c r="I58" s="27"/>
      <c r="J58" s="15">
        <f>SUM(J59:J61)</f>
        <v>27492623.960000001</v>
      </c>
      <c r="K58" s="27">
        <f>SUM(K59:K61)</f>
        <v>27194447</v>
      </c>
      <c r="L58" s="27">
        <f t="shared" si="4"/>
        <v>-298176.96000000089</v>
      </c>
      <c r="M58" s="16">
        <f t="shared" si="1"/>
        <v>0.98915429242280295</v>
      </c>
    </row>
    <row r="59" spans="1:13" s="44" customFormat="1" ht="15" hidden="1" outlineLevel="1" x14ac:dyDescent="0.25">
      <c r="A59" s="45" t="s">
        <v>67</v>
      </c>
      <c r="B59" s="19">
        <f>+[2]Solicitud!$C$38-1000</f>
        <v>23676542.16</v>
      </c>
      <c r="C59" s="27"/>
      <c r="D59" s="27"/>
      <c r="E59" s="27"/>
      <c r="F59" s="27"/>
      <c r="G59" s="27"/>
      <c r="H59" s="19">
        <f>+B59+C59+D59+G59+E59+F59</f>
        <v>23676542.16</v>
      </c>
      <c r="I59" s="27"/>
      <c r="J59" s="20">
        <f>+H59+I59</f>
        <v>23676542.16</v>
      </c>
      <c r="K59" s="20">
        <v>23378530</v>
      </c>
      <c r="L59" s="20">
        <f t="shared" si="4"/>
        <v>-298012.16000000015</v>
      </c>
      <c r="M59" s="21">
        <f t="shared" si="1"/>
        <v>0.987413189054968</v>
      </c>
    </row>
    <row r="60" spans="1:13" s="44" customFormat="1" ht="15" hidden="1" outlineLevel="1" x14ac:dyDescent="0.25">
      <c r="A60" s="45" t="s">
        <v>68</v>
      </c>
      <c r="B60" s="19">
        <f>+[2]Solicitud!$C$39+1000</f>
        <v>3816081.8</v>
      </c>
      <c r="C60" s="27"/>
      <c r="D60" s="27"/>
      <c r="E60" s="27"/>
      <c r="F60" s="27"/>
      <c r="G60" s="27"/>
      <c r="H60" s="19">
        <f>+B60+C60+D60+G60+E60+F60</f>
        <v>3816081.8</v>
      </c>
      <c r="I60" s="27"/>
      <c r="J60" s="20">
        <f>+H60+I60</f>
        <v>3816081.8</v>
      </c>
      <c r="K60" s="20">
        <v>3815917</v>
      </c>
      <c r="L60" s="20">
        <f t="shared" si="4"/>
        <v>-164.79999999981374</v>
      </c>
      <c r="M60" s="21">
        <f t="shared" si="1"/>
        <v>0.99995681434292105</v>
      </c>
    </row>
    <row r="61" spans="1:13" s="44" customFormat="1" ht="15" hidden="1" outlineLevel="1" x14ac:dyDescent="0.25">
      <c r="A61" s="45" t="s">
        <v>69</v>
      </c>
      <c r="B61" s="19"/>
      <c r="C61" s="27"/>
      <c r="D61" s="27"/>
      <c r="E61" s="27"/>
      <c r="F61" s="27"/>
      <c r="G61" s="27"/>
      <c r="H61" s="19">
        <f>+B61+C61+D61+G61+E61+F61</f>
        <v>0</v>
      </c>
      <c r="I61" s="27"/>
      <c r="J61" s="20">
        <f>+H61+I61</f>
        <v>0</v>
      </c>
      <c r="K61" s="20"/>
      <c r="L61" s="20">
        <f t="shared" si="4"/>
        <v>0</v>
      </c>
      <c r="M61" s="21">
        <f t="shared" si="1"/>
        <v>0</v>
      </c>
    </row>
    <row r="62" spans="1:13" s="44" customFormat="1" ht="15" collapsed="1" x14ac:dyDescent="0.25">
      <c r="A62" s="46" t="s">
        <v>70</v>
      </c>
      <c r="B62" s="15">
        <f>SUM(B63:B65)</f>
        <v>68268978</v>
      </c>
      <c r="C62" s="27"/>
      <c r="D62" s="27"/>
      <c r="E62" s="27"/>
      <c r="F62" s="27"/>
      <c r="G62" s="27"/>
      <c r="H62" s="15">
        <f>SUM(H63:H65)</f>
        <v>68268978</v>
      </c>
      <c r="I62" s="27"/>
      <c r="J62" s="15">
        <f>SUM(J63:J65)</f>
        <v>68268978</v>
      </c>
      <c r="K62" s="27">
        <f>SUM(K63:K65)</f>
        <v>68083079</v>
      </c>
      <c r="L62" s="27">
        <f t="shared" si="4"/>
        <v>-185899</v>
      </c>
      <c r="M62" s="16">
        <f t="shared" si="1"/>
        <v>0.99727696231222329</v>
      </c>
    </row>
    <row r="63" spans="1:13" s="44" customFormat="1" ht="15" hidden="1" outlineLevel="1" x14ac:dyDescent="0.25">
      <c r="A63" s="45" t="s">
        <v>71</v>
      </c>
      <c r="B63" s="19">
        <f>+[2]Solicitud!$C$42-100000</f>
        <v>25190000</v>
      </c>
      <c r="C63" s="27"/>
      <c r="D63" s="27"/>
      <c r="E63" s="27"/>
      <c r="F63" s="27"/>
      <c r="G63" s="27"/>
      <c r="H63" s="19">
        <f>+B63+C63+D63+G63+E63+F63</f>
        <v>25190000</v>
      </c>
      <c r="I63" s="27"/>
      <c r="J63" s="20">
        <f>+H63+I63</f>
        <v>25190000</v>
      </c>
      <c r="K63" s="20">
        <v>25009754</v>
      </c>
      <c r="L63" s="20">
        <f t="shared" si="4"/>
        <v>-180246</v>
      </c>
      <c r="M63" s="21">
        <f t="shared" si="1"/>
        <v>0.99284454148471613</v>
      </c>
    </row>
    <row r="64" spans="1:13" s="44" customFormat="1" ht="15" hidden="1" outlineLevel="1" x14ac:dyDescent="0.25">
      <c r="A64" s="45" t="s">
        <v>72</v>
      </c>
      <c r="B64" s="19">
        <f>+[2]Solicitud!$C$43+100000</f>
        <v>43078978</v>
      </c>
      <c r="C64" s="27"/>
      <c r="D64" s="27"/>
      <c r="E64" s="27"/>
      <c r="F64" s="27"/>
      <c r="G64" s="27"/>
      <c r="H64" s="19">
        <f>+B64+C64+D64+G64+E64+F64</f>
        <v>43078978</v>
      </c>
      <c r="I64" s="27"/>
      <c r="J64" s="20">
        <f>+H64+I64</f>
        <v>43078978</v>
      </c>
      <c r="K64" s="20">
        <v>43073325</v>
      </c>
      <c r="L64" s="20">
        <f t="shared" si="4"/>
        <v>-5653</v>
      </c>
      <c r="M64" s="21">
        <f t="shared" si="1"/>
        <v>0.99986877590271528</v>
      </c>
    </row>
    <row r="65" spans="1:14" s="44" customFormat="1" ht="15" hidden="1" outlineLevel="1" x14ac:dyDescent="0.25">
      <c r="A65" s="45" t="s">
        <v>73</v>
      </c>
      <c r="B65" s="19"/>
      <c r="C65" s="27"/>
      <c r="D65" s="27"/>
      <c r="E65" s="27"/>
      <c r="F65" s="27"/>
      <c r="G65" s="27"/>
      <c r="H65" s="19">
        <f>+B65+C65+D65+G65+E65+F65</f>
        <v>0</v>
      </c>
      <c r="I65" s="27"/>
      <c r="J65" s="20">
        <f>+H65+I65</f>
        <v>0</v>
      </c>
      <c r="K65" s="20"/>
      <c r="L65" s="20">
        <f t="shared" si="4"/>
        <v>0</v>
      </c>
      <c r="M65" s="21">
        <f t="shared" si="1"/>
        <v>0</v>
      </c>
    </row>
    <row r="66" spans="1:14" s="44" customFormat="1" ht="15" collapsed="1" x14ac:dyDescent="0.25">
      <c r="A66" s="46" t="s">
        <v>74</v>
      </c>
      <c r="B66" s="15">
        <f>SUM(B67:B70)</f>
        <v>60781000</v>
      </c>
      <c r="C66" s="27"/>
      <c r="D66" s="27"/>
      <c r="E66" s="27"/>
      <c r="F66" s="27"/>
      <c r="G66" s="27"/>
      <c r="H66" s="15">
        <f>SUM(H67:H70)</f>
        <v>60781000</v>
      </c>
      <c r="I66" s="27"/>
      <c r="J66" s="15">
        <f>SUM(J67:J70)</f>
        <v>60781000</v>
      </c>
      <c r="K66" s="27">
        <f>SUM(K67:K70)</f>
        <v>60047788</v>
      </c>
      <c r="L66" s="27">
        <f t="shared" si="4"/>
        <v>-733212</v>
      </c>
      <c r="M66" s="16">
        <f t="shared" si="1"/>
        <v>0.98793682236225133</v>
      </c>
    </row>
    <row r="67" spans="1:14" s="44" customFormat="1" ht="15" hidden="1" outlineLevel="1" x14ac:dyDescent="0.25">
      <c r="A67" s="45" t="s">
        <v>75</v>
      </c>
      <c r="B67" s="19">
        <f>+[2]Solicitud!$C$46+1500000</f>
        <v>8300000</v>
      </c>
      <c r="C67" s="27"/>
      <c r="D67" s="27"/>
      <c r="E67" s="27"/>
      <c r="F67" s="27"/>
      <c r="G67" s="27"/>
      <c r="H67" s="19">
        <f>+B67+C67+D67+G67+E67+F67</f>
        <v>8300000</v>
      </c>
      <c r="I67" s="27"/>
      <c r="J67" s="20">
        <f>+H67+I67</f>
        <v>8300000</v>
      </c>
      <c r="K67" s="20">
        <v>7896434</v>
      </c>
      <c r="L67" s="20">
        <f t="shared" si="4"/>
        <v>-403566</v>
      </c>
      <c r="M67" s="21">
        <f t="shared" si="1"/>
        <v>0.95137759036144576</v>
      </c>
    </row>
    <row r="68" spans="1:14" s="44" customFormat="1" ht="15" hidden="1" outlineLevel="1" x14ac:dyDescent="0.25">
      <c r="A68" s="45" t="s">
        <v>76</v>
      </c>
      <c r="B68" s="19">
        <f>+[2]Solicitud!$C$47-1500000-550000</f>
        <v>27550000</v>
      </c>
      <c r="C68" s="27"/>
      <c r="D68" s="27"/>
      <c r="E68" s="27"/>
      <c r="F68" s="27"/>
      <c r="G68" s="27"/>
      <c r="H68" s="19">
        <f>+B68+C68+D68+G68+E68+F68</f>
        <v>27550000</v>
      </c>
      <c r="I68" s="27"/>
      <c r="J68" s="20">
        <f>+H68+I68</f>
        <v>27550000</v>
      </c>
      <c r="K68" s="20">
        <v>27221610</v>
      </c>
      <c r="L68" s="20">
        <f t="shared" si="4"/>
        <v>-328390</v>
      </c>
      <c r="M68" s="21">
        <f t="shared" si="1"/>
        <v>0.98808021778584387</v>
      </c>
    </row>
    <row r="69" spans="1:14" s="44" customFormat="1" ht="15" hidden="1" outlineLevel="1" x14ac:dyDescent="0.25">
      <c r="A69" s="45" t="s">
        <v>77</v>
      </c>
      <c r="B69" s="19"/>
      <c r="C69" s="27"/>
      <c r="D69" s="27"/>
      <c r="E69" s="27"/>
      <c r="F69" s="27"/>
      <c r="G69" s="27"/>
      <c r="H69" s="19">
        <f>+B69+C69+D69+G69+E69+F69</f>
        <v>0</v>
      </c>
      <c r="I69" s="27"/>
      <c r="J69" s="20">
        <f>+H69+I69</f>
        <v>0</v>
      </c>
      <c r="K69" s="20">
        <v>0</v>
      </c>
      <c r="L69" s="20">
        <f t="shared" si="4"/>
        <v>0</v>
      </c>
      <c r="M69" s="21">
        <f t="shared" si="1"/>
        <v>0</v>
      </c>
    </row>
    <row r="70" spans="1:14" s="44" customFormat="1" ht="15" hidden="1" outlineLevel="1" x14ac:dyDescent="0.25">
      <c r="A70" s="45" t="s">
        <v>78</v>
      </c>
      <c r="B70" s="19">
        <f>+[2]Solicitud!$C$49+550000</f>
        <v>24931000</v>
      </c>
      <c r="C70" s="27"/>
      <c r="D70" s="27"/>
      <c r="E70" s="27"/>
      <c r="F70" s="27"/>
      <c r="G70" s="27"/>
      <c r="H70" s="19">
        <f>+B70+C70+D70+G70+E70+F70</f>
        <v>24931000</v>
      </c>
      <c r="I70" s="27"/>
      <c r="J70" s="20">
        <f>+H70+I70</f>
        <v>24931000</v>
      </c>
      <c r="K70" s="20">
        <v>24929744</v>
      </c>
      <c r="L70" s="20">
        <f t="shared" si="4"/>
        <v>-1256</v>
      </c>
      <c r="M70" s="21">
        <f t="shared" si="1"/>
        <v>0.99994962095383255</v>
      </c>
    </row>
    <row r="71" spans="1:14" s="44" customFormat="1" ht="15" collapsed="1" x14ac:dyDescent="0.25">
      <c r="A71" s="46" t="s">
        <v>79</v>
      </c>
      <c r="B71" s="15">
        <f>SUM(B72:B73)</f>
        <v>66893000</v>
      </c>
      <c r="C71" s="27"/>
      <c r="D71" s="27"/>
      <c r="E71" s="27"/>
      <c r="F71" s="27"/>
      <c r="G71" s="27"/>
      <c r="H71" s="15">
        <f>SUM(H72:H73)</f>
        <v>66893000</v>
      </c>
      <c r="I71" s="27"/>
      <c r="J71" s="15">
        <f>SUM(J72:J73)</f>
        <v>66893000</v>
      </c>
      <c r="K71" s="27">
        <f>SUM(K72:K73)</f>
        <v>47127416</v>
      </c>
      <c r="L71" s="27">
        <f t="shared" si="4"/>
        <v>-19765584</v>
      </c>
      <c r="M71" s="16">
        <f t="shared" si="1"/>
        <v>0.7045193966483787</v>
      </c>
    </row>
    <row r="72" spans="1:14" s="44" customFormat="1" ht="15" hidden="1" outlineLevel="1" x14ac:dyDescent="0.25">
      <c r="A72" s="45" t="s">
        <v>80</v>
      </c>
      <c r="B72" s="19">
        <f>+[2]Solicitud!$C$51</f>
        <v>56893000</v>
      </c>
      <c r="C72" s="27"/>
      <c r="D72" s="27"/>
      <c r="E72" s="27"/>
      <c r="F72" s="27"/>
      <c r="G72" s="27"/>
      <c r="H72" s="19">
        <f>+B72+C72+D72+G72+E72+F72</f>
        <v>56893000</v>
      </c>
      <c r="I72" s="27"/>
      <c r="J72" s="20">
        <f>+H72+I72</f>
        <v>56893000</v>
      </c>
      <c r="K72" s="20">
        <v>47127416</v>
      </c>
      <c r="L72" s="20">
        <f t="shared" si="4"/>
        <v>-9765584</v>
      </c>
      <c r="M72" s="21">
        <f t="shared" si="1"/>
        <v>0.82835174801820965</v>
      </c>
    </row>
    <row r="73" spans="1:14" s="44" customFormat="1" ht="15" hidden="1" outlineLevel="1" x14ac:dyDescent="0.25">
      <c r="A73" s="45" t="s">
        <v>81</v>
      </c>
      <c r="B73" s="19">
        <f>+[2]Solicitud!$C$52</f>
        <v>10000000</v>
      </c>
      <c r="C73" s="27"/>
      <c r="D73" s="27"/>
      <c r="E73" s="27"/>
      <c r="F73" s="27"/>
      <c r="G73" s="27"/>
      <c r="H73" s="19">
        <f>+B73+C73+D73+G73+E73+F73</f>
        <v>10000000</v>
      </c>
      <c r="I73" s="27"/>
      <c r="J73" s="20">
        <f>+H73+I73</f>
        <v>10000000</v>
      </c>
      <c r="K73" s="20"/>
      <c r="L73" s="20">
        <f t="shared" si="4"/>
        <v>-10000000</v>
      </c>
      <c r="M73" s="21">
        <f t="shared" ref="M73:M136" si="12">IFERROR(K73/J73,0)</f>
        <v>0</v>
      </c>
    </row>
    <row r="74" spans="1:14" s="44" customFormat="1" ht="15" collapsed="1" x14ac:dyDescent="0.25">
      <c r="A74" s="45"/>
      <c r="B74" s="19"/>
      <c r="C74" s="27"/>
      <c r="D74" s="27"/>
      <c r="E74" s="27"/>
      <c r="F74" s="27"/>
      <c r="G74" s="27"/>
      <c r="H74" s="19"/>
      <c r="I74" s="27"/>
      <c r="J74" s="20"/>
      <c r="K74" s="20"/>
      <c r="L74" s="20"/>
      <c r="M74" s="21"/>
    </row>
    <row r="75" spans="1:14" s="44" customFormat="1" ht="15" x14ac:dyDescent="0.25">
      <c r="A75" s="46" t="s">
        <v>82</v>
      </c>
      <c r="B75" s="19"/>
      <c r="C75" s="27"/>
      <c r="D75" s="27"/>
      <c r="E75" s="27"/>
      <c r="F75" s="27">
        <f>+F76+F82+F92+F98+F101</f>
        <v>2237155446</v>
      </c>
      <c r="G75" s="27"/>
      <c r="H75" s="27">
        <f>+H76+H82+H92+H98+H101</f>
        <v>2237155446</v>
      </c>
      <c r="I75" s="27"/>
      <c r="J75" s="15">
        <f>+H75+I75</f>
        <v>2237155446</v>
      </c>
      <c r="K75" s="27">
        <f>+K76+K82+K92+K98+K101</f>
        <v>2060499172</v>
      </c>
      <c r="L75" s="27">
        <f t="shared" ref="L75:L138" si="13">+K75-J75</f>
        <v>-176656274</v>
      </c>
      <c r="M75" s="16">
        <f t="shared" si="12"/>
        <v>0.9210353154869686</v>
      </c>
    </row>
    <row r="76" spans="1:14" s="44" customFormat="1" ht="15" x14ac:dyDescent="0.25">
      <c r="A76" s="46" t="s">
        <v>83</v>
      </c>
      <c r="B76" s="19"/>
      <c r="C76" s="27"/>
      <c r="D76" s="27"/>
      <c r="E76" s="27"/>
      <c r="F76" s="27">
        <f>SUM(F77:F81)</f>
        <v>121259480</v>
      </c>
      <c r="G76" s="27"/>
      <c r="H76" s="27">
        <f>SUM(H77:H81)</f>
        <v>121259480</v>
      </c>
      <c r="I76" s="27"/>
      <c r="J76" s="27">
        <f>SUM(J77:J81)</f>
        <v>121259480</v>
      </c>
      <c r="K76" s="27">
        <f>SUM(K77:K81)</f>
        <v>121259480</v>
      </c>
      <c r="L76" s="27">
        <f t="shared" si="13"/>
        <v>0</v>
      </c>
      <c r="M76" s="16">
        <f t="shared" si="12"/>
        <v>1</v>
      </c>
    </row>
    <row r="77" spans="1:14" s="44" customFormat="1" ht="15" hidden="1" outlineLevel="1" x14ac:dyDescent="0.25">
      <c r="A77" s="45" t="s">
        <v>84</v>
      </c>
      <c r="B77" s="19"/>
      <c r="C77" s="27"/>
      <c r="D77" s="27"/>
      <c r="E77" s="27"/>
      <c r="F77" s="20">
        <f>+'[3]FINAL - SOLICITUD TRIM'!$I$9</f>
        <v>42620233</v>
      </c>
      <c r="G77" s="27"/>
      <c r="H77" s="19">
        <f>+B77+C77+D77+G77+E77+F77</f>
        <v>42620233</v>
      </c>
      <c r="I77" s="27"/>
      <c r="J77" s="20">
        <f>+H77+I77</f>
        <v>42620233</v>
      </c>
      <c r="K77" s="20">
        <v>42620233</v>
      </c>
      <c r="L77" s="20">
        <f t="shared" si="13"/>
        <v>0</v>
      </c>
      <c r="M77" s="21">
        <f t="shared" si="12"/>
        <v>1</v>
      </c>
      <c r="N77" s="47"/>
    </row>
    <row r="78" spans="1:14" s="44" customFormat="1" ht="15" hidden="1" outlineLevel="1" x14ac:dyDescent="0.25">
      <c r="A78" s="45" t="s">
        <v>85</v>
      </c>
      <c r="B78" s="19"/>
      <c r="C78" s="27"/>
      <c r="D78" s="27"/>
      <c r="E78" s="27"/>
      <c r="F78" s="20"/>
      <c r="G78" s="27"/>
      <c r="H78" s="19">
        <f>+B78+C78+D78+G78+E78+F78</f>
        <v>0</v>
      </c>
      <c r="I78" s="27"/>
      <c r="J78" s="20">
        <f>+H78+I78</f>
        <v>0</v>
      </c>
      <c r="K78" s="20"/>
      <c r="L78" s="20">
        <f t="shared" si="13"/>
        <v>0</v>
      </c>
      <c r="M78" s="21">
        <f t="shared" si="12"/>
        <v>0</v>
      </c>
      <c r="N78" s="47"/>
    </row>
    <row r="79" spans="1:14" s="44" customFormat="1" ht="15" hidden="1" outlineLevel="1" x14ac:dyDescent="0.25">
      <c r="A79" s="45" t="s">
        <v>86</v>
      </c>
      <c r="B79" s="19"/>
      <c r="C79" s="27"/>
      <c r="D79" s="27"/>
      <c r="E79" s="27"/>
      <c r="F79" s="20"/>
      <c r="G79" s="27"/>
      <c r="H79" s="19">
        <f>+B79+C79+D79+G79+E79+F79</f>
        <v>0</v>
      </c>
      <c r="I79" s="27"/>
      <c r="J79" s="20">
        <f>+H79+I79</f>
        <v>0</v>
      </c>
      <c r="K79" s="20"/>
      <c r="L79" s="20">
        <f t="shared" si="13"/>
        <v>0</v>
      </c>
      <c r="M79" s="21">
        <f t="shared" si="12"/>
        <v>0</v>
      </c>
      <c r="N79" s="47"/>
    </row>
    <row r="80" spans="1:14" s="44" customFormat="1" ht="15" hidden="1" outlineLevel="1" x14ac:dyDescent="0.25">
      <c r="A80" s="45" t="s">
        <v>87</v>
      </c>
      <c r="B80" s="19"/>
      <c r="C80" s="27"/>
      <c r="D80" s="27"/>
      <c r="E80" s="27"/>
      <c r="F80" s="20">
        <f>+'[3]FINAL - SOLICITUD TRIM'!$I$12</f>
        <v>6539247</v>
      </c>
      <c r="G80" s="27"/>
      <c r="H80" s="19">
        <f>+B80+C80+D80+G80+E80+F80</f>
        <v>6539247</v>
      </c>
      <c r="I80" s="27"/>
      <c r="J80" s="20">
        <f>+H80+I80</f>
        <v>6539247</v>
      </c>
      <c r="K80" s="20">
        <v>6539247</v>
      </c>
      <c r="L80" s="20">
        <f t="shared" si="13"/>
        <v>0</v>
      </c>
      <c r="M80" s="21">
        <f t="shared" si="12"/>
        <v>1</v>
      </c>
      <c r="N80" s="47"/>
    </row>
    <row r="81" spans="1:14" s="44" customFormat="1" ht="15" hidden="1" outlineLevel="1" x14ac:dyDescent="0.25">
      <c r="A81" s="45" t="s">
        <v>88</v>
      </c>
      <c r="B81" s="19"/>
      <c r="C81" s="27"/>
      <c r="D81" s="27"/>
      <c r="E81" s="27"/>
      <c r="F81" s="20">
        <f>+'[3]FINAL - SOLICITUD TRIM'!$I$13</f>
        <v>72100000</v>
      </c>
      <c r="G81" s="27"/>
      <c r="H81" s="19">
        <f>+B81+C81+D81+G81+E81+F81</f>
        <v>72100000</v>
      </c>
      <c r="I81" s="27"/>
      <c r="J81" s="20">
        <f>+H81+I81</f>
        <v>72100000</v>
      </c>
      <c r="K81" s="20">
        <v>72100000</v>
      </c>
      <c r="L81" s="20">
        <f t="shared" si="13"/>
        <v>0</v>
      </c>
      <c r="M81" s="21">
        <f t="shared" si="12"/>
        <v>1</v>
      </c>
      <c r="N81" s="47"/>
    </row>
    <row r="82" spans="1:14" s="44" customFormat="1" ht="15" collapsed="1" x14ac:dyDescent="0.25">
      <c r="A82" s="46" t="s">
        <v>89</v>
      </c>
      <c r="B82" s="19"/>
      <c r="C82" s="27"/>
      <c r="D82" s="27"/>
      <c r="E82" s="27"/>
      <c r="F82" s="27">
        <f>SUM(F83:F91)</f>
        <v>313890000</v>
      </c>
      <c r="G82" s="27"/>
      <c r="H82" s="27">
        <f>SUM(H83:H91)</f>
        <v>313890000</v>
      </c>
      <c r="I82" s="27"/>
      <c r="J82" s="27">
        <f>SUM(J83:J91)</f>
        <v>313890000</v>
      </c>
      <c r="K82" s="27">
        <f>SUM(K83:K91)</f>
        <v>307398288</v>
      </c>
      <c r="L82" s="27">
        <f t="shared" si="13"/>
        <v>-6491712</v>
      </c>
      <c r="M82" s="16">
        <f t="shared" si="12"/>
        <v>0.97931851285482174</v>
      </c>
    </row>
    <row r="83" spans="1:14" s="44" customFormat="1" ht="15" hidden="1" outlineLevel="1" x14ac:dyDescent="0.25">
      <c r="A83" s="45" t="s">
        <v>90</v>
      </c>
      <c r="B83" s="19"/>
      <c r="C83" s="27"/>
      <c r="D83" s="27"/>
      <c r="E83" s="27"/>
      <c r="F83" s="20">
        <f>+'[3]FINAL - SOLICITUD TRIM'!$I$15</f>
        <v>15860000</v>
      </c>
      <c r="G83" s="27"/>
      <c r="H83" s="19">
        <f t="shared" ref="H83:H91" si="14">+B83+C83+D83+G83+E83+F83</f>
        <v>15860000</v>
      </c>
      <c r="I83" s="27"/>
      <c r="J83" s="20">
        <f t="shared" ref="J83:J91" si="15">+H83+I83</f>
        <v>15860000</v>
      </c>
      <c r="K83" s="20">
        <v>15829504</v>
      </c>
      <c r="L83" s="20">
        <f t="shared" si="13"/>
        <v>-30496</v>
      </c>
      <c r="M83" s="21">
        <f t="shared" si="12"/>
        <v>0.99807717528373263</v>
      </c>
    </row>
    <row r="84" spans="1:14" s="44" customFormat="1" ht="15" hidden="1" outlineLevel="1" x14ac:dyDescent="0.25">
      <c r="A84" s="45" t="s">
        <v>91</v>
      </c>
      <c r="B84" s="19"/>
      <c r="C84" s="27"/>
      <c r="D84" s="27"/>
      <c r="E84" s="27"/>
      <c r="F84" s="20">
        <f>+'[3]FINAL - SOLICITUD TRIM'!$I$16</f>
        <v>57600000</v>
      </c>
      <c r="G84" s="27"/>
      <c r="H84" s="19">
        <f t="shared" si="14"/>
        <v>57600000</v>
      </c>
      <c r="I84" s="27"/>
      <c r="J84" s="20">
        <f t="shared" si="15"/>
        <v>57600000</v>
      </c>
      <c r="K84" s="20">
        <v>57600000</v>
      </c>
      <c r="L84" s="20">
        <f t="shared" si="13"/>
        <v>0</v>
      </c>
      <c r="M84" s="21">
        <f t="shared" si="12"/>
        <v>1</v>
      </c>
    </row>
    <row r="85" spans="1:14" s="44" customFormat="1" ht="15" hidden="1" outlineLevel="1" x14ac:dyDescent="0.25">
      <c r="A85" s="45" t="s">
        <v>92</v>
      </c>
      <c r="B85" s="19"/>
      <c r="C85" s="27"/>
      <c r="D85" s="27"/>
      <c r="E85" s="27"/>
      <c r="F85" s="20">
        <f>+'[3]FINAL - SOLICITUD TRIM'!$I$17</f>
        <v>46680000</v>
      </c>
      <c r="G85" s="27"/>
      <c r="H85" s="19">
        <f t="shared" si="14"/>
        <v>46680000</v>
      </c>
      <c r="I85" s="27"/>
      <c r="J85" s="20">
        <f t="shared" si="15"/>
        <v>46680000</v>
      </c>
      <c r="K85" s="20">
        <v>46621667</v>
      </c>
      <c r="L85" s="20">
        <f t="shared" si="13"/>
        <v>-58333</v>
      </c>
      <c r="M85" s="21">
        <f t="shared" si="12"/>
        <v>0.99875036418166241</v>
      </c>
    </row>
    <row r="86" spans="1:14" s="44" customFormat="1" ht="15" hidden="1" outlineLevel="1" x14ac:dyDescent="0.25">
      <c r="A86" s="45" t="s">
        <v>93</v>
      </c>
      <c r="B86" s="19"/>
      <c r="C86" s="27"/>
      <c r="D86" s="27"/>
      <c r="E86" s="27"/>
      <c r="F86" s="20">
        <f>+'[3]FINAL - SOLICITUD TRIM'!$I$19</f>
        <v>13750000</v>
      </c>
      <c r="G86" s="27"/>
      <c r="H86" s="19">
        <f t="shared" si="14"/>
        <v>13750000</v>
      </c>
      <c r="I86" s="27"/>
      <c r="J86" s="20">
        <f t="shared" si="15"/>
        <v>13750000</v>
      </c>
      <c r="K86" s="20">
        <v>13750000</v>
      </c>
      <c r="L86" s="20">
        <f t="shared" si="13"/>
        <v>0</v>
      </c>
      <c r="M86" s="21">
        <f t="shared" si="12"/>
        <v>1</v>
      </c>
    </row>
    <row r="87" spans="1:14" s="44" customFormat="1" ht="15" hidden="1" outlineLevel="1" x14ac:dyDescent="0.25">
      <c r="A87" s="45" t="s">
        <v>94</v>
      </c>
      <c r="B87" s="19"/>
      <c r="C87" s="27"/>
      <c r="D87" s="27"/>
      <c r="E87" s="27"/>
      <c r="F87" s="20">
        <f>+'[3]FINAL - SOLICITUD TRIM'!$I$20</f>
        <v>45000000</v>
      </c>
      <c r="G87" s="27"/>
      <c r="H87" s="19">
        <f t="shared" si="14"/>
        <v>45000000</v>
      </c>
      <c r="I87" s="27"/>
      <c r="J87" s="20">
        <f t="shared" si="15"/>
        <v>45000000</v>
      </c>
      <c r="K87" s="20">
        <v>40913597</v>
      </c>
      <c r="L87" s="20">
        <f t="shared" si="13"/>
        <v>-4086403</v>
      </c>
      <c r="M87" s="21">
        <f t="shared" si="12"/>
        <v>0.90919104444444443</v>
      </c>
    </row>
    <row r="88" spans="1:14" s="44" customFormat="1" ht="15" hidden="1" outlineLevel="1" x14ac:dyDescent="0.25">
      <c r="A88" s="45" t="s">
        <v>95</v>
      </c>
      <c r="B88" s="19"/>
      <c r="C88" s="27"/>
      <c r="D88" s="27"/>
      <c r="E88" s="27"/>
      <c r="F88" s="20"/>
      <c r="G88" s="27"/>
      <c r="H88" s="19">
        <f t="shared" si="14"/>
        <v>0</v>
      </c>
      <c r="I88" s="27"/>
      <c r="J88" s="20">
        <f t="shared" si="15"/>
        <v>0</v>
      </c>
      <c r="K88" s="20">
        <v>0</v>
      </c>
      <c r="L88" s="20">
        <f t="shared" si="13"/>
        <v>0</v>
      </c>
      <c r="M88" s="21">
        <f t="shared" si="12"/>
        <v>0</v>
      </c>
    </row>
    <row r="89" spans="1:14" s="44" customFormat="1" ht="15" hidden="1" outlineLevel="1" x14ac:dyDescent="0.25">
      <c r="A89" s="45" t="s">
        <v>96</v>
      </c>
      <c r="B89" s="19"/>
      <c r="C89" s="27"/>
      <c r="D89" s="27"/>
      <c r="E89" s="27"/>
      <c r="F89" s="20">
        <f>+'[3]FINAL - SOLICITUD TRIM'!$I$28</f>
        <v>25000000</v>
      </c>
      <c r="G89" s="27"/>
      <c r="H89" s="19">
        <f t="shared" si="14"/>
        <v>25000000</v>
      </c>
      <c r="I89" s="27"/>
      <c r="J89" s="20">
        <f t="shared" si="15"/>
        <v>25000000</v>
      </c>
      <c r="K89" s="20">
        <v>24719200</v>
      </c>
      <c r="L89" s="20">
        <f t="shared" si="13"/>
        <v>-280800</v>
      </c>
      <c r="M89" s="21">
        <f t="shared" si="12"/>
        <v>0.98876799999999998</v>
      </c>
    </row>
    <row r="90" spans="1:14" s="44" customFormat="1" ht="15" hidden="1" outlineLevel="1" x14ac:dyDescent="0.25">
      <c r="A90" s="45" t="s">
        <v>97</v>
      </c>
      <c r="B90" s="19"/>
      <c r="C90" s="27"/>
      <c r="D90" s="27"/>
      <c r="E90" s="27"/>
      <c r="F90" s="20">
        <f>+'[3]FINAL - SOLICITUD TRIM'!$I$34-30000000</f>
        <v>80000000</v>
      </c>
      <c r="G90" s="27"/>
      <c r="H90" s="19">
        <f t="shared" si="14"/>
        <v>80000000</v>
      </c>
      <c r="I90" s="27"/>
      <c r="J90" s="20">
        <f t="shared" si="15"/>
        <v>80000000</v>
      </c>
      <c r="K90" s="20">
        <v>78036848</v>
      </c>
      <c r="L90" s="20">
        <f t="shared" si="13"/>
        <v>-1963152</v>
      </c>
      <c r="M90" s="21">
        <f t="shared" si="12"/>
        <v>0.97546060000000001</v>
      </c>
    </row>
    <row r="91" spans="1:14" s="44" customFormat="1" ht="15" hidden="1" outlineLevel="1" x14ac:dyDescent="0.25">
      <c r="A91" s="45" t="s">
        <v>98</v>
      </c>
      <c r="B91" s="19"/>
      <c r="C91" s="27"/>
      <c r="D91" s="27"/>
      <c r="E91" s="27"/>
      <c r="F91" s="20">
        <v>30000000</v>
      </c>
      <c r="G91" s="27"/>
      <c r="H91" s="19">
        <f t="shared" si="14"/>
        <v>30000000</v>
      </c>
      <c r="I91" s="27"/>
      <c r="J91" s="20">
        <f t="shared" si="15"/>
        <v>30000000</v>
      </c>
      <c r="K91" s="20">
        <v>29927472</v>
      </c>
      <c r="L91" s="20">
        <f t="shared" si="13"/>
        <v>-72528</v>
      </c>
      <c r="M91" s="21">
        <f t="shared" si="12"/>
        <v>0.99758239999999998</v>
      </c>
    </row>
    <row r="92" spans="1:14" s="44" customFormat="1" ht="15" collapsed="1" x14ac:dyDescent="0.25">
      <c r="A92" s="46" t="s">
        <v>99</v>
      </c>
      <c r="B92" s="19"/>
      <c r="C92" s="27"/>
      <c r="D92" s="27"/>
      <c r="E92" s="27"/>
      <c r="F92" s="27">
        <f>SUM(F93:F97)</f>
        <v>1562187636</v>
      </c>
      <c r="G92" s="27"/>
      <c r="H92" s="27">
        <f>SUM(H93:H97)</f>
        <v>1562187636</v>
      </c>
      <c r="I92" s="27"/>
      <c r="J92" s="27">
        <f>SUM(J93:J97)</f>
        <v>1562187636</v>
      </c>
      <c r="K92" s="27">
        <f>SUM(K93:K97)</f>
        <v>1517079973</v>
      </c>
      <c r="L92" s="27">
        <f t="shared" si="13"/>
        <v>-45107663</v>
      </c>
      <c r="M92" s="16">
        <f t="shared" si="12"/>
        <v>0.97112532325790346</v>
      </c>
    </row>
    <row r="93" spans="1:14" s="44" customFormat="1" ht="15" hidden="1" outlineLevel="1" x14ac:dyDescent="0.25">
      <c r="A93" s="45" t="s">
        <v>100</v>
      </c>
      <c r="B93" s="19"/>
      <c r="C93" s="27"/>
      <c r="D93" s="27"/>
      <c r="E93" s="27"/>
      <c r="F93" s="20">
        <f>+'[3]FINAL - SOLICITUD TRIM'!$I$38+24795380</f>
        <v>1524795380</v>
      </c>
      <c r="G93" s="27"/>
      <c r="H93" s="19">
        <f>+B93+C93+D93+G93+E93+F93</f>
        <v>1524795380</v>
      </c>
      <c r="I93" s="27"/>
      <c r="J93" s="20">
        <f>+H93+I93</f>
        <v>1524795380</v>
      </c>
      <c r="K93" s="20">
        <v>1482748796</v>
      </c>
      <c r="L93" s="20">
        <f t="shared" si="13"/>
        <v>-42046584</v>
      </c>
      <c r="M93" s="21">
        <f t="shared" si="12"/>
        <v>0.97242476954514379</v>
      </c>
    </row>
    <row r="94" spans="1:14" s="44" customFormat="1" ht="15" hidden="1" outlineLevel="1" x14ac:dyDescent="0.25">
      <c r="A94" s="45" t="s">
        <v>101</v>
      </c>
      <c r="B94" s="19"/>
      <c r="C94" s="27"/>
      <c r="D94" s="27"/>
      <c r="E94" s="27"/>
      <c r="F94" s="20">
        <f>+'[3]FINAL - SOLICITUD TRIM'!$I$43</f>
        <v>15450000</v>
      </c>
      <c r="G94" s="27"/>
      <c r="H94" s="19">
        <f>+B94+C94+D94+G94+E94+F94</f>
        <v>15450000</v>
      </c>
      <c r="I94" s="27"/>
      <c r="J94" s="20">
        <f>+H94+I94</f>
        <v>15450000</v>
      </c>
      <c r="K94" s="20">
        <v>13213640</v>
      </c>
      <c r="L94" s="20">
        <f t="shared" si="13"/>
        <v>-2236360</v>
      </c>
      <c r="M94" s="21">
        <f t="shared" si="12"/>
        <v>0.85525177993527512</v>
      </c>
    </row>
    <row r="95" spans="1:14" s="44" customFormat="1" ht="15" hidden="1" outlineLevel="1" x14ac:dyDescent="0.25">
      <c r="A95" s="45" t="s">
        <v>102</v>
      </c>
      <c r="B95" s="19"/>
      <c r="C95" s="27"/>
      <c r="D95" s="27"/>
      <c r="E95" s="27"/>
      <c r="F95" s="20">
        <f>+'[3]FINAL - SOLICITUD TRIM'!$I$44</f>
        <v>13790844</v>
      </c>
      <c r="G95" s="27"/>
      <c r="H95" s="19">
        <f>+B95+C95+D95+G95+E95+F95</f>
        <v>13790844</v>
      </c>
      <c r="I95" s="27"/>
      <c r="J95" s="20">
        <f>+H95+I95</f>
        <v>13790844</v>
      </c>
      <c r="K95" s="20">
        <v>12966129</v>
      </c>
      <c r="L95" s="20">
        <f t="shared" si="13"/>
        <v>-824715</v>
      </c>
      <c r="M95" s="21">
        <f t="shared" si="12"/>
        <v>0.94019836639439902</v>
      </c>
    </row>
    <row r="96" spans="1:14" s="44" customFormat="1" ht="15" hidden="1" outlineLevel="1" x14ac:dyDescent="0.25">
      <c r="A96" s="45" t="s">
        <v>103</v>
      </c>
      <c r="B96" s="19"/>
      <c r="C96" s="27"/>
      <c r="D96" s="27"/>
      <c r="E96" s="27"/>
      <c r="F96" s="20">
        <v>8151412</v>
      </c>
      <c r="G96" s="27"/>
      <c r="H96" s="19">
        <f>+B96+C96+D96+G96+E96+F96</f>
        <v>8151412</v>
      </c>
      <c r="I96" s="27"/>
      <c r="J96" s="20">
        <f>+H96+I96</f>
        <v>8151412</v>
      </c>
      <c r="K96" s="20">
        <v>8151408</v>
      </c>
      <c r="L96" s="20">
        <f t="shared" si="13"/>
        <v>-4</v>
      </c>
      <c r="M96" s="21">
        <f t="shared" si="12"/>
        <v>0.99999950928747072</v>
      </c>
    </row>
    <row r="97" spans="1:13" s="44" customFormat="1" ht="15" hidden="1" outlineLevel="1" x14ac:dyDescent="0.25">
      <c r="A97" s="45" t="s">
        <v>104</v>
      </c>
      <c r="B97" s="19"/>
      <c r="C97" s="27"/>
      <c r="D97" s="27"/>
      <c r="E97" s="27"/>
      <c r="F97" s="20"/>
      <c r="G97" s="27"/>
      <c r="H97" s="19">
        <f>+B97+C97+D97+G97+E97+F97</f>
        <v>0</v>
      </c>
      <c r="I97" s="27"/>
      <c r="J97" s="20">
        <f>+H97+I97</f>
        <v>0</v>
      </c>
      <c r="K97" s="20">
        <v>0</v>
      </c>
      <c r="L97" s="20">
        <f t="shared" si="13"/>
        <v>0</v>
      </c>
      <c r="M97" s="21">
        <f t="shared" si="12"/>
        <v>0</v>
      </c>
    </row>
    <row r="98" spans="1:13" s="44" customFormat="1" ht="15" collapsed="1" x14ac:dyDescent="0.25">
      <c r="A98" s="46" t="s">
        <v>105</v>
      </c>
      <c r="B98" s="19"/>
      <c r="C98" s="27"/>
      <c r="D98" s="27"/>
      <c r="E98" s="27"/>
      <c r="F98" s="27">
        <f>SUM(F99:F100)</f>
        <v>57660000</v>
      </c>
      <c r="G98" s="27"/>
      <c r="H98" s="27">
        <f>SUM(H99:H100)</f>
        <v>57660000</v>
      </c>
      <c r="I98" s="27"/>
      <c r="J98" s="27">
        <f>SUM(J99:J100)</f>
        <v>57660000</v>
      </c>
      <c r="K98" s="27">
        <f>SUM(K99:K100)</f>
        <v>50888514</v>
      </c>
      <c r="L98" s="27">
        <f t="shared" si="13"/>
        <v>-6771486</v>
      </c>
      <c r="M98" s="16">
        <f t="shared" si="12"/>
        <v>0.88256181061394379</v>
      </c>
    </row>
    <row r="99" spans="1:13" s="44" customFormat="1" ht="15" hidden="1" outlineLevel="1" x14ac:dyDescent="0.25">
      <c r="A99" s="45" t="s">
        <v>106</v>
      </c>
      <c r="B99" s="19"/>
      <c r="C99" s="27"/>
      <c r="D99" s="27"/>
      <c r="E99" s="27"/>
      <c r="F99" s="20">
        <f>+'[3]FINAL - SOLICITUD TRIM'!$I$48+13660000</f>
        <v>57660000</v>
      </c>
      <c r="G99" s="27"/>
      <c r="H99" s="19">
        <f>+B99+C99+D99+G99+E99+F99</f>
        <v>57660000</v>
      </c>
      <c r="I99" s="27"/>
      <c r="J99" s="20">
        <f>+H99+I99</f>
        <v>57660000</v>
      </c>
      <c r="K99" s="20">
        <v>50888514</v>
      </c>
      <c r="L99" s="20">
        <f t="shared" si="13"/>
        <v>-6771486</v>
      </c>
      <c r="M99" s="21">
        <f t="shared" si="12"/>
        <v>0.88256181061394379</v>
      </c>
    </row>
    <row r="100" spans="1:13" s="44" customFormat="1" ht="15" hidden="1" outlineLevel="1" x14ac:dyDescent="0.25">
      <c r="A100" s="45" t="s">
        <v>107</v>
      </c>
      <c r="B100" s="19"/>
      <c r="C100" s="27"/>
      <c r="D100" s="27"/>
      <c r="E100" s="27"/>
      <c r="F100" s="20"/>
      <c r="G100" s="27"/>
      <c r="H100" s="19">
        <f>+B100+C100+D100+G100+E100+F100</f>
        <v>0</v>
      </c>
      <c r="I100" s="27"/>
      <c r="J100" s="20">
        <f>+H100+I100</f>
        <v>0</v>
      </c>
      <c r="K100" s="20"/>
      <c r="L100" s="20">
        <f t="shared" si="13"/>
        <v>0</v>
      </c>
      <c r="M100" s="21">
        <f t="shared" si="12"/>
        <v>0</v>
      </c>
    </row>
    <row r="101" spans="1:13" s="44" customFormat="1" ht="15" collapsed="1" x14ac:dyDescent="0.25">
      <c r="A101" s="46" t="s">
        <v>108</v>
      </c>
      <c r="B101" s="19"/>
      <c r="C101" s="27"/>
      <c r="D101" s="27"/>
      <c r="E101" s="27"/>
      <c r="F101" s="27">
        <f>SUM(F102:F103)</f>
        <v>182158330</v>
      </c>
      <c r="G101" s="27"/>
      <c r="H101" s="27">
        <f>SUM(H102:H103)</f>
        <v>182158330</v>
      </c>
      <c r="I101" s="27"/>
      <c r="J101" s="27">
        <f>SUM(J102:J103)</f>
        <v>182158330</v>
      </c>
      <c r="K101" s="27">
        <f>SUM(K102:K103)</f>
        <v>63872917</v>
      </c>
      <c r="L101" s="27">
        <f t="shared" si="13"/>
        <v>-118285413</v>
      </c>
      <c r="M101" s="16">
        <f t="shared" si="12"/>
        <v>0.35064505147801917</v>
      </c>
    </row>
    <row r="102" spans="1:13" s="44" customFormat="1" ht="15" hidden="1" outlineLevel="1" x14ac:dyDescent="0.25">
      <c r="A102" s="45" t="s">
        <v>109</v>
      </c>
      <c r="B102" s="19"/>
      <c r="C102" s="27"/>
      <c r="D102" s="27"/>
      <c r="E102" s="27"/>
      <c r="F102" s="20">
        <f>+'[3]FINAL - SOLICITUD TRIM'!$I$56+22158330</f>
        <v>142158330</v>
      </c>
      <c r="G102" s="27"/>
      <c r="H102" s="19">
        <f>+B102+C102+D102+G102+E102+F102</f>
        <v>142158330</v>
      </c>
      <c r="I102" s="27"/>
      <c r="J102" s="20">
        <f>+H102+I102</f>
        <v>142158330</v>
      </c>
      <c r="K102" s="20">
        <v>24363247</v>
      </c>
      <c r="L102" s="20">
        <f t="shared" si="13"/>
        <v>-117795083</v>
      </c>
      <c r="M102" s="21">
        <f t="shared" si="12"/>
        <v>0.17138107207646572</v>
      </c>
    </row>
    <row r="103" spans="1:13" s="44" customFormat="1" ht="15" hidden="1" outlineLevel="1" x14ac:dyDescent="0.25">
      <c r="A103" s="45" t="s">
        <v>110</v>
      </c>
      <c r="B103" s="19"/>
      <c r="C103" s="27"/>
      <c r="D103" s="27"/>
      <c r="E103" s="27"/>
      <c r="F103" s="20">
        <f>+'[3]FINAL - SOLICITUD TRIM'!$I$67</f>
        <v>40000000</v>
      </c>
      <c r="G103" s="27"/>
      <c r="H103" s="19">
        <f>+B103+C103+D103+G103+E103+F103</f>
        <v>40000000</v>
      </c>
      <c r="I103" s="27"/>
      <c r="J103" s="20">
        <f>+H103+I103</f>
        <v>40000000</v>
      </c>
      <c r="K103" s="20">
        <v>39509670</v>
      </c>
      <c r="L103" s="20">
        <f t="shared" si="13"/>
        <v>-490330</v>
      </c>
      <c r="M103" s="21">
        <f t="shared" si="12"/>
        <v>0.98774174999999997</v>
      </c>
    </row>
    <row r="104" spans="1:13" s="44" customFormat="1" ht="15" collapsed="1" x14ac:dyDescent="0.25">
      <c r="A104" s="45"/>
      <c r="B104" s="19"/>
      <c r="C104" s="27"/>
      <c r="D104" s="27"/>
      <c r="E104" s="27"/>
      <c r="F104" s="27"/>
      <c r="G104" s="27"/>
      <c r="H104" s="19"/>
      <c r="I104" s="27"/>
      <c r="J104" s="20"/>
      <c r="K104" s="27"/>
      <c r="L104" s="27"/>
      <c r="M104" s="21"/>
    </row>
    <row r="105" spans="1:13" s="44" customFormat="1" ht="15" x14ac:dyDescent="0.25">
      <c r="A105" s="46" t="s">
        <v>111</v>
      </c>
      <c r="B105" s="27"/>
      <c r="C105" s="27"/>
      <c r="D105" s="27"/>
      <c r="E105" s="27"/>
      <c r="F105" s="27"/>
      <c r="G105" s="27">
        <f>+G106+G111+G114+G121+G124</f>
        <v>2871624900</v>
      </c>
      <c r="H105" s="27">
        <f>+H106+H111+H114+H121+H124</f>
        <v>2871624900</v>
      </c>
      <c r="I105" s="27"/>
      <c r="J105" s="27">
        <f>+J106+J111+J114+J121+J124</f>
        <v>2871624900</v>
      </c>
      <c r="K105" s="27">
        <f>+K106+K111+K114+K121+K124</f>
        <v>2147287733</v>
      </c>
      <c r="L105" s="27">
        <f t="shared" si="13"/>
        <v>-724337167</v>
      </c>
      <c r="M105" s="16">
        <f t="shared" si="12"/>
        <v>0.74776052157787043</v>
      </c>
    </row>
    <row r="106" spans="1:13" s="44" customFormat="1" ht="15" x14ac:dyDescent="0.25">
      <c r="A106" s="46" t="s">
        <v>112</v>
      </c>
      <c r="B106" s="27"/>
      <c r="C106" s="27"/>
      <c r="D106" s="27"/>
      <c r="E106" s="15"/>
      <c r="F106" s="27"/>
      <c r="G106" s="15">
        <f>SUM(G107:G110)</f>
        <v>910000000</v>
      </c>
      <c r="H106" s="15">
        <f>SUM(H107:H110)</f>
        <v>910000000</v>
      </c>
      <c r="I106" s="27"/>
      <c r="J106" s="15">
        <f>SUM(J107:J110)</f>
        <v>910000000</v>
      </c>
      <c r="K106" s="27">
        <f>SUM(K107:K110)</f>
        <v>792797517</v>
      </c>
      <c r="L106" s="27">
        <f t="shared" si="13"/>
        <v>-117202483</v>
      </c>
      <c r="M106" s="16">
        <f t="shared" si="12"/>
        <v>0.87120606263736267</v>
      </c>
    </row>
    <row r="107" spans="1:13" s="44" customFormat="1" ht="15" hidden="1" outlineLevel="1" x14ac:dyDescent="0.25">
      <c r="A107" s="45" t="s">
        <v>113</v>
      </c>
      <c r="B107" s="27"/>
      <c r="C107" s="27"/>
      <c r="D107" s="27"/>
      <c r="E107" s="19"/>
      <c r="F107" s="27"/>
      <c r="G107" s="19">
        <f>+'[4]Anexo 2 '!$G$91-3000000</f>
        <v>647000000</v>
      </c>
      <c r="H107" s="19">
        <f>+B107+C107+D107+G107+E107+F107</f>
        <v>647000000</v>
      </c>
      <c r="I107" s="27"/>
      <c r="J107" s="20">
        <f>+H107+I107</f>
        <v>647000000</v>
      </c>
      <c r="K107" s="20">
        <v>615072054</v>
      </c>
      <c r="L107" s="20">
        <f t="shared" si="13"/>
        <v>-31927946</v>
      </c>
      <c r="M107" s="21">
        <f t="shared" si="12"/>
        <v>0.9506523245749614</v>
      </c>
    </row>
    <row r="108" spans="1:13" s="44" customFormat="1" ht="15" hidden="1" outlineLevel="1" x14ac:dyDescent="0.25">
      <c r="A108" s="45" t="s">
        <v>114</v>
      </c>
      <c r="B108" s="27"/>
      <c r="C108" s="27"/>
      <c r="D108" s="27"/>
      <c r="E108" s="19"/>
      <c r="F108" s="27"/>
      <c r="G108" s="19">
        <f>+'[4]Anexo 2 '!$G$92</f>
        <v>25000000</v>
      </c>
      <c r="H108" s="19">
        <f>+B108+C108+D108+G108+E108+F108</f>
        <v>25000000</v>
      </c>
      <c r="I108" s="27"/>
      <c r="J108" s="20">
        <f>+H108+I108</f>
        <v>25000000</v>
      </c>
      <c r="K108" s="20">
        <v>24971290</v>
      </c>
      <c r="L108" s="20">
        <f t="shared" si="13"/>
        <v>-28710</v>
      </c>
      <c r="M108" s="21">
        <f t="shared" si="12"/>
        <v>0.99885159999999995</v>
      </c>
    </row>
    <row r="109" spans="1:13" s="44" customFormat="1" ht="15" hidden="1" outlineLevel="1" x14ac:dyDescent="0.25">
      <c r="A109" s="45" t="s">
        <v>115</v>
      </c>
      <c r="B109" s="27"/>
      <c r="C109" s="27"/>
      <c r="D109" s="27"/>
      <c r="E109" s="19"/>
      <c r="F109" s="27"/>
      <c r="G109" s="19">
        <f>+'[4]Anexo 2 '!$G$93+3000000</f>
        <v>17000000</v>
      </c>
      <c r="H109" s="19">
        <f>+B109+C109+D109+G109+E109+F109</f>
        <v>17000000</v>
      </c>
      <c r="I109" s="27"/>
      <c r="J109" s="20">
        <f>+H109+I109</f>
        <v>17000000</v>
      </c>
      <c r="K109" s="20">
        <v>14235138</v>
      </c>
      <c r="L109" s="20">
        <f t="shared" si="13"/>
        <v>-2764862</v>
      </c>
      <c r="M109" s="21">
        <f t="shared" si="12"/>
        <v>0.8373610588235294</v>
      </c>
    </row>
    <row r="110" spans="1:13" s="44" customFormat="1" ht="15" hidden="1" outlineLevel="1" x14ac:dyDescent="0.25">
      <c r="A110" s="45" t="s">
        <v>116</v>
      </c>
      <c r="B110" s="27"/>
      <c r="C110" s="27"/>
      <c r="D110" s="27"/>
      <c r="E110" s="19"/>
      <c r="F110" s="27"/>
      <c r="G110" s="19">
        <f>+'[4]Anexo 2 '!$G$94</f>
        <v>221000000</v>
      </c>
      <c r="H110" s="19">
        <f>+B110+C110+D110+G110+E110+F110</f>
        <v>221000000</v>
      </c>
      <c r="I110" s="27"/>
      <c r="J110" s="20">
        <f>+H110+I110</f>
        <v>221000000</v>
      </c>
      <c r="K110" s="20">
        <v>138519035</v>
      </c>
      <c r="L110" s="20">
        <f t="shared" si="13"/>
        <v>-82480965</v>
      </c>
      <c r="M110" s="21">
        <f t="shared" si="12"/>
        <v>0.62678296380090492</v>
      </c>
    </row>
    <row r="111" spans="1:13" s="44" customFormat="1" ht="15" collapsed="1" x14ac:dyDescent="0.25">
      <c r="A111" s="46" t="s">
        <v>117</v>
      </c>
      <c r="B111" s="27"/>
      <c r="C111" s="27"/>
      <c r="D111" s="27"/>
      <c r="E111" s="15"/>
      <c r="F111" s="27"/>
      <c r="G111" s="15">
        <f>SUM(G112:G113)</f>
        <v>54400000</v>
      </c>
      <c r="H111" s="15">
        <f>SUM(H112:H113)</f>
        <v>54400000</v>
      </c>
      <c r="I111" s="27"/>
      <c r="J111" s="15">
        <f>SUM(J112:J113)</f>
        <v>54400000</v>
      </c>
      <c r="K111" s="27">
        <f>SUM(K112:K113)</f>
        <v>54166181</v>
      </c>
      <c r="L111" s="27">
        <f t="shared" si="13"/>
        <v>-233819</v>
      </c>
      <c r="M111" s="16">
        <f t="shared" si="12"/>
        <v>0.9957018566176471</v>
      </c>
    </row>
    <row r="112" spans="1:13" s="44" customFormat="1" ht="15" hidden="1" outlineLevel="1" x14ac:dyDescent="0.25">
      <c r="A112" s="45" t="s">
        <v>118</v>
      </c>
      <c r="B112" s="27"/>
      <c r="C112" s="27"/>
      <c r="D112" s="27"/>
      <c r="E112" s="19"/>
      <c r="F112" s="27"/>
      <c r="G112" s="19">
        <f>+'[4]Anexo 2 '!$G$96</f>
        <v>34400000</v>
      </c>
      <c r="H112" s="19">
        <f>+B112+C112+D112+G112+E112+F112</f>
        <v>34400000</v>
      </c>
      <c r="I112" s="27"/>
      <c r="J112" s="20">
        <f>+H112+I112</f>
        <v>34400000</v>
      </c>
      <c r="K112" s="20">
        <v>34219840</v>
      </c>
      <c r="L112" s="20">
        <f t="shared" si="13"/>
        <v>-180160</v>
      </c>
      <c r="M112" s="21">
        <f t="shared" si="12"/>
        <v>0.99476279069767437</v>
      </c>
    </row>
    <row r="113" spans="1:13" s="44" customFormat="1" ht="15" hidden="1" outlineLevel="1" x14ac:dyDescent="0.25">
      <c r="A113" s="45" t="s">
        <v>119</v>
      </c>
      <c r="B113" s="27"/>
      <c r="C113" s="27"/>
      <c r="D113" s="27"/>
      <c r="E113" s="19"/>
      <c r="F113" s="27"/>
      <c r="G113" s="19">
        <f>+'[4]Anexo 2 '!$G$97</f>
        <v>20000000</v>
      </c>
      <c r="H113" s="19">
        <f>+B113+C113+D113+G113+E113+F113</f>
        <v>20000000</v>
      </c>
      <c r="I113" s="27"/>
      <c r="J113" s="20">
        <f>+H113+I113</f>
        <v>20000000</v>
      </c>
      <c r="K113" s="20">
        <v>19946341</v>
      </c>
      <c r="L113" s="20">
        <f t="shared" si="13"/>
        <v>-53659</v>
      </c>
      <c r="M113" s="21">
        <f t="shared" si="12"/>
        <v>0.99731705000000004</v>
      </c>
    </row>
    <row r="114" spans="1:13" s="44" customFormat="1" ht="15" collapsed="1" x14ac:dyDescent="0.25">
      <c r="A114" s="46" t="s">
        <v>120</v>
      </c>
      <c r="B114" s="27"/>
      <c r="C114" s="27"/>
      <c r="D114" s="27"/>
      <c r="E114" s="15"/>
      <c r="F114" s="27"/>
      <c r="G114" s="15">
        <f>SUM(G115:G120)</f>
        <v>762660000</v>
      </c>
      <c r="H114" s="15">
        <f>SUM(H115:H120)</f>
        <v>762660000</v>
      </c>
      <c r="I114" s="27"/>
      <c r="J114" s="15">
        <f>SUM(J115:J120)</f>
        <v>762660000</v>
      </c>
      <c r="K114" s="27">
        <f>SUM(K115:K120)</f>
        <v>203236009</v>
      </c>
      <c r="L114" s="27">
        <f t="shared" si="13"/>
        <v>-559423991</v>
      </c>
      <c r="M114" s="16">
        <f t="shared" si="12"/>
        <v>0.26648311042928696</v>
      </c>
    </row>
    <row r="115" spans="1:13" s="44" customFormat="1" ht="15" hidden="1" outlineLevel="1" x14ac:dyDescent="0.25">
      <c r="A115" s="45" t="s">
        <v>121</v>
      </c>
      <c r="B115" s="27"/>
      <c r="C115" s="27"/>
      <c r="D115" s="27"/>
      <c r="E115" s="19"/>
      <c r="F115" s="27"/>
      <c r="G115" s="19">
        <f>+'[4]Anexo 2 '!$G$99</f>
        <v>40000000</v>
      </c>
      <c r="H115" s="19">
        <f t="shared" ref="H115:H120" si="16">+B115+C115+D115+G115+E115+F115</f>
        <v>40000000</v>
      </c>
      <c r="I115" s="27"/>
      <c r="J115" s="20">
        <f t="shared" ref="J115:J120" si="17">+H115+I115</f>
        <v>40000000</v>
      </c>
      <c r="K115" s="20">
        <v>40000000</v>
      </c>
      <c r="L115" s="20">
        <f t="shared" si="13"/>
        <v>0</v>
      </c>
      <c r="M115" s="21">
        <f t="shared" si="12"/>
        <v>1</v>
      </c>
    </row>
    <row r="116" spans="1:13" s="44" customFormat="1" ht="15" hidden="1" outlineLevel="1" x14ac:dyDescent="0.25">
      <c r="A116" s="45" t="s">
        <v>120</v>
      </c>
      <c r="B116" s="27"/>
      <c r="C116" s="27"/>
      <c r="D116" s="27"/>
      <c r="E116" s="19"/>
      <c r="F116" s="27"/>
      <c r="G116" s="19">
        <f>+'[4]Anexo 2 '!$G$100+428100000-1000000</f>
        <v>667100000</v>
      </c>
      <c r="H116" s="19">
        <f t="shared" si="16"/>
        <v>667100000</v>
      </c>
      <c r="I116" s="27"/>
      <c r="J116" s="20">
        <f t="shared" si="17"/>
        <v>667100000</v>
      </c>
      <c r="K116" s="20">
        <v>113818259</v>
      </c>
      <c r="L116" s="20">
        <f t="shared" si="13"/>
        <v>-553281741</v>
      </c>
      <c r="M116" s="21">
        <f t="shared" si="12"/>
        <v>0.17061648778294108</v>
      </c>
    </row>
    <row r="117" spans="1:13" s="44" customFormat="1" ht="15" hidden="1" outlineLevel="1" x14ac:dyDescent="0.25">
      <c r="A117" s="45" t="s">
        <v>122</v>
      </c>
      <c r="B117" s="27"/>
      <c r="C117" s="27"/>
      <c r="D117" s="27"/>
      <c r="E117" s="19"/>
      <c r="F117" s="27"/>
      <c r="G117" s="19">
        <f>+'[4]Anexo 2 '!$G$101</f>
        <v>18000000</v>
      </c>
      <c r="H117" s="19">
        <f t="shared" si="16"/>
        <v>18000000</v>
      </c>
      <c r="I117" s="27"/>
      <c r="J117" s="20">
        <f t="shared" si="17"/>
        <v>18000000</v>
      </c>
      <c r="K117" s="20">
        <v>15244443</v>
      </c>
      <c r="L117" s="20">
        <f t="shared" si="13"/>
        <v>-2755557</v>
      </c>
      <c r="M117" s="21">
        <f t="shared" si="12"/>
        <v>0.84691349999999999</v>
      </c>
    </row>
    <row r="118" spans="1:13" s="44" customFormat="1" ht="15" hidden="1" outlineLevel="1" x14ac:dyDescent="0.25">
      <c r="A118" s="45" t="s">
        <v>123</v>
      </c>
      <c r="B118" s="27"/>
      <c r="C118" s="27"/>
      <c r="D118" s="27"/>
      <c r="E118" s="19"/>
      <c r="F118" s="27"/>
      <c r="G118" s="19">
        <v>20000000</v>
      </c>
      <c r="H118" s="19">
        <f t="shared" si="16"/>
        <v>20000000</v>
      </c>
      <c r="I118" s="27"/>
      <c r="J118" s="20">
        <f t="shared" si="17"/>
        <v>20000000</v>
      </c>
      <c r="K118" s="20">
        <v>16741275</v>
      </c>
      <c r="L118" s="20">
        <f t="shared" si="13"/>
        <v>-3258725</v>
      </c>
      <c r="M118" s="21">
        <f t="shared" si="12"/>
        <v>0.83706375</v>
      </c>
    </row>
    <row r="119" spans="1:13" s="44" customFormat="1" ht="15" hidden="1" outlineLevel="1" x14ac:dyDescent="0.25">
      <c r="A119" s="45" t="s">
        <v>124</v>
      </c>
      <c r="B119" s="27"/>
      <c r="C119" s="27"/>
      <c r="D119" s="27"/>
      <c r="E119" s="19"/>
      <c r="F119" s="27"/>
      <c r="G119" s="19">
        <f>+'[4]Anexo 2 '!$G$103+1000000</f>
        <v>16000000</v>
      </c>
      <c r="H119" s="19">
        <f t="shared" si="16"/>
        <v>16000000</v>
      </c>
      <c r="I119" s="27"/>
      <c r="J119" s="20">
        <f t="shared" si="17"/>
        <v>16000000</v>
      </c>
      <c r="K119" s="20">
        <v>15872133</v>
      </c>
      <c r="L119" s="20">
        <f t="shared" si="13"/>
        <v>-127867</v>
      </c>
      <c r="M119" s="21">
        <f t="shared" si="12"/>
        <v>0.99200831249999999</v>
      </c>
    </row>
    <row r="120" spans="1:13" s="44" customFormat="1" ht="15" hidden="1" outlineLevel="1" x14ac:dyDescent="0.25">
      <c r="A120" s="45" t="s">
        <v>125</v>
      </c>
      <c r="B120" s="27"/>
      <c r="C120" s="27"/>
      <c r="D120" s="27"/>
      <c r="E120" s="19"/>
      <c r="F120" s="27"/>
      <c r="G120" s="19">
        <f>+'[4]Anexo 2 '!$G$104</f>
        <v>1560000</v>
      </c>
      <c r="H120" s="19">
        <f t="shared" si="16"/>
        <v>1560000</v>
      </c>
      <c r="I120" s="27"/>
      <c r="J120" s="20">
        <f t="shared" si="17"/>
        <v>1560000</v>
      </c>
      <c r="K120" s="20">
        <v>1559899</v>
      </c>
      <c r="L120" s="20">
        <f t="shared" si="13"/>
        <v>-101</v>
      </c>
      <c r="M120" s="21">
        <f t="shared" si="12"/>
        <v>0.99993525641025638</v>
      </c>
    </row>
    <row r="121" spans="1:13" s="44" customFormat="1" ht="15" collapsed="1" x14ac:dyDescent="0.25">
      <c r="A121" s="46" t="s">
        <v>126</v>
      </c>
      <c r="B121" s="27"/>
      <c r="C121" s="27"/>
      <c r="D121" s="27"/>
      <c r="E121" s="15"/>
      <c r="F121" s="27"/>
      <c r="G121" s="15">
        <f>SUM(G122:G123)</f>
        <v>207613900</v>
      </c>
      <c r="H121" s="15">
        <f>SUM(H122:H123)</f>
        <v>207613900</v>
      </c>
      <c r="I121" s="27"/>
      <c r="J121" s="15">
        <f>SUM(J122:J123)</f>
        <v>207613900</v>
      </c>
      <c r="K121" s="27">
        <f>SUM(K122:K123)</f>
        <v>168986866</v>
      </c>
      <c r="L121" s="27">
        <f t="shared" si="13"/>
        <v>-38627034</v>
      </c>
      <c r="M121" s="16">
        <f t="shared" si="12"/>
        <v>0.81394774627325051</v>
      </c>
    </row>
    <row r="122" spans="1:13" s="44" customFormat="1" ht="15" hidden="1" outlineLevel="1" x14ac:dyDescent="0.25">
      <c r="A122" s="45" t="s">
        <v>127</v>
      </c>
      <c r="B122" s="27"/>
      <c r="C122" s="27"/>
      <c r="D122" s="27"/>
      <c r="E122" s="19"/>
      <c r="F122" s="27"/>
      <c r="G122" s="19">
        <f>+'[4]Anexo 2 '!$G$106</f>
        <v>47613900</v>
      </c>
      <c r="H122" s="19">
        <f>+B122+C122+D122+G122+E122+F122</f>
        <v>47613900</v>
      </c>
      <c r="I122" s="27"/>
      <c r="J122" s="20">
        <f>+H122+I122</f>
        <v>47613900</v>
      </c>
      <c r="K122" s="20">
        <v>33174700</v>
      </c>
      <c r="L122" s="20">
        <f t="shared" si="13"/>
        <v>-14439200</v>
      </c>
      <c r="M122" s="21">
        <f t="shared" si="12"/>
        <v>0.69674401802834884</v>
      </c>
    </row>
    <row r="123" spans="1:13" s="44" customFormat="1" ht="15" hidden="1" outlineLevel="1" x14ac:dyDescent="0.25">
      <c r="A123" s="45" t="s">
        <v>128</v>
      </c>
      <c r="B123" s="27"/>
      <c r="C123" s="27"/>
      <c r="D123" s="27"/>
      <c r="E123" s="19"/>
      <c r="F123" s="27"/>
      <c r="G123" s="19">
        <f>+'[4]Anexo 2 '!$G$107</f>
        <v>160000000</v>
      </c>
      <c r="H123" s="19">
        <f>+B123+C123+D123+G123+E123+F123</f>
        <v>160000000</v>
      </c>
      <c r="I123" s="27"/>
      <c r="J123" s="20">
        <f>+H123+I123</f>
        <v>160000000</v>
      </c>
      <c r="K123" s="20">
        <v>135812166</v>
      </c>
      <c r="L123" s="20">
        <f t="shared" si="13"/>
        <v>-24187834</v>
      </c>
      <c r="M123" s="21">
        <f t="shared" si="12"/>
        <v>0.84882603749999996</v>
      </c>
    </row>
    <row r="124" spans="1:13" s="44" customFormat="1" ht="15" collapsed="1" x14ac:dyDescent="0.25">
      <c r="A124" s="46" t="s">
        <v>129</v>
      </c>
      <c r="B124" s="27"/>
      <c r="C124" s="27"/>
      <c r="D124" s="27"/>
      <c r="E124" s="27"/>
      <c r="F124" s="27"/>
      <c r="G124" s="27">
        <f>SUM(G125:G127)</f>
        <v>936951000</v>
      </c>
      <c r="H124" s="27">
        <f>SUM(H125:H127)</f>
        <v>936951000</v>
      </c>
      <c r="I124" s="27"/>
      <c r="J124" s="27">
        <f>SUM(J125:J127)</f>
        <v>936951000</v>
      </c>
      <c r="K124" s="27">
        <f>SUM(K125:K127)</f>
        <v>928101160</v>
      </c>
      <c r="L124" s="27">
        <f t="shared" si="13"/>
        <v>-8849840</v>
      </c>
      <c r="M124" s="16">
        <f t="shared" si="12"/>
        <v>0.9905546394635365</v>
      </c>
    </row>
    <row r="125" spans="1:13" s="44" customFormat="1" ht="15" hidden="1" outlineLevel="1" x14ac:dyDescent="0.25">
      <c r="A125" s="45" t="s">
        <v>130</v>
      </c>
      <c r="B125" s="27"/>
      <c r="C125" s="27"/>
      <c r="D125" s="27"/>
      <c r="E125" s="20"/>
      <c r="F125" s="27"/>
      <c r="G125" s="20">
        <f>+'[4]Anexo 2 '!$G$109</f>
        <v>900000000</v>
      </c>
      <c r="H125" s="19">
        <f>+B125+C125+D125+G125+E125+F125</f>
        <v>900000000</v>
      </c>
      <c r="I125" s="27"/>
      <c r="J125" s="20">
        <f>+H125+I125</f>
        <v>900000000</v>
      </c>
      <c r="K125" s="20">
        <v>896768369</v>
      </c>
      <c r="L125" s="20">
        <f t="shared" si="13"/>
        <v>-3231631</v>
      </c>
      <c r="M125" s="21">
        <f t="shared" si="12"/>
        <v>0.99640929888888885</v>
      </c>
    </row>
    <row r="126" spans="1:13" s="44" customFormat="1" ht="15" hidden="1" outlineLevel="1" x14ac:dyDescent="0.25">
      <c r="A126" s="45" t="s">
        <v>131</v>
      </c>
      <c r="B126" s="27"/>
      <c r="C126" s="27"/>
      <c r="D126" s="27"/>
      <c r="E126" s="20"/>
      <c r="F126" s="27"/>
      <c r="G126" s="20">
        <f>+'[4]Anexo 2 '!$G$110</f>
        <v>21651000</v>
      </c>
      <c r="H126" s="19">
        <f>+B126+C126+D126+G126+E126+F126</f>
        <v>21651000</v>
      </c>
      <c r="I126" s="27"/>
      <c r="J126" s="20">
        <f>+H126+I126</f>
        <v>21651000</v>
      </c>
      <c r="K126" s="20">
        <v>16724880</v>
      </c>
      <c r="L126" s="20">
        <f t="shared" si="13"/>
        <v>-4926120</v>
      </c>
      <c r="M126" s="21">
        <f t="shared" si="12"/>
        <v>0.77247609810170426</v>
      </c>
    </row>
    <row r="127" spans="1:13" s="44" customFormat="1" ht="15" hidden="1" outlineLevel="1" x14ac:dyDescent="0.25">
      <c r="A127" s="45" t="s">
        <v>132</v>
      </c>
      <c r="B127" s="27"/>
      <c r="C127" s="27"/>
      <c r="D127" s="27"/>
      <c r="E127" s="20"/>
      <c r="F127" s="27"/>
      <c r="G127" s="20">
        <f>+'[4]Anexo 2 '!$G$111</f>
        <v>15300000</v>
      </c>
      <c r="H127" s="19">
        <f>+B127+C127+D127+G127+E127+F127</f>
        <v>15300000</v>
      </c>
      <c r="I127" s="27"/>
      <c r="J127" s="20">
        <f>+H127+I127</f>
        <v>15300000</v>
      </c>
      <c r="K127" s="20">
        <v>14607911</v>
      </c>
      <c r="L127" s="20">
        <f t="shared" si="13"/>
        <v>-692089</v>
      </c>
      <c r="M127" s="21">
        <f t="shared" si="12"/>
        <v>0.95476542483660132</v>
      </c>
    </row>
    <row r="128" spans="1:13" s="44" customFormat="1" ht="15" collapsed="1" x14ac:dyDescent="0.25">
      <c r="A128" s="45"/>
      <c r="B128" s="27"/>
      <c r="C128" s="27"/>
      <c r="D128" s="27"/>
      <c r="E128" s="20"/>
      <c r="F128" s="27"/>
      <c r="G128" s="20"/>
      <c r="H128" s="19"/>
      <c r="I128" s="27"/>
      <c r="J128" s="20"/>
      <c r="K128" s="27"/>
      <c r="L128" s="27"/>
      <c r="M128" s="21"/>
    </row>
    <row r="129" spans="1:13" s="50" customFormat="1" ht="15" x14ac:dyDescent="0.25">
      <c r="A129" s="46" t="s">
        <v>133</v>
      </c>
      <c r="B129" s="48"/>
      <c r="C129" s="15">
        <f>+C130+C137+C145</f>
        <v>299460000</v>
      </c>
      <c r="D129" s="48"/>
      <c r="E129" s="49"/>
      <c r="F129" s="48"/>
      <c r="G129" s="49"/>
      <c r="H129" s="15">
        <f>+H130+H137+H145</f>
        <v>299460000</v>
      </c>
      <c r="I129" s="48"/>
      <c r="J129" s="15">
        <f>+H129+I129</f>
        <v>299460000</v>
      </c>
      <c r="K129" s="48">
        <f>+K130+K137+K145</f>
        <v>268061845</v>
      </c>
      <c r="L129" s="48">
        <f t="shared" si="13"/>
        <v>-31398155</v>
      </c>
      <c r="M129" s="16">
        <f t="shared" si="12"/>
        <v>0.89515075469177852</v>
      </c>
    </row>
    <row r="130" spans="1:13" s="44" customFormat="1" ht="15" x14ac:dyDescent="0.25">
      <c r="A130" s="46" t="s">
        <v>134</v>
      </c>
      <c r="B130" s="48"/>
      <c r="C130" s="27">
        <f>SUM(C131:C136)</f>
        <v>74600000</v>
      </c>
      <c r="D130" s="27"/>
      <c r="E130" s="27"/>
      <c r="F130" s="27"/>
      <c r="G130" s="27"/>
      <c r="H130" s="15">
        <f>+B130+C130+D130+G130+E130+F130</f>
        <v>74600000</v>
      </c>
      <c r="I130" s="15"/>
      <c r="J130" s="27">
        <f>SUM(J131:J136)</f>
        <v>74600000</v>
      </c>
      <c r="K130" s="15">
        <f>SUM(K131:K136)</f>
        <v>67937314</v>
      </c>
      <c r="L130" s="15">
        <f t="shared" si="13"/>
        <v>-6662686</v>
      </c>
      <c r="M130" s="16">
        <f t="shared" si="12"/>
        <v>0.91068785522788209</v>
      </c>
    </row>
    <row r="131" spans="1:13" s="44" customFormat="1" ht="15" hidden="1" outlineLevel="1" x14ac:dyDescent="0.25">
      <c r="A131" s="45" t="s">
        <v>135</v>
      </c>
      <c r="B131" s="48"/>
      <c r="C131" s="20"/>
      <c r="D131" s="27"/>
      <c r="E131" s="27"/>
      <c r="F131" s="27"/>
      <c r="G131" s="27"/>
      <c r="H131" s="20">
        <f>+B131+C131+D131+G131+E131+F131</f>
        <v>0</v>
      </c>
      <c r="I131" s="15"/>
      <c r="J131" s="20">
        <f t="shared" ref="J131:J149" si="18">+H131+I131</f>
        <v>0</v>
      </c>
      <c r="K131" s="20">
        <v>0</v>
      </c>
      <c r="L131" s="20">
        <f t="shared" si="13"/>
        <v>0</v>
      </c>
      <c r="M131" s="21">
        <f t="shared" si="12"/>
        <v>0</v>
      </c>
    </row>
    <row r="132" spans="1:13" s="44" customFormat="1" ht="15" hidden="1" outlineLevel="1" x14ac:dyDescent="0.25">
      <c r="A132" s="45" t="s">
        <v>136</v>
      </c>
      <c r="B132" s="48"/>
      <c r="C132" s="20">
        <f>+[5]Técnica!$H$17</f>
        <v>61600000</v>
      </c>
      <c r="D132" s="27"/>
      <c r="E132" s="27"/>
      <c r="F132" s="27"/>
      <c r="G132" s="27"/>
      <c r="H132" s="20">
        <f t="shared" ref="H132:H149" si="19">+B132+C132+D132+G132+E132+F132</f>
        <v>61600000</v>
      </c>
      <c r="I132" s="15"/>
      <c r="J132" s="20">
        <f t="shared" si="18"/>
        <v>61600000</v>
      </c>
      <c r="K132" s="20">
        <v>59231434</v>
      </c>
      <c r="L132" s="20">
        <f t="shared" si="13"/>
        <v>-2368566</v>
      </c>
      <c r="M132" s="21">
        <f t="shared" si="12"/>
        <v>0.96154925324675322</v>
      </c>
    </row>
    <row r="133" spans="1:13" s="44" customFormat="1" ht="15" hidden="1" outlineLevel="1" x14ac:dyDescent="0.25">
      <c r="A133" s="45" t="s">
        <v>137</v>
      </c>
      <c r="B133" s="48"/>
      <c r="C133" s="20"/>
      <c r="D133" s="27"/>
      <c r="E133" s="27"/>
      <c r="F133" s="27"/>
      <c r="G133" s="27"/>
      <c r="H133" s="20">
        <f t="shared" si="19"/>
        <v>0</v>
      </c>
      <c r="I133" s="15"/>
      <c r="J133" s="20">
        <f t="shared" si="18"/>
        <v>0</v>
      </c>
      <c r="K133" s="20">
        <v>0</v>
      </c>
      <c r="L133" s="20">
        <f t="shared" si="13"/>
        <v>0</v>
      </c>
      <c r="M133" s="21">
        <f t="shared" si="12"/>
        <v>0</v>
      </c>
    </row>
    <row r="134" spans="1:13" s="44" customFormat="1" ht="15" hidden="1" outlineLevel="1" x14ac:dyDescent="0.25">
      <c r="A134" s="45" t="s">
        <v>138</v>
      </c>
      <c r="B134" s="48"/>
      <c r="C134" s="20">
        <f>+[5]Técnica!$H$32</f>
        <v>7000000</v>
      </c>
      <c r="D134" s="27"/>
      <c r="E134" s="27"/>
      <c r="F134" s="27"/>
      <c r="G134" s="27"/>
      <c r="H134" s="20">
        <f t="shared" si="19"/>
        <v>7000000</v>
      </c>
      <c r="I134" s="15"/>
      <c r="J134" s="20">
        <f t="shared" si="18"/>
        <v>7000000</v>
      </c>
      <c r="K134" s="20">
        <v>3920123</v>
      </c>
      <c r="L134" s="20">
        <f t="shared" si="13"/>
        <v>-3079877</v>
      </c>
      <c r="M134" s="21">
        <f t="shared" si="12"/>
        <v>0.56001757142857145</v>
      </c>
    </row>
    <row r="135" spans="1:13" s="44" customFormat="1" ht="15" hidden="1" outlineLevel="1" x14ac:dyDescent="0.25">
      <c r="A135" s="45" t="s">
        <v>139</v>
      </c>
      <c r="B135" s="48"/>
      <c r="C135" s="20">
        <f>+[5]Técnica!$H$35</f>
        <v>6000000</v>
      </c>
      <c r="D135" s="27"/>
      <c r="E135" s="27"/>
      <c r="F135" s="27"/>
      <c r="G135" s="27"/>
      <c r="H135" s="20">
        <f t="shared" si="19"/>
        <v>6000000</v>
      </c>
      <c r="I135" s="15"/>
      <c r="J135" s="20">
        <f t="shared" si="18"/>
        <v>6000000</v>
      </c>
      <c r="K135" s="20">
        <v>4785757</v>
      </c>
      <c r="L135" s="20">
        <f t="shared" si="13"/>
        <v>-1214243</v>
      </c>
      <c r="M135" s="21">
        <f t="shared" si="12"/>
        <v>0.79762616666666664</v>
      </c>
    </row>
    <row r="136" spans="1:13" s="44" customFormat="1" ht="15" hidden="1" outlineLevel="1" x14ac:dyDescent="0.25">
      <c r="A136" s="45" t="s">
        <v>140</v>
      </c>
      <c r="B136" s="48"/>
      <c r="C136" s="20"/>
      <c r="D136" s="27"/>
      <c r="E136" s="27"/>
      <c r="F136" s="27"/>
      <c r="G136" s="27"/>
      <c r="H136" s="20">
        <f t="shared" si="19"/>
        <v>0</v>
      </c>
      <c r="I136" s="15"/>
      <c r="J136" s="20">
        <f t="shared" si="18"/>
        <v>0</v>
      </c>
      <c r="K136" s="20">
        <v>0</v>
      </c>
      <c r="L136" s="20">
        <f t="shared" si="13"/>
        <v>0</v>
      </c>
      <c r="M136" s="21">
        <f t="shared" si="12"/>
        <v>0</v>
      </c>
    </row>
    <row r="137" spans="1:13" s="44" customFormat="1" ht="15" collapsed="1" x14ac:dyDescent="0.25">
      <c r="A137" s="46" t="s">
        <v>141</v>
      </c>
      <c r="B137" s="48"/>
      <c r="C137" s="27">
        <f>SUM(C138:C144)</f>
        <v>168000000</v>
      </c>
      <c r="D137" s="27"/>
      <c r="E137" s="27"/>
      <c r="F137" s="27"/>
      <c r="G137" s="27"/>
      <c r="H137" s="15">
        <f>+B137+C137+D137+G137+E137+F137</f>
        <v>168000000</v>
      </c>
      <c r="I137" s="15"/>
      <c r="J137" s="27">
        <f>SUM(J138:J144)</f>
        <v>168000000</v>
      </c>
      <c r="K137" s="15">
        <f>SUM(K138:K144)</f>
        <v>157731265</v>
      </c>
      <c r="L137" s="15">
        <f t="shared" si="13"/>
        <v>-10268735</v>
      </c>
      <c r="M137" s="16">
        <f t="shared" ref="M137:M199" si="20">IFERROR(K137/J137,0)</f>
        <v>0.93887657738095243</v>
      </c>
    </row>
    <row r="138" spans="1:13" s="44" customFormat="1" ht="15" hidden="1" outlineLevel="1" x14ac:dyDescent="0.25">
      <c r="A138" s="45" t="s">
        <v>135</v>
      </c>
      <c r="B138" s="48"/>
      <c r="C138" s="20"/>
      <c r="D138" s="27"/>
      <c r="E138" s="27"/>
      <c r="F138" s="27"/>
      <c r="G138" s="27"/>
      <c r="H138" s="20">
        <f t="shared" si="19"/>
        <v>0</v>
      </c>
      <c r="I138" s="15"/>
      <c r="J138" s="20">
        <f t="shared" si="18"/>
        <v>0</v>
      </c>
      <c r="K138" s="20">
        <v>0</v>
      </c>
      <c r="L138" s="20">
        <f t="shared" si="13"/>
        <v>0</v>
      </c>
      <c r="M138" s="21">
        <f t="shared" si="20"/>
        <v>0</v>
      </c>
    </row>
    <row r="139" spans="1:13" s="44" customFormat="1" ht="15" hidden="1" outlineLevel="1" x14ac:dyDescent="0.25">
      <c r="A139" s="45" t="s">
        <v>142</v>
      </c>
      <c r="B139" s="48"/>
      <c r="C139" s="20">
        <f>+[5]Técnica!$H$43</f>
        <v>12000000</v>
      </c>
      <c r="D139" s="27"/>
      <c r="E139" s="27"/>
      <c r="F139" s="27"/>
      <c r="G139" s="27"/>
      <c r="H139" s="20">
        <f t="shared" si="19"/>
        <v>12000000</v>
      </c>
      <c r="I139" s="15"/>
      <c r="J139" s="20">
        <f t="shared" si="18"/>
        <v>12000000</v>
      </c>
      <c r="K139" s="20">
        <v>12000000</v>
      </c>
      <c r="L139" s="20">
        <f t="shared" ref="L139:L202" si="21">+K139-J139</f>
        <v>0</v>
      </c>
      <c r="M139" s="21">
        <f t="shared" si="20"/>
        <v>1</v>
      </c>
    </row>
    <row r="140" spans="1:13" s="44" customFormat="1" ht="15" hidden="1" outlineLevel="1" x14ac:dyDescent="0.25">
      <c r="A140" s="45" t="s">
        <v>143</v>
      </c>
      <c r="B140" s="48"/>
      <c r="C140" s="20">
        <f>+[5]Técnica!$H$45</f>
        <v>114000000</v>
      </c>
      <c r="D140" s="27"/>
      <c r="E140" s="27"/>
      <c r="F140" s="27"/>
      <c r="G140" s="27"/>
      <c r="H140" s="20">
        <f t="shared" si="19"/>
        <v>114000000</v>
      </c>
      <c r="I140" s="15"/>
      <c r="J140" s="20">
        <f t="shared" si="18"/>
        <v>114000000</v>
      </c>
      <c r="K140" s="20">
        <v>113585951</v>
      </c>
      <c r="L140" s="20">
        <f t="shared" si="21"/>
        <v>-414049</v>
      </c>
      <c r="M140" s="21">
        <f t="shared" si="20"/>
        <v>0.99636799122807018</v>
      </c>
    </row>
    <row r="141" spans="1:13" s="44" customFormat="1" ht="15" hidden="1" outlineLevel="1" x14ac:dyDescent="0.25">
      <c r="A141" s="45" t="s">
        <v>144</v>
      </c>
      <c r="B141" s="48"/>
      <c r="C141" s="20">
        <f>+[5]Técnica!$H$60</f>
        <v>15000000</v>
      </c>
      <c r="D141" s="27"/>
      <c r="E141" s="27"/>
      <c r="F141" s="27"/>
      <c r="G141" s="27"/>
      <c r="H141" s="20">
        <f t="shared" si="19"/>
        <v>15000000</v>
      </c>
      <c r="I141" s="15"/>
      <c r="J141" s="20">
        <f t="shared" si="18"/>
        <v>15000000</v>
      </c>
      <c r="K141" s="20">
        <v>11746534</v>
      </c>
      <c r="L141" s="20">
        <f t="shared" si="21"/>
        <v>-3253466</v>
      </c>
      <c r="M141" s="21">
        <f t="shared" si="20"/>
        <v>0.78310226666666671</v>
      </c>
    </row>
    <row r="142" spans="1:13" s="44" customFormat="1" ht="15" hidden="1" outlineLevel="1" x14ac:dyDescent="0.25">
      <c r="A142" s="45" t="s">
        <v>145</v>
      </c>
      <c r="B142" s="48"/>
      <c r="C142" s="20">
        <f>+[5]Técnica!$H$63</f>
        <v>24000000</v>
      </c>
      <c r="D142" s="27"/>
      <c r="E142" s="27"/>
      <c r="F142" s="27"/>
      <c r="G142" s="27"/>
      <c r="H142" s="20">
        <f t="shared" si="19"/>
        <v>24000000</v>
      </c>
      <c r="I142" s="15"/>
      <c r="J142" s="20">
        <f t="shared" si="18"/>
        <v>24000000</v>
      </c>
      <c r="K142" s="20">
        <v>20398780</v>
      </c>
      <c r="L142" s="20">
        <f t="shared" si="21"/>
        <v>-3601220</v>
      </c>
      <c r="M142" s="21">
        <f t="shared" si="20"/>
        <v>0.84994916666666664</v>
      </c>
    </row>
    <row r="143" spans="1:13" s="44" customFormat="1" ht="15" hidden="1" outlineLevel="1" x14ac:dyDescent="0.25">
      <c r="A143" s="45" t="s">
        <v>146</v>
      </c>
      <c r="B143" s="48"/>
      <c r="C143" s="20"/>
      <c r="D143" s="27"/>
      <c r="E143" s="27"/>
      <c r="F143" s="27"/>
      <c r="G143" s="27"/>
      <c r="H143" s="20">
        <f t="shared" si="19"/>
        <v>0</v>
      </c>
      <c r="I143" s="15"/>
      <c r="J143" s="20">
        <f t="shared" si="18"/>
        <v>0</v>
      </c>
      <c r="K143" s="20">
        <v>0</v>
      </c>
      <c r="L143" s="20">
        <f t="shared" si="21"/>
        <v>0</v>
      </c>
      <c r="M143" s="21">
        <f t="shared" si="20"/>
        <v>0</v>
      </c>
    </row>
    <row r="144" spans="1:13" s="44" customFormat="1" ht="15" hidden="1" outlineLevel="1" x14ac:dyDescent="0.25">
      <c r="A144" s="45" t="s">
        <v>147</v>
      </c>
      <c r="B144" s="48"/>
      <c r="C144" s="20">
        <f>+[5]Técnica!$H$69</f>
        <v>3000000</v>
      </c>
      <c r="D144" s="27"/>
      <c r="E144" s="27"/>
      <c r="F144" s="27"/>
      <c r="G144" s="27"/>
      <c r="H144" s="20">
        <f t="shared" si="19"/>
        <v>3000000</v>
      </c>
      <c r="I144" s="15"/>
      <c r="J144" s="20">
        <f t="shared" si="18"/>
        <v>3000000</v>
      </c>
      <c r="K144" s="20">
        <v>0</v>
      </c>
      <c r="L144" s="20">
        <f t="shared" si="21"/>
        <v>-3000000</v>
      </c>
      <c r="M144" s="21">
        <f t="shared" si="20"/>
        <v>0</v>
      </c>
    </row>
    <row r="145" spans="1:13" s="44" customFormat="1" ht="15" collapsed="1" x14ac:dyDescent="0.25">
      <c r="A145" s="46" t="s">
        <v>148</v>
      </c>
      <c r="B145" s="48"/>
      <c r="C145" s="27">
        <f>SUM(C146:C149)</f>
        <v>56860000</v>
      </c>
      <c r="D145" s="27"/>
      <c r="E145" s="27"/>
      <c r="F145" s="27"/>
      <c r="G145" s="27"/>
      <c r="H145" s="15">
        <f>+B145+C145+D145+G145+E145+F145</f>
        <v>56860000</v>
      </c>
      <c r="I145" s="15"/>
      <c r="J145" s="27">
        <f>SUM(J146:J149)</f>
        <v>56860000</v>
      </c>
      <c r="K145" s="15">
        <f>SUM(K146:K149)</f>
        <v>42393266</v>
      </c>
      <c r="L145" s="15">
        <f t="shared" si="21"/>
        <v>-14466734</v>
      </c>
      <c r="M145" s="16">
        <f t="shared" si="20"/>
        <v>0.74557274006331342</v>
      </c>
    </row>
    <row r="146" spans="1:13" s="44" customFormat="1" ht="15" hidden="1" outlineLevel="1" x14ac:dyDescent="0.25">
      <c r="A146" s="45" t="s">
        <v>149</v>
      </c>
      <c r="B146" s="48"/>
      <c r="C146" s="20">
        <f>+[5]Técnica!$H$72</f>
        <v>12360000</v>
      </c>
      <c r="D146" s="27"/>
      <c r="E146" s="27"/>
      <c r="F146" s="27"/>
      <c r="G146" s="27"/>
      <c r="H146" s="20">
        <f t="shared" si="19"/>
        <v>12360000</v>
      </c>
      <c r="I146" s="15"/>
      <c r="J146" s="20">
        <f t="shared" si="18"/>
        <v>12360000</v>
      </c>
      <c r="K146" s="20">
        <v>12360000</v>
      </c>
      <c r="L146" s="20">
        <f t="shared" si="21"/>
        <v>0</v>
      </c>
      <c r="M146" s="21">
        <f t="shared" si="20"/>
        <v>1</v>
      </c>
    </row>
    <row r="147" spans="1:13" s="44" customFormat="1" ht="15" hidden="1" outlineLevel="1" x14ac:dyDescent="0.25">
      <c r="A147" s="45" t="s">
        <v>150</v>
      </c>
      <c r="B147" s="48"/>
      <c r="C147" s="20">
        <f>+[5]Técnica!$H$74</f>
        <v>7000000</v>
      </c>
      <c r="D147" s="27"/>
      <c r="E147" s="27"/>
      <c r="F147" s="27"/>
      <c r="G147" s="27"/>
      <c r="H147" s="20">
        <f t="shared" si="19"/>
        <v>7000000</v>
      </c>
      <c r="I147" s="15"/>
      <c r="J147" s="20">
        <f t="shared" si="18"/>
        <v>7000000</v>
      </c>
      <c r="K147" s="20">
        <v>6925757</v>
      </c>
      <c r="L147" s="20">
        <f t="shared" si="21"/>
        <v>-74243</v>
      </c>
      <c r="M147" s="21">
        <f t="shared" si="20"/>
        <v>0.9893938571428571</v>
      </c>
    </row>
    <row r="148" spans="1:13" s="44" customFormat="1" ht="15" hidden="1" outlineLevel="1" x14ac:dyDescent="0.25">
      <c r="A148" s="45" t="s">
        <v>151</v>
      </c>
      <c r="B148" s="48"/>
      <c r="C148" s="20">
        <f>+[5]Técnica!$H$77</f>
        <v>3600000</v>
      </c>
      <c r="D148" s="27"/>
      <c r="E148" s="27"/>
      <c r="F148" s="27"/>
      <c r="G148" s="27"/>
      <c r="H148" s="20">
        <f t="shared" si="19"/>
        <v>3600000</v>
      </c>
      <c r="I148" s="15"/>
      <c r="J148" s="20">
        <f t="shared" si="18"/>
        <v>3600000</v>
      </c>
      <c r="K148" s="20">
        <v>2240088</v>
      </c>
      <c r="L148" s="20">
        <f t="shared" si="21"/>
        <v>-1359912</v>
      </c>
      <c r="M148" s="21">
        <f t="shared" si="20"/>
        <v>0.62224666666666661</v>
      </c>
    </row>
    <row r="149" spans="1:13" s="44" customFormat="1" ht="15" hidden="1" outlineLevel="1" x14ac:dyDescent="0.25">
      <c r="A149" s="45" t="s">
        <v>152</v>
      </c>
      <c r="B149" s="48"/>
      <c r="C149" s="20">
        <f>+[5]Técnica!$H$81</f>
        <v>33900000</v>
      </c>
      <c r="D149" s="27"/>
      <c r="E149" s="27"/>
      <c r="F149" s="27"/>
      <c r="G149" s="27"/>
      <c r="H149" s="20">
        <f t="shared" si="19"/>
        <v>33900000</v>
      </c>
      <c r="I149" s="15"/>
      <c r="J149" s="20">
        <f t="shared" si="18"/>
        <v>33900000</v>
      </c>
      <c r="K149" s="20">
        <v>20867421</v>
      </c>
      <c r="L149" s="20">
        <f t="shared" si="21"/>
        <v>-13032579</v>
      </c>
      <c r="M149" s="21">
        <f t="shared" si="20"/>
        <v>0.61555814159292033</v>
      </c>
    </row>
    <row r="150" spans="1:13" s="44" customFormat="1" ht="15" collapsed="1" x14ac:dyDescent="0.25">
      <c r="A150" s="45"/>
      <c r="B150" s="48"/>
      <c r="C150" s="27"/>
      <c r="D150" s="27"/>
      <c r="E150" s="27"/>
      <c r="F150" s="27"/>
      <c r="G150" s="27"/>
      <c r="H150" s="20"/>
      <c r="I150" s="27"/>
      <c r="J150" s="20"/>
      <c r="K150" s="27"/>
      <c r="L150" s="27"/>
      <c r="M150" s="21"/>
    </row>
    <row r="151" spans="1:13" s="44" customFormat="1" ht="15" x14ac:dyDescent="0.25">
      <c r="A151" s="46" t="s">
        <v>153</v>
      </c>
      <c r="B151" s="48"/>
      <c r="C151" s="27"/>
      <c r="D151" s="27">
        <f>+D152+D156+D170</f>
        <v>2026105896</v>
      </c>
      <c r="E151" s="27"/>
      <c r="F151" s="27"/>
      <c r="G151" s="27"/>
      <c r="H151" s="27">
        <f>+H152+H156+H170</f>
        <v>2026105896</v>
      </c>
      <c r="I151" s="27"/>
      <c r="J151" s="15">
        <f>+H151+I151</f>
        <v>2026105896</v>
      </c>
      <c r="K151" s="27">
        <f>+K152+K156+K170</f>
        <v>297063353</v>
      </c>
      <c r="L151" s="27">
        <f t="shared" si="21"/>
        <v>-1729042543</v>
      </c>
      <c r="M151" s="16">
        <f t="shared" si="20"/>
        <v>0.14661788092442332</v>
      </c>
    </row>
    <row r="152" spans="1:13" s="44" customFormat="1" ht="15" x14ac:dyDescent="0.25">
      <c r="A152" s="46" t="s">
        <v>154</v>
      </c>
      <c r="B152" s="27"/>
      <c r="C152" s="27"/>
      <c r="D152" s="27">
        <f>SUM(D153:D155)</f>
        <v>81800000</v>
      </c>
      <c r="E152" s="27"/>
      <c r="F152" s="27"/>
      <c r="G152" s="27"/>
      <c r="H152" s="27">
        <f>SUM(H153:H155)</f>
        <v>81800000</v>
      </c>
      <c r="I152" s="27"/>
      <c r="J152" s="27">
        <f>SUM(J153:J155)</f>
        <v>81800000</v>
      </c>
      <c r="K152" s="27">
        <f>SUM(K153:K155)</f>
        <v>39522659</v>
      </c>
      <c r="L152" s="27">
        <f t="shared" si="21"/>
        <v>-42277341</v>
      </c>
      <c r="M152" s="16">
        <f t="shared" si="20"/>
        <v>0.48316209046454767</v>
      </c>
    </row>
    <row r="153" spans="1:13" s="44" customFormat="1" ht="15" hidden="1" outlineLevel="1" x14ac:dyDescent="0.25">
      <c r="A153" s="45" t="s">
        <v>155</v>
      </c>
      <c r="B153" s="27"/>
      <c r="C153" s="27"/>
      <c r="D153" s="20">
        <f>+'[6]SOLICITUD II TRIMESTRE'!$E$38</f>
        <v>81800000</v>
      </c>
      <c r="E153" s="27"/>
      <c r="F153" s="27"/>
      <c r="G153" s="27"/>
      <c r="H153" s="19">
        <f>+B153+C153+D153+G153+E153+F153</f>
        <v>81800000</v>
      </c>
      <c r="I153" s="27"/>
      <c r="J153" s="20">
        <f>+H153+I153</f>
        <v>81800000</v>
      </c>
      <c r="K153" s="20">
        <v>39522659</v>
      </c>
      <c r="L153" s="20">
        <f t="shared" si="21"/>
        <v>-42277341</v>
      </c>
      <c r="M153" s="21">
        <f t="shared" si="20"/>
        <v>0.48316209046454767</v>
      </c>
    </row>
    <row r="154" spans="1:13" s="44" customFormat="1" ht="15" hidden="1" outlineLevel="1" x14ac:dyDescent="0.25">
      <c r="A154" s="45" t="s">
        <v>156</v>
      </c>
      <c r="B154" s="27"/>
      <c r="C154" s="27"/>
      <c r="D154" s="20"/>
      <c r="E154" s="27"/>
      <c r="F154" s="27"/>
      <c r="G154" s="27"/>
      <c r="H154" s="19">
        <f>+B154+C154+D154+G154+E154+F154</f>
        <v>0</v>
      </c>
      <c r="I154" s="27"/>
      <c r="J154" s="20">
        <f>+H154+I154</f>
        <v>0</v>
      </c>
      <c r="K154" s="20"/>
      <c r="L154" s="20">
        <f t="shared" si="21"/>
        <v>0</v>
      </c>
      <c r="M154" s="21">
        <f t="shared" si="20"/>
        <v>0</v>
      </c>
    </row>
    <row r="155" spans="1:13" s="44" customFormat="1" ht="15" hidden="1" outlineLevel="1" x14ac:dyDescent="0.25">
      <c r="A155" s="45" t="s">
        <v>157</v>
      </c>
      <c r="B155" s="27"/>
      <c r="C155" s="27"/>
      <c r="D155" s="20"/>
      <c r="E155" s="27"/>
      <c r="F155" s="27"/>
      <c r="G155" s="27"/>
      <c r="H155" s="19">
        <f>+B155+C155+D155+G155+E155+F155</f>
        <v>0</v>
      </c>
      <c r="I155" s="27"/>
      <c r="J155" s="20">
        <f>+H155+I155</f>
        <v>0</v>
      </c>
      <c r="K155" s="20"/>
      <c r="L155" s="20">
        <f t="shared" si="21"/>
        <v>0</v>
      </c>
      <c r="M155" s="21">
        <f t="shared" si="20"/>
        <v>0</v>
      </c>
    </row>
    <row r="156" spans="1:13" s="44" customFormat="1" ht="15" collapsed="1" x14ac:dyDescent="0.25">
      <c r="A156" s="46" t="s">
        <v>158</v>
      </c>
      <c r="B156" s="27"/>
      <c r="C156" s="27"/>
      <c r="D156" s="27">
        <f>+D157+D163</f>
        <v>536508000</v>
      </c>
      <c r="E156" s="27"/>
      <c r="F156" s="27"/>
      <c r="G156" s="27"/>
      <c r="H156" s="27">
        <f>+H157+H163</f>
        <v>536508000</v>
      </c>
      <c r="I156" s="27"/>
      <c r="J156" s="27">
        <f>+J157+J163</f>
        <v>536508000</v>
      </c>
      <c r="K156" s="27">
        <f>+K157+K163</f>
        <v>145135643</v>
      </c>
      <c r="L156" s="27">
        <f t="shared" si="21"/>
        <v>-391372357</v>
      </c>
      <c r="M156" s="16">
        <f t="shared" si="20"/>
        <v>0.27051906588531766</v>
      </c>
    </row>
    <row r="157" spans="1:13" s="44" customFormat="1" ht="15" hidden="1" outlineLevel="1" x14ac:dyDescent="0.25">
      <c r="A157" s="46" t="s">
        <v>159</v>
      </c>
      <c r="B157" s="27"/>
      <c r="C157" s="27"/>
      <c r="D157" s="27">
        <f>SUM(D158:D162)</f>
        <v>457308000</v>
      </c>
      <c r="E157" s="27"/>
      <c r="F157" s="27"/>
      <c r="G157" s="27"/>
      <c r="H157" s="27">
        <f>SUM(H158:H162)</f>
        <v>457308000</v>
      </c>
      <c r="I157" s="27"/>
      <c r="J157" s="27">
        <f>SUM(J158:J162)</f>
        <v>457308000</v>
      </c>
      <c r="K157" s="27">
        <f>SUM(K158:K162)</f>
        <v>81384331</v>
      </c>
      <c r="L157" s="27">
        <f t="shared" si="21"/>
        <v>-375923669</v>
      </c>
      <c r="M157" s="16">
        <f t="shared" si="20"/>
        <v>0.17796393459112894</v>
      </c>
    </row>
    <row r="158" spans="1:13" s="44" customFormat="1" ht="15" hidden="1" outlineLevel="2" x14ac:dyDescent="0.25">
      <c r="A158" s="45" t="s">
        <v>160</v>
      </c>
      <c r="B158" s="27"/>
      <c r="C158" s="27"/>
      <c r="D158" s="20"/>
      <c r="E158" s="27"/>
      <c r="F158" s="27"/>
      <c r="G158" s="27"/>
      <c r="H158" s="19">
        <f>+B158+C158+D158+G158+E158+F158</f>
        <v>0</v>
      </c>
      <c r="I158" s="27"/>
      <c r="J158" s="20">
        <f>+H158+I158</f>
        <v>0</v>
      </c>
      <c r="K158" s="20">
        <v>0</v>
      </c>
      <c r="L158" s="20">
        <f t="shared" si="21"/>
        <v>0</v>
      </c>
      <c r="M158" s="21">
        <f t="shared" si="20"/>
        <v>0</v>
      </c>
    </row>
    <row r="159" spans="1:13" s="44" customFormat="1" ht="15" hidden="1" outlineLevel="2" x14ac:dyDescent="0.25">
      <c r="A159" s="45" t="s">
        <v>161</v>
      </c>
      <c r="B159" s="27"/>
      <c r="C159" s="27"/>
      <c r="D159" s="20">
        <f>+'[6]SOLICITUD II TRIMESTRE'!$E$44</f>
        <v>20000000</v>
      </c>
      <c r="E159" s="27"/>
      <c r="F159" s="27"/>
      <c r="G159" s="27"/>
      <c r="H159" s="19">
        <f>+B159+C159+D159+G159+E159+F159</f>
        <v>20000000</v>
      </c>
      <c r="I159" s="27"/>
      <c r="J159" s="20">
        <f>+H159+I159</f>
        <v>20000000</v>
      </c>
      <c r="K159" s="20">
        <v>16233938</v>
      </c>
      <c r="L159" s="20">
        <f t="shared" si="21"/>
        <v>-3766062</v>
      </c>
      <c r="M159" s="21">
        <f t="shared" si="20"/>
        <v>0.81169690000000005</v>
      </c>
    </row>
    <row r="160" spans="1:13" s="44" customFormat="1" ht="15" hidden="1" outlineLevel="2" x14ac:dyDescent="0.25">
      <c r="A160" s="45" t="s">
        <v>162</v>
      </c>
      <c r="B160" s="27"/>
      <c r="C160" s="27"/>
      <c r="D160" s="20">
        <f>+'[6]SOLICITUD II TRIMESTRE'!$E$45</f>
        <v>38800000</v>
      </c>
      <c r="E160" s="27"/>
      <c r="F160" s="27"/>
      <c r="G160" s="27"/>
      <c r="H160" s="19">
        <f>+B160+C160+D160+G160+E160+F160</f>
        <v>38800000</v>
      </c>
      <c r="I160" s="27"/>
      <c r="J160" s="20">
        <f>+H160+I160</f>
        <v>38800000</v>
      </c>
      <c r="K160" s="20">
        <v>36223516</v>
      </c>
      <c r="L160" s="20">
        <f t="shared" si="21"/>
        <v>-2576484</v>
      </c>
      <c r="M160" s="21">
        <f t="shared" si="20"/>
        <v>0.93359577319587628</v>
      </c>
    </row>
    <row r="161" spans="1:13" s="44" customFormat="1" ht="15" hidden="1" outlineLevel="2" x14ac:dyDescent="0.25">
      <c r="A161" s="45" t="s">
        <v>163</v>
      </c>
      <c r="B161" s="27"/>
      <c r="C161" s="27"/>
      <c r="D161" s="20">
        <f>+'[6]SOLICITUD II TRIMESTRE'!$E$46</f>
        <v>30000000</v>
      </c>
      <c r="E161" s="51"/>
      <c r="F161" s="27"/>
      <c r="G161" s="27"/>
      <c r="H161" s="19">
        <f>+B161+C161+D161+G161+E161+F161</f>
        <v>30000000</v>
      </c>
      <c r="I161" s="27"/>
      <c r="J161" s="20">
        <f>+H161+I161</f>
        <v>30000000</v>
      </c>
      <c r="K161" s="20">
        <v>28926877</v>
      </c>
      <c r="L161" s="20">
        <f t="shared" si="21"/>
        <v>-1073123</v>
      </c>
      <c r="M161" s="21">
        <f t="shared" si="20"/>
        <v>0.96422923333333332</v>
      </c>
    </row>
    <row r="162" spans="1:13" s="44" customFormat="1" ht="15" hidden="1" outlineLevel="2" x14ac:dyDescent="0.25">
      <c r="A162" s="45" t="s">
        <v>164</v>
      </c>
      <c r="B162" s="27"/>
      <c r="C162" s="27"/>
      <c r="D162" s="20">
        <f>+'[6]SOLICITUD II TRIMESTRE'!$E$48</f>
        <v>368508000</v>
      </c>
      <c r="E162" s="51"/>
      <c r="F162" s="27"/>
      <c r="G162" s="27"/>
      <c r="H162" s="19">
        <f>+B162+C162+D162+G162+E162+F162</f>
        <v>368508000</v>
      </c>
      <c r="I162" s="27"/>
      <c r="J162" s="20">
        <f>+H162+I162</f>
        <v>368508000</v>
      </c>
      <c r="K162" s="20">
        <v>0</v>
      </c>
      <c r="L162" s="20">
        <f t="shared" si="21"/>
        <v>-368508000</v>
      </c>
      <c r="M162" s="21">
        <f t="shared" si="20"/>
        <v>0</v>
      </c>
    </row>
    <row r="163" spans="1:13" s="44" customFormat="1" ht="15" hidden="1" outlineLevel="1" x14ac:dyDescent="0.25">
      <c r="A163" s="46" t="s">
        <v>165</v>
      </c>
      <c r="B163" s="27"/>
      <c r="C163" s="27"/>
      <c r="D163" s="27">
        <f>SUM(D164:D169)</f>
        <v>79200000</v>
      </c>
      <c r="E163" s="27"/>
      <c r="F163" s="27"/>
      <c r="G163" s="27"/>
      <c r="H163" s="27">
        <f>SUM(H164:H169)</f>
        <v>79200000</v>
      </c>
      <c r="I163" s="27"/>
      <c r="J163" s="27">
        <f>SUM(J164:J169)</f>
        <v>79200000</v>
      </c>
      <c r="K163" s="27">
        <f>SUM(K164:K169)</f>
        <v>63751312</v>
      </c>
      <c r="L163" s="27">
        <f t="shared" si="21"/>
        <v>-15448688</v>
      </c>
      <c r="M163" s="16">
        <f t="shared" si="20"/>
        <v>0.80494080808080803</v>
      </c>
    </row>
    <row r="164" spans="1:13" s="44" customFormat="1" ht="15" hidden="1" outlineLevel="2" x14ac:dyDescent="0.25">
      <c r="A164" s="45" t="s">
        <v>166</v>
      </c>
      <c r="B164" s="27"/>
      <c r="C164" s="27"/>
      <c r="D164" s="20"/>
      <c r="E164" s="27"/>
      <c r="F164" s="27"/>
      <c r="G164" s="27"/>
      <c r="H164" s="19">
        <f t="shared" ref="H164:H169" si="22">+B164+C164+D164+G164+E164+F164</f>
        <v>0</v>
      </c>
      <c r="I164" s="27"/>
      <c r="J164" s="20">
        <f t="shared" ref="J164:J169" si="23">+H164+I164</f>
        <v>0</v>
      </c>
      <c r="K164" s="20">
        <v>0</v>
      </c>
      <c r="L164" s="20">
        <f t="shared" si="21"/>
        <v>0</v>
      </c>
      <c r="M164" s="21">
        <f t="shared" si="20"/>
        <v>0</v>
      </c>
    </row>
    <row r="165" spans="1:13" s="44" customFormat="1" ht="15" hidden="1" outlineLevel="2" x14ac:dyDescent="0.25">
      <c r="A165" s="45" t="s">
        <v>167</v>
      </c>
      <c r="B165" s="27"/>
      <c r="C165" s="27"/>
      <c r="D165" s="20">
        <f>+'[6]SOLICITUD II TRIMESTRE'!$E$51</f>
        <v>27500000</v>
      </c>
      <c r="E165" s="27"/>
      <c r="F165" s="27"/>
      <c r="G165" s="27"/>
      <c r="H165" s="19">
        <f t="shared" si="22"/>
        <v>27500000</v>
      </c>
      <c r="I165" s="27"/>
      <c r="J165" s="20">
        <f t="shared" si="23"/>
        <v>27500000</v>
      </c>
      <c r="K165" s="20">
        <v>25984000</v>
      </c>
      <c r="L165" s="20">
        <f t="shared" si="21"/>
        <v>-1516000</v>
      </c>
      <c r="M165" s="21">
        <f t="shared" si="20"/>
        <v>0.94487272727272731</v>
      </c>
    </row>
    <row r="166" spans="1:13" s="44" customFormat="1" ht="15" hidden="1" outlineLevel="2" x14ac:dyDescent="0.25">
      <c r="A166" s="45" t="s">
        <v>168</v>
      </c>
      <c r="B166" s="27"/>
      <c r="C166" s="27"/>
      <c r="D166" s="20">
        <f>+'[6]SOLICITUD II TRIMESTRE'!$E$52</f>
        <v>12000000</v>
      </c>
      <c r="E166" s="27"/>
      <c r="F166" s="27"/>
      <c r="G166" s="27"/>
      <c r="H166" s="19">
        <f t="shared" si="22"/>
        <v>12000000</v>
      </c>
      <c r="I166" s="27"/>
      <c r="J166" s="20">
        <f t="shared" si="23"/>
        <v>12000000</v>
      </c>
      <c r="K166" s="20">
        <v>0</v>
      </c>
      <c r="L166" s="20">
        <f t="shared" si="21"/>
        <v>-12000000</v>
      </c>
      <c r="M166" s="21">
        <f t="shared" si="20"/>
        <v>0</v>
      </c>
    </row>
    <row r="167" spans="1:13" s="44" customFormat="1" ht="15" hidden="1" outlineLevel="2" x14ac:dyDescent="0.25">
      <c r="A167" s="45" t="s">
        <v>169</v>
      </c>
      <c r="B167" s="27"/>
      <c r="C167" s="27"/>
      <c r="D167" s="20">
        <f>+'[6]SOLICITUD II TRIMESTRE'!$E$53</f>
        <v>12200000</v>
      </c>
      <c r="E167" s="27"/>
      <c r="F167" s="27"/>
      <c r="G167" s="27"/>
      <c r="H167" s="19">
        <f t="shared" si="22"/>
        <v>12200000</v>
      </c>
      <c r="I167" s="27"/>
      <c r="J167" s="20">
        <f t="shared" si="23"/>
        <v>12200000</v>
      </c>
      <c r="K167" s="20">
        <v>11181192</v>
      </c>
      <c r="L167" s="20">
        <f t="shared" si="21"/>
        <v>-1018808</v>
      </c>
      <c r="M167" s="21">
        <f t="shared" si="20"/>
        <v>0.9164911475409836</v>
      </c>
    </row>
    <row r="168" spans="1:13" s="44" customFormat="1" ht="15" hidden="1" outlineLevel="2" x14ac:dyDescent="0.25">
      <c r="A168" s="45" t="s">
        <v>170</v>
      </c>
      <c r="B168" s="27"/>
      <c r="C168" s="27"/>
      <c r="D168" s="20"/>
      <c r="E168" s="27"/>
      <c r="F168" s="27"/>
      <c r="G168" s="27"/>
      <c r="H168" s="19">
        <f t="shared" si="22"/>
        <v>0</v>
      </c>
      <c r="I168" s="27"/>
      <c r="J168" s="20">
        <f t="shared" si="23"/>
        <v>0</v>
      </c>
      <c r="K168" s="20">
        <v>0</v>
      </c>
      <c r="L168" s="20">
        <f t="shared" si="21"/>
        <v>0</v>
      </c>
      <c r="M168" s="21">
        <f t="shared" si="20"/>
        <v>0</v>
      </c>
    </row>
    <row r="169" spans="1:13" s="44" customFormat="1" ht="15" hidden="1" outlineLevel="2" x14ac:dyDescent="0.25">
      <c r="A169" s="45" t="s">
        <v>171</v>
      </c>
      <c r="B169" s="27"/>
      <c r="C169" s="27"/>
      <c r="D169" s="20">
        <f>+'[6]SOLICITUD II TRIMESTRE'!$E$55</f>
        <v>27500000</v>
      </c>
      <c r="E169" s="27"/>
      <c r="F169" s="27"/>
      <c r="G169" s="27"/>
      <c r="H169" s="19">
        <f t="shared" si="22"/>
        <v>27500000</v>
      </c>
      <c r="I169" s="27"/>
      <c r="J169" s="20">
        <f t="shared" si="23"/>
        <v>27500000</v>
      </c>
      <c r="K169" s="20">
        <v>26586120</v>
      </c>
      <c r="L169" s="20">
        <f t="shared" si="21"/>
        <v>-913880</v>
      </c>
      <c r="M169" s="21">
        <f t="shared" si="20"/>
        <v>0.96676799999999996</v>
      </c>
    </row>
    <row r="170" spans="1:13" s="44" customFormat="1" ht="15" collapsed="1" x14ac:dyDescent="0.25">
      <c r="A170" s="46" t="s">
        <v>172</v>
      </c>
      <c r="B170" s="27"/>
      <c r="C170" s="27"/>
      <c r="D170" s="27">
        <f>+D171+D175+D179+D180+D181+D182+D183</f>
        <v>1407797896</v>
      </c>
      <c r="E170" s="27"/>
      <c r="F170" s="27"/>
      <c r="G170" s="27"/>
      <c r="H170" s="27">
        <f>+H171+H175+H179+H180+H181+H182+H183</f>
        <v>1407797896</v>
      </c>
      <c r="I170" s="27"/>
      <c r="J170" s="27">
        <f>+J171+J175+J179+J180+J181+J182+J183</f>
        <v>1407797896</v>
      </c>
      <c r="K170" s="27">
        <f>+K171+K175+K179+K180+K181+K182+K183</f>
        <v>112405051</v>
      </c>
      <c r="L170" s="27">
        <f t="shared" si="21"/>
        <v>-1295392845</v>
      </c>
      <c r="M170" s="16">
        <f t="shared" si="20"/>
        <v>7.9844593687331378E-2</v>
      </c>
    </row>
    <row r="171" spans="1:13" s="44" customFormat="1" ht="15" hidden="1" outlineLevel="1" x14ac:dyDescent="0.25">
      <c r="A171" s="46" t="s">
        <v>173</v>
      </c>
      <c r="B171" s="27"/>
      <c r="C171" s="27"/>
      <c r="D171" s="27">
        <f>SUM(D172:D174)</f>
        <v>23709346</v>
      </c>
      <c r="E171" s="27"/>
      <c r="F171" s="27"/>
      <c r="G171" s="27"/>
      <c r="H171" s="27">
        <f>SUM(H172:H174)</f>
        <v>23709346</v>
      </c>
      <c r="I171" s="27"/>
      <c r="J171" s="27">
        <f>SUM(J172:J174)</f>
        <v>23709346</v>
      </c>
      <c r="K171" s="27">
        <f>SUM(K172:K174)</f>
        <v>21165275</v>
      </c>
      <c r="L171" s="27">
        <f t="shared" si="21"/>
        <v>-2544071</v>
      </c>
      <c r="M171" s="16">
        <f t="shared" si="20"/>
        <v>0.89269754635998821</v>
      </c>
    </row>
    <row r="172" spans="1:13" s="44" customFormat="1" ht="15" hidden="1" outlineLevel="2" x14ac:dyDescent="0.25">
      <c r="A172" s="45" t="s">
        <v>174</v>
      </c>
      <c r="B172" s="27"/>
      <c r="C172" s="27"/>
      <c r="D172" s="19">
        <f>8200000-2500000-500000</f>
        <v>5200000</v>
      </c>
      <c r="E172" s="27"/>
      <c r="F172" s="27"/>
      <c r="G172" s="27"/>
      <c r="H172" s="19">
        <f>+B172+C172+D172+G172+E172+F172</f>
        <v>5200000</v>
      </c>
      <c r="I172" s="27"/>
      <c r="J172" s="20">
        <f>+H172+I172</f>
        <v>5200000</v>
      </c>
      <c r="K172" s="20">
        <v>3351825</v>
      </c>
      <c r="L172" s="20">
        <f t="shared" si="21"/>
        <v>-1848175</v>
      </c>
      <c r="M172" s="21">
        <f t="shared" si="20"/>
        <v>0.64458173076923075</v>
      </c>
    </row>
    <row r="173" spans="1:13" s="44" customFormat="1" ht="15" hidden="1" outlineLevel="2" x14ac:dyDescent="0.25">
      <c r="A173" s="45" t="s">
        <v>175</v>
      </c>
      <c r="B173" s="27"/>
      <c r="C173" s="27"/>
      <c r="D173" s="19">
        <f>+'[6]SOLICITUD II TRIMESTRE'!$E$59+2500000</f>
        <v>3009346</v>
      </c>
      <c r="E173" s="27"/>
      <c r="F173" s="27"/>
      <c r="G173" s="27"/>
      <c r="H173" s="19">
        <f>+B173+C173+D173+G173+E173+F173</f>
        <v>3009346</v>
      </c>
      <c r="I173" s="27"/>
      <c r="J173" s="20">
        <f>+H173+I173</f>
        <v>3009346</v>
      </c>
      <c r="K173" s="20">
        <v>2320450</v>
      </c>
      <c r="L173" s="20">
        <f t="shared" si="21"/>
        <v>-688896</v>
      </c>
      <c r="M173" s="21">
        <f t="shared" si="20"/>
        <v>0.77108115849756065</v>
      </c>
    </row>
    <row r="174" spans="1:13" s="44" customFormat="1" ht="15" hidden="1" outlineLevel="2" x14ac:dyDescent="0.25">
      <c r="A174" s="45" t="s">
        <v>176</v>
      </c>
      <c r="B174" s="27"/>
      <c r="C174" s="27"/>
      <c r="D174" s="19">
        <f>+'[6]SOLICITUD II TRIMESTRE'!$E$60+500000</f>
        <v>15500000</v>
      </c>
      <c r="E174" s="27"/>
      <c r="F174" s="27"/>
      <c r="G174" s="27"/>
      <c r="H174" s="19">
        <f>+B174+C174+D174+G174+E174+F174</f>
        <v>15500000</v>
      </c>
      <c r="I174" s="27"/>
      <c r="J174" s="20">
        <f>+H174+I174</f>
        <v>15500000</v>
      </c>
      <c r="K174" s="20">
        <v>15493000</v>
      </c>
      <c r="L174" s="20">
        <f t="shared" si="21"/>
        <v>-7000</v>
      </c>
      <c r="M174" s="21">
        <f t="shared" si="20"/>
        <v>0.99954838709677418</v>
      </c>
    </row>
    <row r="175" spans="1:13" s="44" customFormat="1" ht="15" hidden="1" outlineLevel="1" x14ac:dyDescent="0.25">
      <c r="A175" s="46" t="s">
        <v>177</v>
      </c>
      <c r="B175" s="27"/>
      <c r="C175" s="27"/>
      <c r="D175" s="27">
        <f>SUM(D176:D178)</f>
        <v>72800000</v>
      </c>
      <c r="E175" s="27"/>
      <c r="F175" s="27"/>
      <c r="G175" s="27"/>
      <c r="H175" s="27">
        <f>SUM(H176:H178)</f>
        <v>72800000</v>
      </c>
      <c r="I175" s="27"/>
      <c r="J175" s="27">
        <f>SUM(J176:J178)</f>
        <v>72800000</v>
      </c>
      <c r="K175" s="27">
        <f>SUM(K176:K178)</f>
        <v>70571400</v>
      </c>
      <c r="L175" s="27">
        <f t="shared" si="21"/>
        <v>-2228600</v>
      </c>
      <c r="M175" s="16">
        <f t="shared" si="20"/>
        <v>0.96938736263736269</v>
      </c>
    </row>
    <row r="176" spans="1:13" s="44" customFormat="1" ht="15" hidden="1" outlineLevel="2" x14ac:dyDescent="0.25">
      <c r="A176" s="45" t="s">
        <v>178</v>
      </c>
      <c r="B176" s="27"/>
      <c r="C176" s="27"/>
      <c r="D176" s="19">
        <f>+'[6]SOLICITUD II TRIMESTRE'!$E$62+13700000</f>
        <v>28700000</v>
      </c>
      <c r="E176" s="27"/>
      <c r="F176" s="27"/>
      <c r="G176" s="27"/>
      <c r="H176" s="19">
        <f t="shared" ref="H176:H183" si="24">+B176+C176+D176+G176+E176+F176</f>
        <v>28700000</v>
      </c>
      <c r="I176" s="27"/>
      <c r="J176" s="20">
        <f t="shared" ref="J176:J183" si="25">+H176+I176</f>
        <v>28700000</v>
      </c>
      <c r="K176" s="20">
        <v>28687000</v>
      </c>
      <c r="L176" s="20">
        <f t="shared" si="21"/>
        <v>-13000</v>
      </c>
      <c r="M176" s="21">
        <f t="shared" si="20"/>
        <v>0.99954703832752612</v>
      </c>
    </row>
    <row r="177" spans="1:13" s="44" customFormat="1" ht="15" hidden="1" outlineLevel="2" x14ac:dyDescent="0.25">
      <c r="A177" s="45" t="s">
        <v>179</v>
      </c>
      <c r="B177" s="27"/>
      <c r="C177" s="27"/>
      <c r="D177" s="19">
        <f>+'[6]SOLICITUD II TRIMESTRE'!$E$63+6900000</f>
        <v>41900000</v>
      </c>
      <c r="E177" s="27"/>
      <c r="F177" s="27"/>
      <c r="G177" s="27"/>
      <c r="H177" s="19">
        <f t="shared" si="24"/>
        <v>41900000</v>
      </c>
      <c r="I177" s="27"/>
      <c r="J177" s="20">
        <f t="shared" si="25"/>
        <v>41900000</v>
      </c>
      <c r="K177" s="20">
        <v>41884400</v>
      </c>
      <c r="L177" s="20">
        <f t="shared" si="21"/>
        <v>-15600</v>
      </c>
      <c r="M177" s="21">
        <f t="shared" si="20"/>
        <v>0.99962768496420051</v>
      </c>
    </row>
    <row r="178" spans="1:13" s="44" customFormat="1" ht="15" hidden="1" outlineLevel="2" x14ac:dyDescent="0.25">
      <c r="A178" s="45" t="s">
        <v>180</v>
      </c>
      <c r="B178" s="27"/>
      <c r="C178" s="27"/>
      <c r="D178" s="19">
        <f>+'[6]SOLICITUD II TRIMESTRE'!$E$64-13700000-6900000</f>
        <v>2200000</v>
      </c>
      <c r="E178" s="27"/>
      <c r="F178" s="27"/>
      <c r="G178" s="27"/>
      <c r="H178" s="19">
        <f t="shared" si="24"/>
        <v>2200000</v>
      </c>
      <c r="I178" s="27"/>
      <c r="J178" s="20">
        <f t="shared" si="25"/>
        <v>2200000</v>
      </c>
      <c r="K178" s="20">
        <v>0</v>
      </c>
      <c r="L178" s="20">
        <f t="shared" si="21"/>
        <v>-2200000</v>
      </c>
      <c r="M178" s="21">
        <f t="shared" si="20"/>
        <v>0</v>
      </c>
    </row>
    <row r="179" spans="1:13" s="44" customFormat="1" ht="15" hidden="1" outlineLevel="1" x14ac:dyDescent="0.25">
      <c r="A179" s="46" t="s">
        <v>181</v>
      </c>
      <c r="B179" s="27"/>
      <c r="C179" s="27"/>
      <c r="D179" s="27">
        <f>+'[6]SOLICITUD II TRIMESTRE'!$E$65</f>
        <v>10000000</v>
      </c>
      <c r="E179" s="27"/>
      <c r="F179" s="27"/>
      <c r="G179" s="27"/>
      <c r="H179" s="15">
        <f t="shared" si="24"/>
        <v>10000000</v>
      </c>
      <c r="I179" s="15"/>
      <c r="J179" s="15">
        <f t="shared" si="25"/>
        <v>10000000</v>
      </c>
      <c r="K179" s="15">
        <v>8190000</v>
      </c>
      <c r="L179" s="15">
        <f t="shared" si="21"/>
        <v>-1810000</v>
      </c>
      <c r="M179" s="16">
        <f t="shared" si="20"/>
        <v>0.81899999999999995</v>
      </c>
    </row>
    <row r="180" spans="1:13" s="44" customFormat="1" ht="15" hidden="1" outlineLevel="1" x14ac:dyDescent="0.25">
      <c r="A180" s="46" t="s">
        <v>182</v>
      </c>
      <c r="B180" s="27"/>
      <c r="C180" s="27"/>
      <c r="D180" s="27">
        <f>+'[6]SOLICITUD II TRIMESTRE'!$E$66</f>
        <v>5000000</v>
      </c>
      <c r="E180" s="27"/>
      <c r="F180" s="27"/>
      <c r="G180" s="27"/>
      <c r="H180" s="15">
        <f t="shared" si="24"/>
        <v>5000000</v>
      </c>
      <c r="I180" s="15"/>
      <c r="J180" s="15">
        <f t="shared" si="25"/>
        <v>5000000</v>
      </c>
      <c r="K180" s="15">
        <v>5000000</v>
      </c>
      <c r="L180" s="15">
        <f t="shared" si="21"/>
        <v>0</v>
      </c>
      <c r="M180" s="16">
        <f t="shared" si="20"/>
        <v>1</v>
      </c>
    </row>
    <row r="181" spans="1:13" s="44" customFormat="1" ht="15" hidden="1" outlineLevel="1" x14ac:dyDescent="0.25">
      <c r="A181" s="46" t="s">
        <v>183</v>
      </c>
      <c r="B181" s="27"/>
      <c r="C181" s="27"/>
      <c r="D181" s="27">
        <f>+'[6]SOLICITUD II TRIMESTRE'!$E$67</f>
        <v>10000000</v>
      </c>
      <c r="E181" s="27"/>
      <c r="F181" s="27"/>
      <c r="G181" s="27"/>
      <c r="H181" s="15">
        <f t="shared" si="24"/>
        <v>10000000</v>
      </c>
      <c r="I181" s="15"/>
      <c r="J181" s="15">
        <f t="shared" si="25"/>
        <v>10000000</v>
      </c>
      <c r="K181" s="15"/>
      <c r="L181" s="15">
        <f t="shared" si="21"/>
        <v>-10000000</v>
      </c>
      <c r="M181" s="16">
        <f t="shared" si="20"/>
        <v>0</v>
      </c>
    </row>
    <row r="182" spans="1:13" s="44" customFormat="1" ht="14.25" hidden="1" customHeight="1" outlineLevel="1" x14ac:dyDescent="0.25">
      <c r="A182" s="46" t="s">
        <v>184</v>
      </c>
      <c r="B182" s="27"/>
      <c r="C182" s="27"/>
      <c r="D182" s="27">
        <f>+'[6]SOLICITUD II TRIMESTRE'!$E$68</f>
        <v>2000000</v>
      </c>
      <c r="E182" s="52"/>
      <c r="F182" s="27"/>
      <c r="G182" s="27"/>
      <c r="H182" s="15">
        <f t="shared" si="24"/>
        <v>2000000</v>
      </c>
      <c r="I182" s="15"/>
      <c r="J182" s="15">
        <f t="shared" si="25"/>
        <v>2000000</v>
      </c>
      <c r="K182" s="15">
        <v>0</v>
      </c>
      <c r="L182" s="15">
        <f t="shared" si="21"/>
        <v>-2000000</v>
      </c>
      <c r="M182" s="16">
        <f t="shared" si="20"/>
        <v>0</v>
      </c>
    </row>
    <row r="183" spans="1:13" s="44" customFormat="1" ht="14.25" hidden="1" customHeight="1" outlineLevel="1" x14ac:dyDescent="0.25">
      <c r="A183" s="46" t="s">
        <v>185</v>
      </c>
      <c r="B183" s="27"/>
      <c r="C183" s="27"/>
      <c r="D183" s="27">
        <f>+'[6]SOLICITUD II TRIMESTRE'!$E$69</f>
        <v>1284288550</v>
      </c>
      <c r="E183" s="52"/>
      <c r="F183" s="27"/>
      <c r="G183" s="27"/>
      <c r="H183" s="15">
        <f t="shared" si="24"/>
        <v>1284288550</v>
      </c>
      <c r="I183" s="15"/>
      <c r="J183" s="15">
        <f t="shared" si="25"/>
        <v>1284288550</v>
      </c>
      <c r="K183" s="15">
        <v>7478376</v>
      </c>
      <c r="L183" s="15">
        <f t="shared" si="21"/>
        <v>-1276810174</v>
      </c>
      <c r="M183" s="16">
        <f t="shared" si="20"/>
        <v>5.8229717924371434E-3</v>
      </c>
    </row>
    <row r="184" spans="1:13" s="44" customFormat="1" ht="15" collapsed="1" x14ac:dyDescent="0.25">
      <c r="A184" s="45"/>
      <c r="B184" s="27"/>
      <c r="C184" s="27"/>
      <c r="D184" s="27"/>
      <c r="E184" s="27"/>
      <c r="F184" s="27"/>
      <c r="G184" s="27"/>
      <c r="H184" s="19"/>
      <c r="I184" s="27"/>
      <c r="J184" s="20"/>
      <c r="K184" s="27"/>
      <c r="L184" s="27"/>
      <c r="M184" s="21"/>
    </row>
    <row r="185" spans="1:13" s="44" customFormat="1" ht="15" x14ac:dyDescent="0.25">
      <c r="A185" s="46" t="s">
        <v>186</v>
      </c>
      <c r="B185" s="27"/>
      <c r="C185" s="27"/>
      <c r="D185" s="27"/>
      <c r="E185" s="15">
        <f>+E186</f>
        <v>132000000</v>
      </c>
      <c r="F185" s="15"/>
      <c r="G185" s="15"/>
      <c r="H185" s="15">
        <f>+H186</f>
        <v>132000000</v>
      </c>
      <c r="I185" s="15"/>
      <c r="J185" s="15">
        <f>+H185+I185</f>
        <v>132000000</v>
      </c>
      <c r="K185" s="15">
        <f>+K186</f>
        <v>28758852</v>
      </c>
      <c r="L185" s="15">
        <f t="shared" si="21"/>
        <v>-103241148</v>
      </c>
      <c r="M185" s="16">
        <f t="shared" si="20"/>
        <v>0.2178700909090909</v>
      </c>
    </row>
    <row r="186" spans="1:13" s="44" customFormat="1" ht="15" x14ac:dyDescent="0.25">
      <c r="A186" s="46" t="s">
        <v>187</v>
      </c>
      <c r="B186" s="27"/>
      <c r="C186" s="27"/>
      <c r="D186" s="27"/>
      <c r="E186" s="27">
        <f>SUM(E187:E189)</f>
        <v>132000000</v>
      </c>
      <c r="F186" s="27"/>
      <c r="G186" s="27"/>
      <c r="H186" s="27">
        <f>SUM(H187:H189)</f>
        <v>132000000</v>
      </c>
      <c r="I186" s="27"/>
      <c r="J186" s="27">
        <f>SUM(J187:J189)</f>
        <v>132000000</v>
      </c>
      <c r="K186" s="27">
        <f>SUM(K187:K189)</f>
        <v>28758852</v>
      </c>
      <c r="L186" s="27">
        <f t="shared" si="21"/>
        <v>-103241148</v>
      </c>
      <c r="M186" s="16">
        <f t="shared" si="20"/>
        <v>0.2178700909090909</v>
      </c>
    </row>
    <row r="187" spans="1:13" s="44" customFormat="1" ht="15" hidden="1" outlineLevel="1" x14ac:dyDescent="0.25">
      <c r="A187" s="45" t="s">
        <v>188</v>
      </c>
      <c r="B187" s="27"/>
      <c r="C187" s="27"/>
      <c r="D187" s="27"/>
      <c r="E187" s="20">
        <f>+'[4]II SANIDAD'!$D$13</f>
        <v>18000000</v>
      </c>
      <c r="F187" s="27"/>
      <c r="G187" s="27"/>
      <c r="H187" s="19">
        <f>+B187+C187+D187+G187+E187+F187</f>
        <v>18000000</v>
      </c>
      <c r="I187" s="27"/>
      <c r="J187" s="20">
        <f>+H187+I187</f>
        <v>18000000</v>
      </c>
      <c r="K187" s="20">
        <v>11435233</v>
      </c>
      <c r="L187" s="20">
        <f t="shared" si="21"/>
        <v>-6564767</v>
      </c>
      <c r="M187" s="21">
        <f t="shared" si="20"/>
        <v>0.63529072222222227</v>
      </c>
    </row>
    <row r="188" spans="1:13" s="44" customFormat="1" ht="15" hidden="1" outlineLevel="1" x14ac:dyDescent="0.25">
      <c r="A188" s="45" t="s">
        <v>189</v>
      </c>
      <c r="B188" s="27"/>
      <c r="C188" s="27"/>
      <c r="D188" s="27"/>
      <c r="E188" s="20">
        <f>+'[4]II SANIDAD'!$D$16</f>
        <v>108000000</v>
      </c>
      <c r="F188" s="27"/>
      <c r="G188" s="27"/>
      <c r="H188" s="19">
        <f>+B188+C188+D188+G188+E188+F188</f>
        <v>108000000</v>
      </c>
      <c r="I188" s="27"/>
      <c r="J188" s="20">
        <f>+H188+I188</f>
        <v>108000000</v>
      </c>
      <c r="K188" s="20">
        <v>11323619</v>
      </c>
      <c r="L188" s="20">
        <f t="shared" si="21"/>
        <v>-96676381</v>
      </c>
      <c r="M188" s="21">
        <f t="shared" si="20"/>
        <v>0.10484832407407407</v>
      </c>
    </row>
    <row r="189" spans="1:13" s="44" customFormat="1" ht="15" hidden="1" outlineLevel="1" x14ac:dyDescent="0.25">
      <c r="A189" s="45" t="s">
        <v>190</v>
      </c>
      <c r="B189" s="27"/>
      <c r="C189" s="27"/>
      <c r="D189" s="27"/>
      <c r="E189" s="20">
        <f>+'[4]II SANIDAD'!$D$25</f>
        <v>6000000</v>
      </c>
      <c r="F189" s="27"/>
      <c r="G189" s="27"/>
      <c r="H189" s="19">
        <f>+B189+C189+D189+G189+E189+F189</f>
        <v>6000000</v>
      </c>
      <c r="I189" s="27"/>
      <c r="J189" s="20">
        <f>+H189+I189</f>
        <v>6000000</v>
      </c>
      <c r="K189" s="20">
        <v>6000000</v>
      </c>
      <c r="L189" s="20">
        <f t="shared" si="21"/>
        <v>0</v>
      </c>
      <c r="M189" s="21">
        <f t="shared" si="20"/>
        <v>1</v>
      </c>
    </row>
    <row r="190" spans="1:13" s="44" customFormat="1" ht="15" collapsed="1" x14ac:dyDescent="0.25">
      <c r="A190" s="45"/>
      <c r="B190" s="19"/>
      <c r="C190" s="27"/>
      <c r="D190" s="27"/>
      <c r="E190" s="27"/>
      <c r="F190" s="27"/>
      <c r="G190" s="27"/>
      <c r="H190" s="19"/>
      <c r="I190" s="27"/>
      <c r="J190" s="20"/>
      <c r="K190" s="27"/>
      <c r="L190" s="27"/>
      <c r="M190" s="21"/>
    </row>
    <row r="191" spans="1:13" ht="15" x14ac:dyDescent="0.25">
      <c r="A191" s="43" t="s">
        <v>191</v>
      </c>
      <c r="B191" s="19"/>
      <c r="C191" s="19"/>
      <c r="D191" s="19"/>
      <c r="E191" s="19"/>
      <c r="F191" s="19"/>
      <c r="G191" s="19"/>
      <c r="H191" s="19"/>
      <c r="I191" s="27">
        <f>+I192+I193</f>
        <v>585659828.39999998</v>
      </c>
      <c r="J191" s="27">
        <f>+I191+H191</f>
        <v>585659828.39999998</v>
      </c>
      <c r="K191" s="27">
        <f>+K192+K193</f>
        <v>572541884</v>
      </c>
      <c r="L191" s="27">
        <f t="shared" si="21"/>
        <v>-13117944.399999976</v>
      </c>
      <c r="M191" s="16">
        <f t="shared" si="20"/>
        <v>0.97760142703344077</v>
      </c>
    </row>
    <row r="192" spans="1:13" ht="14.25" hidden="1" outlineLevel="1" x14ac:dyDescent="0.2">
      <c r="A192" s="53" t="s">
        <v>192</v>
      </c>
      <c r="B192" s="19"/>
      <c r="C192" s="19"/>
      <c r="D192" s="19"/>
      <c r="E192" s="19"/>
      <c r="F192" s="19"/>
      <c r="G192" s="19"/>
      <c r="H192" s="19"/>
      <c r="I192" s="20">
        <f>+('[1]Anexo 1 Minagricultura'!B14+'[1]Anexo 1 Minagricultura'!B18)*0.1</f>
        <v>366037392.75</v>
      </c>
      <c r="J192" s="20">
        <f>+I192+H192</f>
        <v>366037392.75</v>
      </c>
      <c r="K192" s="20">
        <v>357838678</v>
      </c>
      <c r="L192" s="20">
        <f t="shared" si="21"/>
        <v>-8198714.75</v>
      </c>
      <c r="M192" s="21">
        <f t="shared" si="20"/>
        <v>0.97760142839942132</v>
      </c>
    </row>
    <row r="193" spans="1:19" ht="14.25" hidden="1" outlineLevel="1" x14ac:dyDescent="0.2">
      <c r="A193" s="53" t="s">
        <v>193</v>
      </c>
      <c r="B193" s="19"/>
      <c r="C193" s="19"/>
      <c r="D193" s="19"/>
      <c r="E193" s="19"/>
      <c r="F193" s="19"/>
      <c r="G193" s="19"/>
      <c r="H193" s="19"/>
      <c r="I193" s="20">
        <f>+('[1]Anexo 1 Minagricultura'!B15+'[1]Anexo 1 Minagricultura'!B19)*0.1</f>
        <v>219622435.65000001</v>
      </c>
      <c r="J193" s="20">
        <f>+I193+H193</f>
        <v>219622435.65000001</v>
      </c>
      <c r="K193" s="20">
        <v>214703206</v>
      </c>
      <c r="L193" s="20">
        <f t="shared" si="21"/>
        <v>-4919229.650000006</v>
      </c>
      <c r="M193" s="21">
        <f t="shared" si="20"/>
        <v>0.97760142475680623</v>
      </c>
    </row>
    <row r="194" spans="1:19" ht="15" collapsed="1" x14ac:dyDescent="0.25">
      <c r="A194" s="26"/>
      <c r="B194" s="19"/>
      <c r="C194" s="19"/>
      <c r="D194" s="19"/>
      <c r="E194" s="19"/>
      <c r="F194" s="19"/>
      <c r="G194" s="19"/>
      <c r="H194" s="19"/>
      <c r="I194" s="19"/>
      <c r="J194" s="19"/>
      <c r="K194" s="19"/>
      <c r="L194" s="19"/>
      <c r="M194" s="16"/>
    </row>
    <row r="195" spans="1:19" ht="15" x14ac:dyDescent="0.25">
      <c r="A195" s="54" t="s">
        <v>194</v>
      </c>
      <c r="B195" s="15"/>
      <c r="C195" s="15"/>
      <c r="D195" s="15"/>
      <c r="E195" s="15"/>
      <c r="F195" s="15"/>
      <c r="G195" s="15"/>
      <c r="H195" s="15">
        <f>+B195+C195+D195+G195+F195</f>
        <v>0</v>
      </c>
      <c r="I195" s="15">
        <v>0</v>
      </c>
      <c r="J195" s="55">
        <f>+I195+H195</f>
        <v>0</v>
      </c>
      <c r="K195" s="15"/>
      <c r="L195" s="15">
        <f t="shared" si="21"/>
        <v>0</v>
      </c>
      <c r="M195" s="16">
        <f t="shared" si="20"/>
        <v>0</v>
      </c>
    </row>
    <row r="196" spans="1:19" ht="15" x14ac:dyDescent="0.25">
      <c r="A196" s="26"/>
      <c r="B196" s="19"/>
      <c r="C196" s="19"/>
      <c r="D196" s="19"/>
      <c r="E196" s="19"/>
      <c r="F196" s="19"/>
      <c r="G196" s="19"/>
      <c r="H196" s="19"/>
      <c r="I196" s="19"/>
      <c r="J196" s="19"/>
      <c r="K196" s="19"/>
      <c r="L196" s="19"/>
      <c r="M196" s="16"/>
    </row>
    <row r="197" spans="1:19" ht="15" x14ac:dyDescent="0.25">
      <c r="A197" s="43" t="s">
        <v>195</v>
      </c>
      <c r="B197" s="19"/>
      <c r="C197" s="19"/>
      <c r="D197" s="19"/>
      <c r="E197" s="19"/>
      <c r="F197" s="19"/>
      <c r="G197" s="19"/>
      <c r="H197" s="27">
        <f>+B197+C197+G197+F197</f>
        <v>0</v>
      </c>
      <c r="I197" s="27">
        <f>+I198+I199</f>
        <v>0</v>
      </c>
      <c r="J197" s="27">
        <f>+I197+H197</f>
        <v>0</v>
      </c>
      <c r="K197" s="27"/>
      <c r="L197" s="27">
        <f t="shared" si="21"/>
        <v>0</v>
      </c>
      <c r="M197" s="16">
        <f t="shared" si="20"/>
        <v>0</v>
      </c>
    </row>
    <row r="198" spans="1:19" s="47" customFormat="1" ht="14.25" hidden="1" outlineLevel="1" x14ac:dyDescent="0.2">
      <c r="A198" s="29" t="s">
        <v>196</v>
      </c>
      <c r="B198" s="19"/>
      <c r="C198" s="19"/>
      <c r="D198" s="19"/>
      <c r="E198" s="19"/>
      <c r="F198" s="19"/>
      <c r="G198" s="19"/>
      <c r="H198" s="19">
        <f>+B198+C198+G198+F198</f>
        <v>0</v>
      </c>
      <c r="I198" s="19"/>
      <c r="J198" s="19">
        <f>+I198+H198</f>
        <v>0</v>
      </c>
      <c r="K198" s="19"/>
      <c r="L198" s="19">
        <f t="shared" si="21"/>
        <v>0</v>
      </c>
      <c r="M198" s="21">
        <f t="shared" si="20"/>
        <v>0</v>
      </c>
    </row>
    <row r="199" spans="1:19" s="47" customFormat="1" ht="14.25" hidden="1" outlineLevel="1" x14ac:dyDescent="0.2">
      <c r="A199" s="29" t="s">
        <v>197</v>
      </c>
      <c r="B199" s="19"/>
      <c r="C199" s="19"/>
      <c r="D199" s="19"/>
      <c r="E199" s="19"/>
      <c r="F199" s="19"/>
      <c r="G199" s="19"/>
      <c r="H199" s="19">
        <f>+B199+C199+G199+F199</f>
        <v>0</v>
      </c>
      <c r="I199" s="19"/>
      <c r="J199" s="19">
        <f>+I199+H199</f>
        <v>0</v>
      </c>
      <c r="K199" s="19"/>
      <c r="L199" s="19">
        <f t="shared" si="21"/>
        <v>0</v>
      </c>
      <c r="M199" s="21">
        <f t="shared" si="20"/>
        <v>0</v>
      </c>
    </row>
    <row r="200" spans="1:19" ht="15" collapsed="1" x14ac:dyDescent="0.25">
      <c r="A200" s="26"/>
      <c r="B200" s="19"/>
      <c r="C200" s="19"/>
      <c r="D200" s="19"/>
      <c r="E200" s="19"/>
      <c r="F200" s="19"/>
      <c r="G200" s="19"/>
      <c r="H200" s="19"/>
      <c r="I200" s="19"/>
      <c r="J200" s="19"/>
      <c r="K200" s="19"/>
      <c r="L200" s="19"/>
      <c r="M200" s="16"/>
    </row>
    <row r="201" spans="1:19" ht="15" x14ac:dyDescent="0.25">
      <c r="A201" s="26" t="s">
        <v>198</v>
      </c>
      <c r="B201" s="27">
        <f>+B40+B38</f>
        <v>919660563.36734867</v>
      </c>
      <c r="C201" s="27">
        <f>+C38+C40</f>
        <v>398077075.66257703</v>
      </c>
      <c r="D201" s="27">
        <f>+D40+D38</f>
        <v>2140023941.6889374</v>
      </c>
      <c r="E201" s="27">
        <f>+E40+E38</f>
        <v>147892034.02759999</v>
      </c>
      <c r="F201" s="27">
        <f>+F40+F38</f>
        <v>2331227358.5091233</v>
      </c>
      <c r="G201" s="27">
        <f>+G38+G40+G195</f>
        <v>3323259874.3221292</v>
      </c>
      <c r="H201" s="27">
        <f>+B201+C201+D201+G201+E201+F201</f>
        <v>9260140847.5777168</v>
      </c>
      <c r="I201" s="27">
        <f>+I197+I191+I40+I38</f>
        <v>784918602.9404</v>
      </c>
      <c r="J201" s="27">
        <f>+I201+H201</f>
        <v>10045059450.518116</v>
      </c>
      <c r="K201" s="27">
        <f>+K197+K195+K191+K40+K38</f>
        <v>7052248567</v>
      </c>
      <c r="L201" s="27">
        <f t="shared" si="21"/>
        <v>-2992810883.518116</v>
      </c>
      <c r="M201" s="16">
        <f>IFERROR(K201/J201,0)</f>
        <v>0.70206140657895766</v>
      </c>
    </row>
    <row r="202" spans="1:19" ht="15.75" thickBot="1" x14ac:dyDescent="0.3">
      <c r="A202" s="56"/>
      <c r="B202" s="57"/>
      <c r="C202" s="58"/>
      <c r="D202" s="58"/>
      <c r="E202" s="59"/>
      <c r="F202" s="58"/>
      <c r="G202" s="59"/>
      <c r="H202" s="58"/>
      <c r="I202" s="58"/>
      <c r="J202" s="58"/>
      <c r="K202" s="58"/>
      <c r="L202" s="58"/>
      <c r="M202" s="60"/>
      <c r="N202" s="23"/>
      <c r="O202" s="23"/>
      <c r="P202" s="23"/>
      <c r="Q202" s="23"/>
      <c r="R202" s="23"/>
      <c r="S202" s="23"/>
    </row>
    <row r="203" spans="1:19" ht="13.5" thickTop="1" x14ac:dyDescent="0.2">
      <c r="A203" s="61"/>
      <c r="B203" s="62"/>
      <c r="C203" s="62"/>
      <c r="D203" s="62"/>
      <c r="E203" s="62"/>
      <c r="F203" s="62"/>
      <c r="G203" s="63"/>
      <c r="H203" s="64"/>
      <c r="I203" s="62"/>
      <c r="J203" s="62"/>
      <c r="K203" s="62"/>
      <c r="L203" s="62"/>
      <c r="M203" s="65"/>
    </row>
    <row r="204" spans="1:19" x14ac:dyDescent="0.2">
      <c r="A204" s="61"/>
      <c r="B204" s="62"/>
      <c r="C204" s="62"/>
      <c r="D204" s="62"/>
      <c r="E204" s="62"/>
      <c r="F204" s="62"/>
      <c r="G204" s="66"/>
      <c r="H204" s="62"/>
      <c r="I204" s="62"/>
      <c r="J204" s="67"/>
      <c r="K204" s="67"/>
      <c r="L204" s="67"/>
      <c r="M204" s="68"/>
    </row>
    <row r="205" spans="1:19" ht="15.75" hidden="1" outlineLevel="1" x14ac:dyDescent="0.25">
      <c r="A205" s="61"/>
      <c r="C205" s="64"/>
      <c r="D205" s="64"/>
      <c r="E205" s="64"/>
      <c r="F205" s="64"/>
      <c r="G205" s="69"/>
      <c r="H205" s="70" t="s">
        <v>199</v>
      </c>
      <c r="I205" s="70" t="s">
        <v>200</v>
      </c>
      <c r="J205" s="71" t="s">
        <v>201</v>
      </c>
      <c r="K205" s="71"/>
      <c r="L205" s="71"/>
      <c r="M205" s="64"/>
    </row>
    <row r="206" spans="1:19" ht="15.75" hidden="1" outlineLevel="1" x14ac:dyDescent="0.25">
      <c r="A206" s="72"/>
      <c r="B206" s="64"/>
      <c r="C206" s="64"/>
      <c r="D206" s="64"/>
      <c r="E206" s="64"/>
      <c r="F206" s="64"/>
      <c r="G206" s="69" t="s">
        <v>202</v>
      </c>
      <c r="H206" s="73">
        <f>+B201+C201+D201+F201+I38+I192+E201</f>
        <v>6502177140.5459871</v>
      </c>
      <c r="I206" s="74">
        <f>+'[1]Anexo 1 Minagricultura'!B39</f>
        <v>6502177141</v>
      </c>
      <c r="J206" s="74">
        <f>+I206-H206</f>
        <v>0.45401287078857422</v>
      </c>
      <c r="K206" s="74"/>
      <c r="L206" s="74"/>
      <c r="M206" s="64"/>
    </row>
    <row r="207" spans="1:19" ht="16.5" hidden="1" outlineLevel="1" thickBot="1" x14ac:dyDescent="0.3">
      <c r="A207" s="61"/>
      <c r="B207" s="64"/>
      <c r="C207" s="62"/>
      <c r="D207" s="75"/>
      <c r="E207" s="64"/>
      <c r="F207" s="64"/>
      <c r="G207" s="69" t="s">
        <v>203</v>
      </c>
      <c r="H207" s="76">
        <f>+G201+I193</f>
        <v>3542882309.9721293</v>
      </c>
      <c r="I207" s="77">
        <f>+'[1]Anexo 1 Minagricultura'!B43</f>
        <v>3542882309.5500002</v>
      </c>
      <c r="J207" s="77">
        <f>+I207-H207</f>
        <v>-0.42212915420532227</v>
      </c>
      <c r="K207" s="78"/>
      <c r="L207" s="78"/>
      <c r="M207" s="64"/>
    </row>
    <row r="208" spans="1:19" ht="15.75" hidden="1" outlineLevel="1" x14ac:dyDescent="0.25">
      <c r="A208" s="61"/>
      <c r="B208" s="62"/>
      <c r="C208" s="62"/>
      <c r="D208" s="75"/>
      <c r="E208" s="64"/>
      <c r="F208" s="64"/>
      <c r="G208" s="69"/>
      <c r="H208" s="79">
        <f>+H206+H207</f>
        <v>10045059450.518116</v>
      </c>
      <c r="I208" s="80">
        <f>+I207+I206</f>
        <v>10045059450.549999</v>
      </c>
      <c r="J208" s="80">
        <f>+J207+J206</f>
        <v>3.1883716583251953E-2</v>
      </c>
      <c r="K208" s="80"/>
      <c r="L208" s="80"/>
      <c r="M208" s="64"/>
    </row>
    <row r="209" spans="1:13" ht="15.75" collapsed="1" x14ac:dyDescent="0.25">
      <c r="A209" s="61"/>
      <c r="B209" s="64"/>
      <c r="C209" s="64"/>
      <c r="D209" s="64"/>
      <c r="E209" s="64"/>
      <c r="F209" s="64"/>
      <c r="G209" s="69"/>
      <c r="H209" s="73"/>
      <c r="I209" s="69"/>
      <c r="J209" s="81"/>
      <c r="K209" s="81"/>
      <c r="L209" s="81"/>
      <c r="M209" s="64"/>
    </row>
    <row r="210" spans="1:13" x14ac:dyDescent="0.2">
      <c r="A210" s="64"/>
      <c r="B210" s="64"/>
      <c r="C210" s="64"/>
      <c r="D210" s="64"/>
      <c r="E210" s="64"/>
      <c r="F210" s="64"/>
      <c r="G210" s="64"/>
      <c r="H210" s="64"/>
      <c r="I210" s="64"/>
      <c r="J210" s="67"/>
      <c r="K210" s="67"/>
      <c r="L210" s="67"/>
      <c r="M210" s="64"/>
    </row>
    <row r="211" spans="1:13" x14ac:dyDescent="0.2">
      <c r="A211" s="64"/>
      <c r="B211" s="64"/>
      <c r="C211" s="64"/>
      <c r="D211" s="64"/>
      <c r="E211" s="64"/>
      <c r="F211" s="64"/>
      <c r="G211" s="64"/>
      <c r="H211" s="62"/>
      <c r="I211" s="62"/>
      <c r="J211" s="64"/>
      <c r="K211" s="64"/>
      <c r="L211" s="64"/>
      <c r="M211" s="64"/>
    </row>
    <row r="212" spans="1:13" x14ac:dyDescent="0.2">
      <c r="A212" s="64"/>
      <c r="B212" s="64"/>
      <c r="C212" s="64"/>
      <c r="D212" s="64"/>
      <c r="E212" s="64"/>
      <c r="F212" s="64"/>
      <c r="G212" s="64"/>
      <c r="H212" s="64"/>
      <c r="I212" s="64"/>
      <c r="J212" s="64"/>
      <c r="K212" s="64"/>
      <c r="L212" s="64"/>
      <c r="M212" s="64"/>
    </row>
    <row r="213" spans="1:13" x14ac:dyDescent="0.2">
      <c r="A213" s="64"/>
      <c r="B213" s="64"/>
      <c r="C213" s="64"/>
      <c r="D213" s="64"/>
      <c r="E213" s="64"/>
      <c r="F213" s="64"/>
      <c r="G213" s="64"/>
      <c r="H213" s="64"/>
      <c r="I213" s="64"/>
      <c r="J213" s="64"/>
      <c r="K213" s="64"/>
      <c r="L213" s="64"/>
      <c r="M213" s="64"/>
    </row>
    <row r="214" spans="1:13" x14ac:dyDescent="0.2">
      <c r="A214" s="64"/>
      <c r="B214" s="64"/>
      <c r="C214" s="64"/>
      <c r="D214" s="64"/>
      <c r="E214" s="64"/>
      <c r="F214" s="64"/>
      <c r="G214" s="64"/>
      <c r="H214" s="64"/>
      <c r="I214" s="75"/>
      <c r="J214" s="64"/>
      <c r="K214" s="64"/>
      <c r="L214" s="64"/>
      <c r="M214" s="64"/>
    </row>
    <row r="215" spans="1:13" x14ac:dyDescent="0.2">
      <c r="A215" s="64"/>
      <c r="B215" s="64"/>
      <c r="C215" s="64"/>
      <c r="D215" s="64"/>
      <c r="E215" s="64"/>
      <c r="F215" s="64"/>
      <c r="G215" s="64"/>
      <c r="H215" s="64"/>
      <c r="I215" s="64"/>
      <c r="J215" s="64"/>
      <c r="K215" s="64"/>
      <c r="L215" s="64"/>
      <c r="M215" s="64"/>
    </row>
    <row r="216" spans="1:13" x14ac:dyDescent="0.2">
      <c r="A216" s="64"/>
      <c r="B216" s="64"/>
      <c r="C216" s="64"/>
      <c r="D216" s="64"/>
      <c r="E216" s="64"/>
      <c r="F216" s="64"/>
      <c r="G216" s="64"/>
      <c r="H216" s="64"/>
      <c r="I216" s="64"/>
      <c r="J216" s="64"/>
      <c r="K216" s="64"/>
      <c r="L216" s="64"/>
      <c r="M216" s="64"/>
    </row>
    <row r="217" spans="1:13" x14ac:dyDescent="0.2">
      <c r="A217" s="64"/>
      <c r="B217" s="64"/>
      <c r="C217" s="64"/>
      <c r="D217" s="64"/>
      <c r="E217" s="64"/>
      <c r="F217" s="64"/>
      <c r="G217" s="64"/>
      <c r="H217" s="64"/>
      <c r="I217" s="64"/>
      <c r="J217" s="64"/>
      <c r="K217" s="64"/>
      <c r="L217" s="64"/>
      <c r="M217" s="64"/>
    </row>
    <row r="218" spans="1:13" x14ac:dyDescent="0.2">
      <c r="A218" s="64"/>
      <c r="B218" s="64"/>
      <c r="C218" s="64"/>
      <c r="D218" s="64"/>
      <c r="E218" s="64"/>
      <c r="F218" s="64"/>
      <c r="G218" s="64"/>
      <c r="H218" s="64"/>
      <c r="I218" s="64"/>
      <c r="J218" s="64"/>
      <c r="K218" s="64"/>
      <c r="L218" s="64"/>
      <c r="M218" s="64"/>
    </row>
    <row r="219" spans="1:13" x14ac:dyDescent="0.2">
      <c r="A219" s="64"/>
      <c r="B219" s="64"/>
      <c r="C219" s="64"/>
      <c r="D219" s="64"/>
      <c r="E219" s="64"/>
      <c r="F219" s="64"/>
      <c r="G219" s="64"/>
      <c r="H219" s="64"/>
      <c r="I219" s="64"/>
      <c r="J219" s="64"/>
      <c r="K219" s="64"/>
      <c r="L219" s="64"/>
      <c r="M219" s="64"/>
    </row>
    <row r="220" spans="1:13" x14ac:dyDescent="0.2">
      <c r="A220" s="64"/>
      <c r="B220" s="64"/>
      <c r="C220" s="64"/>
      <c r="D220" s="64"/>
      <c r="E220" s="64"/>
      <c r="F220" s="64"/>
      <c r="G220" s="64"/>
      <c r="H220" s="64"/>
      <c r="I220" s="64"/>
      <c r="J220" s="64"/>
      <c r="K220" s="64"/>
      <c r="L220" s="64"/>
      <c r="M220" s="64"/>
    </row>
    <row r="221" spans="1:13" x14ac:dyDescent="0.2">
      <c r="A221" s="64"/>
      <c r="B221" s="64"/>
      <c r="C221" s="64"/>
      <c r="D221" s="64"/>
      <c r="E221" s="64"/>
      <c r="F221" s="64"/>
      <c r="G221" s="64"/>
      <c r="H221" s="64"/>
      <c r="I221" s="64"/>
      <c r="J221" s="64"/>
      <c r="K221" s="64"/>
      <c r="L221" s="64"/>
      <c r="M221" s="64"/>
    </row>
    <row r="222" spans="1:13" x14ac:dyDescent="0.2">
      <c r="A222" s="64"/>
      <c r="B222" s="64"/>
      <c r="C222" s="64"/>
      <c r="D222" s="64"/>
      <c r="E222" s="64"/>
      <c r="F222" s="64"/>
      <c r="G222" s="64"/>
      <c r="H222" s="64"/>
      <c r="I222" s="64"/>
      <c r="J222" s="64"/>
      <c r="K222" s="64"/>
      <c r="L222" s="64"/>
      <c r="M222" s="64"/>
    </row>
    <row r="223" spans="1:13" x14ac:dyDescent="0.2">
      <c r="A223" s="64"/>
      <c r="B223" s="64"/>
      <c r="C223" s="64"/>
      <c r="D223" s="64"/>
      <c r="E223" s="64"/>
      <c r="F223" s="64"/>
      <c r="G223" s="64"/>
      <c r="H223" s="64"/>
      <c r="I223" s="64"/>
      <c r="J223" s="64"/>
      <c r="K223" s="64"/>
      <c r="L223" s="64"/>
      <c r="M223" s="64"/>
    </row>
    <row r="224" spans="1:13" x14ac:dyDescent="0.2">
      <c r="A224" s="64"/>
      <c r="B224" s="64"/>
      <c r="C224" s="64"/>
      <c r="D224" s="64"/>
      <c r="E224" s="64"/>
      <c r="F224" s="64"/>
      <c r="G224" s="64"/>
      <c r="H224" s="64"/>
      <c r="I224" s="64"/>
      <c r="J224" s="64"/>
      <c r="K224" s="64"/>
      <c r="L224" s="64"/>
      <c r="M224" s="64"/>
    </row>
    <row r="225" spans="1:13" x14ac:dyDescent="0.2">
      <c r="A225" s="64"/>
      <c r="B225" s="64"/>
      <c r="C225" s="64"/>
      <c r="D225" s="64"/>
      <c r="E225" s="64"/>
      <c r="F225" s="64"/>
      <c r="G225" s="64"/>
      <c r="H225" s="64"/>
      <c r="I225" s="64"/>
      <c r="J225" s="64"/>
      <c r="K225" s="64"/>
      <c r="L225" s="64"/>
      <c r="M225" s="64"/>
    </row>
    <row r="226" spans="1:13" x14ac:dyDescent="0.2">
      <c r="A226" s="64"/>
      <c r="B226" s="64"/>
      <c r="C226" s="64"/>
      <c r="D226" s="64"/>
      <c r="E226" s="64"/>
      <c r="F226" s="64"/>
      <c r="G226" s="64"/>
      <c r="H226" s="64"/>
      <c r="I226" s="64"/>
      <c r="J226" s="64"/>
      <c r="K226" s="64"/>
      <c r="L226" s="64"/>
      <c r="M226" s="64"/>
    </row>
    <row r="227" spans="1:13" x14ac:dyDescent="0.2">
      <c r="A227" s="64"/>
      <c r="B227" s="64"/>
      <c r="C227" s="64"/>
      <c r="D227" s="64"/>
      <c r="E227" s="64"/>
      <c r="F227" s="64"/>
      <c r="G227" s="64"/>
      <c r="H227" s="64"/>
      <c r="I227" s="64"/>
      <c r="J227" s="64"/>
      <c r="K227" s="64"/>
      <c r="L227" s="64"/>
      <c r="M227" s="64"/>
    </row>
    <row r="228" spans="1:13" x14ac:dyDescent="0.2">
      <c r="A228" s="64"/>
      <c r="B228" s="64"/>
      <c r="C228" s="64"/>
      <c r="D228" s="64"/>
      <c r="E228" s="64"/>
      <c r="F228" s="64"/>
      <c r="G228" s="64"/>
      <c r="H228" s="64"/>
      <c r="I228" s="64"/>
      <c r="J228" s="64"/>
      <c r="K228" s="64"/>
      <c r="L228" s="64"/>
      <c r="M228" s="64"/>
    </row>
    <row r="229" spans="1:13" x14ac:dyDescent="0.2">
      <c r="A229" s="64"/>
      <c r="B229" s="64"/>
      <c r="C229" s="64"/>
      <c r="D229" s="64"/>
      <c r="E229" s="64"/>
      <c r="F229" s="64"/>
      <c r="G229" s="64"/>
      <c r="H229" s="64"/>
      <c r="I229" s="64"/>
      <c r="J229" s="64"/>
      <c r="K229" s="64"/>
      <c r="L229" s="64"/>
      <c r="M229" s="64"/>
    </row>
    <row r="230" spans="1:13" x14ac:dyDescent="0.2">
      <c r="A230" s="64"/>
      <c r="B230" s="64"/>
      <c r="C230" s="64"/>
      <c r="D230" s="64"/>
      <c r="E230" s="64"/>
      <c r="F230" s="64"/>
      <c r="G230" s="64"/>
      <c r="H230" s="64"/>
      <c r="I230" s="64"/>
      <c r="J230" s="64"/>
      <c r="K230" s="64"/>
      <c r="L230" s="64"/>
      <c r="M230" s="64"/>
    </row>
    <row r="231" spans="1:13" x14ac:dyDescent="0.2">
      <c r="A231" s="64"/>
      <c r="B231" s="64"/>
      <c r="C231" s="64"/>
      <c r="D231" s="64"/>
      <c r="E231" s="64"/>
      <c r="F231" s="64"/>
      <c r="G231" s="64"/>
      <c r="H231" s="64"/>
      <c r="I231" s="64"/>
      <c r="J231" s="64"/>
      <c r="K231" s="64"/>
      <c r="L231" s="64"/>
      <c r="M231" s="64"/>
    </row>
    <row r="232" spans="1:13" x14ac:dyDescent="0.2">
      <c r="A232" s="64"/>
      <c r="B232" s="64"/>
      <c r="C232" s="64"/>
      <c r="D232" s="64"/>
      <c r="E232" s="64"/>
      <c r="F232" s="64"/>
      <c r="G232" s="64"/>
      <c r="H232" s="64"/>
      <c r="I232" s="64"/>
      <c r="J232" s="64"/>
      <c r="K232" s="64"/>
      <c r="L232" s="64"/>
      <c r="M232" s="64"/>
    </row>
    <row r="233" spans="1:13" x14ac:dyDescent="0.2">
      <c r="A233" s="64"/>
      <c r="B233" s="64"/>
      <c r="C233" s="64"/>
      <c r="D233" s="64"/>
      <c r="E233" s="64"/>
      <c r="F233" s="64"/>
      <c r="G233" s="64"/>
      <c r="H233" s="64"/>
      <c r="I233" s="64"/>
      <c r="J233" s="64"/>
      <c r="K233" s="64"/>
      <c r="L233" s="64"/>
      <c r="M233" s="64"/>
    </row>
    <row r="234" spans="1:13" x14ac:dyDescent="0.2">
      <c r="A234" s="64"/>
      <c r="B234" s="64"/>
      <c r="C234" s="64"/>
      <c r="D234" s="64"/>
      <c r="E234" s="64"/>
      <c r="F234" s="64"/>
      <c r="G234" s="64"/>
      <c r="H234" s="64"/>
      <c r="I234" s="64"/>
      <c r="J234" s="64"/>
      <c r="K234" s="64"/>
      <c r="L234" s="64"/>
      <c r="M234" s="64"/>
    </row>
    <row r="235" spans="1:13" x14ac:dyDescent="0.2">
      <c r="A235" s="64"/>
      <c r="B235" s="64"/>
      <c r="C235" s="64"/>
      <c r="D235" s="64"/>
      <c r="E235" s="64"/>
      <c r="F235" s="64"/>
      <c r="G235" s="64"/>
      <c r="H235" s="64"/>
      <c r="I235" s="64"/>
      <c r="J235" s="64"/>
      <c r="K235" s="64"/>
      <c r="L235" s="64"/>
      <c r="M235" s="64"/>
    </row>
    <row r="236" spans="1:13" x14ac:dyDescent="0.2">
      <c r="A236" s="64"/>
      <c r="B236" s="64"/>
      <c r="C236" s="64"/>
      <c r="D236" s="64"/>
      <c r="E236" s="64"/>
      <c r="F236" s="64"/>
      <c r="G236" s="64"/>
      <c r="H236" s="64"/>
      <c r="I236" s="64"/>
      <c r="J236" s="64"/>
      <c r="K236" s="64"/>
      <c r="L236" s="64"/>
      <c r="M236" s="64"/>
    </row>
    <row r="237" spans="1:13" x14ac:dyDescent="0.2">
      <c r="A237" s="64"/>
      <c r="B237" s="64"/>
      <c r="C237" s="64"/>
      <c r="D237" s="64"/>
      <c r="E237" s="64"/>
      <c r="F237" s="64"/>
      <c r="G237" s="64"/>
      <c r="H237" s="64"/>
      <c r="I237" s="64"/>
      <c r="J237" s="64"/>
      <c r="K237" s="64"/>
      <c r="L237" s="64"/>
      <c r="M237" s="64"/>
    </row>
    <row r="238" spans="1:13" x14ac:dyDescent="0.2">
      <c r="A238" s="64"/>
      <c r="B238" s="64"/>
      <c r="C238" s="64"/>
      <c r="D238" s="64"/>
      <c r="E238" s="64"/>
      <c r="F238" s="64"/>
      <c r="G238" s="64"/>
      <c r="H238" s="64"/>
      <c r="I238" s="64"/>
      <c r="J238" s="64"/>
      <c r="K238" s="64"/>
      <c r="L238" s="64"/>
      <c r="M238" s="64"/>
    </row>
    <row r="239" spans="1:13" x14ac:dyDescent="0.2">
      <c r="A239" s="64"/>
      <c r="B239" s="64"/>
      <c r="C239" s="64"/>
      <c r="D239" s="64"/>
      <c r="E239" s="64"/>
      <c r="F239" s="64"/>
      <c r="G239" s="64"/>
      <c r="H239" s="64"/>
      <c r="I239" s="64"/>
      <c r="J239" s="64"/>
      <c r="K239" s="64"/>
      <c r="L239" s="64"/>
      <c r="M239" s="64"/>
    </row>
    <row r="240" spans="1:13" x14ac:dyDescent="0.2">
      <c r="A240" s="64"/>
      <c r="B240" s="64"/>
      <c r="C240" s="64"/>
      <c r="D240" s="64"/>
      <c r="E240" s="64"/>
      <c r="F240" s="64"/>
      <c r="G240" s="64"/>
      <c r="H240" s="64"/>
      <c r="I240" s="64"/>
      <c r="J240" s="64"/>
      <c r="K240" s="64"/>
      <c r="L240" s="64"/>
      <c r="M240" s="64"/>
    </row>
    <row r="241" spans="1:13" x14ac:dyDescent="0.2">
      <c r="A241" s="64"/>
      <c r="B241" s="64"/>
      <c r="C241" s="64"/>
      <c r="D241" s="64"/>
      <c r="E241" s="64"/>
      <c r="F241" s="64"/>
      <c r="G241" s="64"/>
      <c r="H241" s="64"/>
      <c r="I241" s="64"/>
      <c r="J241" s="64"/>
      <c r="K241" s="64"/>
      <c r="L241" s="64"/>
      <c r="M241" s="64"/>
    </row>
    <row r="242" spans="1:13" x14ac:dyDescent="0.2">
      <c r="A242" s="64"/>
      <c r="B242" s="64"/>
      <c r="C242" s="64"/>
      <c r="D242" s="64"/>
      <c r="E242" s="64"/>
      <c r="F242" s="64"/>
      <c r="G242" s="64"/>
      <c r="H242" s="64"/>
      <c r="I242" s="64"/>
      <c r="J242" s="64"/>
      <c r="K242" s="64"/>
      <c r="L242" s="64"/>
      <c r="M242" s="64"/>
    </row>
    <row r="243" spans="1:13" x14ac:dyDescent="0.2">
      <c r="A243" s="64"/>
      <c r="B243" s="64"/>
      <c r="C243" s="64"/>
      <c r="D243" s="64"/>
      <c r="E243" s="64"/>
      <c r="F243" s="64"/>
      <c r="G243" s="64"/>
      <c r="H243" s="64"/>
      <c r="I243" s="64"/>
      <c r="J243" s="64"/>
      <c r="K243" s="64"/>
      <c r="L243" s="64"/>
      <c r="M243" s="64"/>
    </row>
    <row r="244" spans="1:13" x14ac:dyDescent="0.2">
      <c r="A244" s="64"/>
      <c r="B244" s="64"/>
      <c r="C244" s="64"/>
      <c r="D244" s="64"/>
      <c r="E244" s="64"/>
      <c r="F244" s="64"/>
      <c r="G244" s="64"/>
      <c r="H244" s="64"/>
      <c r="I244" s="64"/>
      <c r="J244" s="64"/>
      <c r="K244" s="64"/>
      <c r="L244" s="64"/>
      <c r="M244" s="64"/>
    </row>
    <row r="245" spans="1:13" x14ac:dyDescent="0.2">
      <c r="A245" s="64"/>
      <c r="B245" s="64"/>
      <c r="C245" s="64"/>
      <c r="D245" s="64"/>
      <c r="E245" s="64"/>
      <c r="F245" s="64"/>
      <c r="G245" s="64"/>
      <c r="H245" s="64"/>
      <c r="I245" s="64"/>
      <c r="J245" s="64"/>
      <c r="K245" s="64"/>
      <c r="L245" s="64"/>
      <c r="M245" s="64"/>
    </row>
    <row r="246" spans="1:13" x14ac:dyDescent="0.2">
      <c r="A246" s="64"/>
      <c r="B246" s="64"/>
      <c r="C246" s="64"/>
      <c r="D246" s="64"/>
      <c r="E246" s="64"/>
      <c r="F246" s="64"/>
      <c r="G246" s="64"/>
      <c r="H246" s="64"/>
      <c r="I246" s="64"/>
      <c r="J246" s="64"/>
      <c r="K246" s="64"/>
      <c r="L246" s="64"/>
      <c r="M246" s="64"/>
    </row>
    <row r="247" spans="1:13" x14ac:dyDescent="0.2">
      <c r="A247" s="64"/>
      <c r="B247" s="64"/>
      <c r="C247" s="64"/>
      <c r="D247" s="64"/>
      <c r="E247" s="64"/>
      <c r="F247" s="64"/>
      <c r="G247" s="64"/>
      <c r="H247" s="64"/>
      <c r="I247" s="64"/>
      <c r="J247" s="64"/>
      <c r="K247" s="64"/>
      <c r="L247" s="64"/>
      <c r="M247" s="64"/>
    </row>
    <row r="248" spans="1:13" x14ac:dyDescent="0.2">
      <c r="A248" s="64"/>
      <c r="B248" s="64"/>
      <c r="C248" s="64"/>
      <c r="D248" s="64"/>
      <c r="E248" s="64"/>
      <c r="F248" s="64"/>
      <c r="G248" s="64"/>
      <c r="H248" s="64"/>
      <c r="I248" s="64"/>
      <c r="J248" s="64"/>
      <c r="K248" s="64"/>
      <c r="L248" s="64"/>
      <c r="M248" s="64"/>
    </row>
    <row r="249" spans="1:13" x14ac:dyDescent="0.2">
      <c r="A249" s="64"/>
      <c r="B249" s="64"/>
      <c r="C249" s="64"/>
      <c r="D249" s="64"/>
      <c r="E249" s="64"/>
      <c r="F249" s="64"/>
      <c r="G249" s="64"/>
      <c r="H249" s="64"/>
      <c r="I249" s="64"/>
      <c r="J249" s="64"/>
      <c r="K249" s="64"/>
      <c r="L249" s="64"/>
      <c r="M249" s="64"/>
    </row>
    <row r="250" spans="1:13" x14ac:dyDescent="0.2">
      <c r="A250" s="64"/>
      <c r="B250" s="64"/>
      <c r="C250" s="64"/>
      <c r="D250" s="64"/>
      <c r="E250" s="64"/>
      <c r="F250" s="64"/>
      <c r="G250" s="64"/>
      <c r="H250" s="64"/>
      <c r="I250" s="64"/>
      <c r="J250" s="64"/>
      <c r="K250" s="64"/>
      <c r="L250" s="64"/>
      <c r="M250" s="64"/>
    </row>
    <row r="251" spans="1:13" x14ac:dyDescent="0.2">
      <c r="A251" s="64"/>
      <c r="B251" s="64"/>
      <c r="C251" s="64"/>
      <c r="D251" s="64"/>
      <c r="E251" s="64"/>
      <c r="F251" s="64"/>
      <c r="G251" s="64"/>
      <c r="H251" s="64"/>
      <c r="I251" s="64"/>
      <c r="J251" s="64"/>
      <c r="K251" s="64"/>
      <c r="L251" s="64"/>
      <c r="M251" s="64"/>
    </row>
    <row r="252" spans="1:13" x14ac:dyDescent="0.2">
      <c r="A252" s="64"/>
      <c r="B252" s="64"/>
      <c r="C252" s="64"/>
      <c r="D252" s="64"/>
      <c r="E252" s="64"/>
      <c r="F252" s="64"/>
      <c r="G252" s="64"/>
      <c r="H252" s="64"/>
      <c r="I252" s="64"/>
      <c r="J252" s="64"/>
      <c r="K252" s="64"/>
      <c r="L252" s="64"/>
      <c r="M252" s="64"/>
    </row>
    <row r="253" spans="1:13" x14ac:dyDescent="0.2">
      <c r="A253" s="64"/>
      <c r="B253" s="64"/>
      <c r="C253" s="64"/>
      <c r="D253" s="64"/>
      <c r="E253" s="64"/>
      <c r="F253" s="64"/>
      <c r="G253" s="64"/>
      <c r="H253" s="64"/>
      <c r="I253" s="64"/>
      <c r="J253" s="64"/>
      <c r="K253" s="64"/>
      <c r="L253" s="64"/>
      <c r="M253" s="64"/>
    </row>
    <row r="254" spans="1:13" x14ac:dyDescent="0.2">
      <c r="A254" s="64"/>
      <c r="B254" s="64"/>
      <c r="C254" s="64"/>
      <c r="D254" s="64"/>
      <c r="E254" s="64"/>
      <c r="F254" s="64"/>
      <c r="G254" s="64"/>
      <c r="H254" s="64"/>
      <c r="I254" s="64"/>
      <c r="J254" s="64"/>
      <c r="K254" s="64"/>
      <c r="L254" s="64"/>
      <c r="M254" s="64"/>
    </row>
    <row r="255" spans="1:13" x14ac:dyDescent="0.2">
      <c r="A255" s="64"/>
      <c r="B255" s="64"/>
      <c r="C255" s="64"/>
      <c r="D255" s="64"/>
      <c r="E255" s="64"/>
      <c r="F255" s="64"/>
      <c r="G255" s="64"/>
      <c r="H255" s="64"/>
      <c r="I255" s="64"/>
      <c r="J255" s="64"/>
      <c r="K255" s="64"/>
      <c r="L255" s="64"/>
      <c r="M255" s="64"/>
    </row>
    <row r="256" spans="1:13" x14ac:dyDescent="0.2">
      <c r="A256" s="64"/>
      <c r="B256" s="64"/>
      <c r="C256" s="64"/>
      <c r="D256" s="64"/>
      <c r="E256" s="64"/>
      <c r="F256" s="64"/>
      <c r="G256" s="64"/>
      <c r="H256" s="64"/>
      <c r="I256" s="64"/>
      <c r="J256" s="64"/>
      <c r="K256" s="64"/>
      <c r="L256" s="64"/>
      <c r="M256" s="64"/>
    </row>
    <row r="257" spans="1:13" x14ac:dyDescent="0.2">
      <c r="A257" s="64"/>
      <c r="B257" s="64"/>
      <c r="C257" s="64"/>
      <c r="D257" s="64"/>
      <c r="E257" s="64"/>
      <c r="F257" s="64"/>
      <c r="G257" s="64"/>
      <c r="H257" s="64"/>
      <c r="I257" s="64"/>
      <c r="J257" s="64"/>
      <c r="K257" s="64"/>
      <c r="L257" s="64"/>
      <c r="M257" s="64"/>
    </row>
    <row r="258" spans="1:13" x14ac:dyDescent="0.2">
      <c r="A258" s="64"/>
      <c r="B258" s="64"/>
      <c r="C258" s="64"/>
      <c r="D258" s="64"/>
      <c r="E258" s="64"/>
      <c r="F258" s="64"/>
      <c r="G258" s="64"/>
      <c r="H258" s="64"/>
      <c r="I258" s="64"/>
      <c r="J258" s="64"/>
      <c r="K258" s="64"/>
      <c r="L258" s="64"/>
      <c r="M258" s="64"/>
    </row>
    <row r="259" spans="1:13" x14ac:dyDescent="0.2">
      <c r="A259" s="64"/>
      <c r="B259" s="64"/>
      <c r="C259" s="64"/>
      <c r="D259" s="64"/>
      <c r="E259" s="64"/>
      <c r="F259" s="64"/>
      <c r="G259" s="64"/>
      <c r="H259" s="64"/>
      <c r="I259" s="64"/>
      <c r="J259" s="64"/>
      <c r="K259" s="64"/>
      <c r="L259" s="64"/>
      <c r="M259" s="64"/>
    </row>
    <row r="260" spans="1:13" x14ac:dyDescent="0.2">
      <c r="A260" s="64"/>
      <c r="B260" s="64"/>
      <c r="C260" s="64"/>
      <c r="D260" s="64"/>
      <c r="E260" s="64"/>
      <c r="F260" s="64"/>
      <c r="G260" s="64"/>
      <c r="H260" s="64"/>
      <c r="I260" s="64"/>
      <c r="J260" s="64"/>
      <c r="K260" s="64"/>
      <c r="L260" s="64"/>
      <c r="M260" s="64"/>
    </row>
    <row r="261" spans="1:13" x14ac:dyDescent="0.2">
      <c r="A261" s="64"/>
      <c r="B261" s="64"/>
      <c r="C261" s="64"/>
      <c r="D261" s="64"/>
      <c r="E261" s="64"/>
      <c r="F261" s="64"/>
      <c r="G261" s="64"/>
      <c r="H261" s="64"/>
      <c r="I261" s="64"/>
      <c r="J261" s="64"/>
      <c r="K261" s="64"/>
      <c r="L261" s="64"/>
      <c r="M261" s="64"/>
    </row>
    <row r="262" spans="1:13" x14ac:dyDescent="0.2">
      <c r="A262" s="64"/>
      <c r="B262" s="64"/>
      <c r="C262" s="64"/>
      <c r="D262" s="64"/>
      <c r="E262" s="64"/>
      <c r="F262" s="64"/>
      <c r="G262" s="64"/>
      <c r="H262" s="64"/>
      <c r="I262" s="64"/>
      <c r="J262" s="64"/>
      <c r="K262" s="64"/>
      <c r="L262" s="64"/>
      <c r="M262" s="64"/>
    </row>
    <row r="263" spans="1:13" x14ac:dyDescent="0.2">
      <c r="A263" s="64"/>
      <c r="B263" s="64"/>
      <c r="C263" s="64"/>
      <c r="D263" s="64"/>
      <c r="E263" s="64"/>
      <c r="F263" s="64"/>
      <c r="G263" s="64"/>
      <c r="H263" s="64"/>
      <c r="I263" s="64"/>
      <c r="J263" s="64"/>
      <c r="K263" s="64"/>
      <c r="L263" s="64"/>
      <c r="M263" s="64"/>
    </row>
    <row r="264" spans="1:13" x14ac:dyDescent="0.2">
      <c r="A264" s="64"/>
      <c r="B264" s="64"/>
      <c r="C264" s="64"/>
      <c r="D264" s="64"/>
      <c r="E264" s="64"/>
      <c r="F264" s="64"/>
      <c r="G264" s="64"/>
      <c r="H264" s="64"/>
      <c r="I264" s="64"/>
      <c r="J264" s="64"/>
      <c r="K264" s="64"/>
      <c r="L264" s="64"/>
      <c r="M264" s="64"/>
    </row>
    <row r="265" spans="1:13" x14ac:dyDescent="0.2">
      <c r="A265" s="64"/>
      <c r="B265" s="64"/>
      <c r="C265" s="64"/>
      <c r="D265" s="64"/>
      <c r="E265" s="64"/>
      <c r="F265" s="64"/>
      <c r="G265" s="64"/>
      <c r="H265" s="64"/>
      <c r="I265" s="64"/>
      <c r="J265" s="64"/>
      <c r="K265" s="64"/>
      <c r="L265" s="64"/>
      <c r="M265" s="64"/>
    </row>
    <row r="266" spans="1:13" x14ac:dyDescent="0.2">
      <c r="A266" s="64"/>
      <c r="B266" s="64"/>
      <c r="C266" s="64"/>
      <c r="D266" s="64"/>
      <c r="E266" s="64"/>
      <c r="F266" s="64"/>
      <c r="G266" s="64"/>
      <c r="H266" s="64"/>
      <c r="I266" s="64"/>
      <c r="J266" s="64"/>
      <c r="K266" s="64"/>
      <c r="L266" s="64"/>
      <c r="M266" s="64"/>
    </row>
    <row r="267" spans="1:13" x14ac:dyDescent="0.2">
      <c r="A267" s="64"/>
      <c r="B267" s="64"/>
      <c r="C267" s="64"/>
      <c r="D267" s="64"/>
      <c r="E267" s="64"/>
      <c r="F267" s="64"/>
      <c r="G267" s="64"/>
      <c r="H267" s="64"/>
      <c r="I267" s="64"/>
      <c r="J267" s="64"/>
      <c r="K267" s="64"/>
      <c r="L267" s="64"/>
      <c r="M267" s="64"/>
    </row>
    <row r="268" spans="1:13" x14ac:dyDescent="0.2">
      <c r="A268" s="64"/>
      <c r="B268" s="64"/>
      <c r="C268" s="64"/>
      <c r="D268" s="64"/>
      <c r="E268" s="64"/>
      <c r="F268" s="64"/>
      <c r="G268" s="64"/>
      <c r="H268" s="64"/>
      <c r="I268" s="64"/>
      <c r="J268" s="64"/>
      <c r="K268" s="64"/>
      <c r="L268" s="64"/>
      <c r="M268" s="64"/>
    </row>
    <row r="269" spans="1:13" x14ac:dyDescent="0.2">
      <c r="A269" s="64"/>
      <c r="B269" s="64"/>
      <c r="C269" s="64"/>
      <c r="D269" s="64"/>
      <c r="E269" s="64"/>
      <c r="F269" s="64"/>
      <c r="G269" s="64"/>
      <c r="H269" s="64"/>
      <c r="I269" s="64"/>
      <c r="J269" s="64"/>
      <c r="K269" s="64"/>
      <c r="L269" s="64"/>
      <c r="M269" s="64"/>
    </row>
    <row r="270" spans="1:13" x14ac:dyDescent="0.2">
      <c r="A270" s="64"/>
      <c r="B270" s="64"/>
      <c r="C270" s="64"/>
      <c r="D270" s="64"/>
      <c r="E270" s="64"/>
      <c r="F270" s="64"/>
      <c r="G270" s="64"/>
      <c r="H270" s="64"/>
      <c r="I270" s="64"/>
      <c r="J270" s="64"/>
      <c r="K270" s="64"/>
      <c r="L270" s="64"/>
      <c r="M270" s="64"/>
    </row>
    <row r="271" spans="1:13" x14ac:dyDescent="0.2">
      <c r="A271" s="64"/>
      <c r="B271" s="64"/>
      <c r="C271" s="64"/>
      <c r="D271" s="64"/>
      <c r="E271" s="64"/>
      <c r="F271" s="64"/>
      <c r="G271" s="64"/>
      <c r="H271" s="64"/>
      <c r="I271" s="64"/>
      <c r="J271" s="64"/>
      <c r="K271" s="64"/>
      <c r="L271" s="64"/>
      <c r="M271" s="64"/>
    </row>
    <row r="272" spans="1:13" x14ac:dyDescent="0.2">
      <c r="A272" s="64"/>
      <c r="B272" s="64"/>
      <c r="C272" s="64"/>
      <c r="D272" s="64"/>
      <c r="E272" s="64"/>
      <c r="F272" s="64"/>
      <c r="G272" s="64"/>
      <c r="H272" s="64"/>
      <c r="I272" s="64"/>
      <c r="J272" s="64"/>
      <c r="K272" s="64"/>
      <c r="L272" s="64"/>
      <c r="M272" s="64"/>
    </row>
    <row r="273" spans="1:13" x14ac:dyDescent="0.2">
      <c r="A273" s="64"/>
      <c r="B273" s="64"/>
      <c r="C273" s="64"/>
      <c r="D273" s="64"/>
      <c r="E273" s="64"/>
      <c r="F273" s="64"/>
      <c r="G273" s="64"/>
      <c r="H273" s="64"/>
      <c r="I273" s="64"/>
      <c r="J273" s="64"/>
      <c r="K273" s="64"/>
      <c r="L273" s="64"/>
      <c r="M273" s="64"/>
    </row>
    <row r="274" spans="1:13" x14ac:dyDescent="0.2">
      <c r="A274" s="64"/>
      <c r="B274" s="64"/>
      <c r="C274" s="64"/>
      <c r="D274" s="64"/>
      <c r="E274" s="64"/>
      <c r="F274" s="64"/>
      <c r="G274" s="64"/>
      <c r="H274" s="64"/>
      <c r="I274" s="64"/>
      <c r="J274" s="64"/>
      <c r="K274" s="64"/>
      <c r="L274" s="64"/>
      <c r="M274" s="64"/>
    </row>
    <row r="275" spans="1:13" x14ac:dyDescent="0.2">
      <c r="A275" s="64"/>
      <c r="B275" s="64"/>
      <c r="C275" s="64"/>
      <c r="D275" s="64"/>
      <c r="E275" s="64"/>
      <c r="F275" s="64"/>
      <c r="G275" s="64"/>
      <c r="H275" s="64"/>
      <c r="I275" s="64"/>
      <c r="J275" s="64"/>
      <c r="K275" s="64"/>
      <c r="L275" s="64"/>
      <c r="M275" s="64"/>
    </row>
    <row r="276" spans="1:13" x14ac:dyDescent="0.2">
      <c r="A276" s="64"/>
      <c r="B276" s="64"/>
      <c r="C276" s="64"/>
      <c r="D276" s="64"/>
      <c r="E276" s="64"/>
      <c r="F276" s="64"/>
      <c r="G276" s="64"/>
      <c r="H276" s="64"/>
      <c r="I276" s="64"/>
      <c r="J276" s="64"/>
      <c r="K276" s="64"/>
      <c r="L276" s="64"/>
      <c r="M276" s="64"/>
    </row>
    <row r="277" spans="1:13" x14ac:dyDescent="0.2">
      <c r="A277" s="64"/>
      <c r="B277" s="64"/>
      <c r="C277" s="64"/>
      <c r="D277" s="64"/>
      <c r="E277" s="64"/>
      <c r="F277" s="64"/>
      <c r="G277" s="64"/>
      <c r="H277" s="64"/>
      <c r="I277" s="64"/>
      <c r="J277" s="64"/>
      <c r="K277" s="64"/>
      <c r="L277" s="64"/>
      <c r="M277" s="64"/>
    </row>
    <row r="278" spans="1:13" x14ac:dyDescent="0.2">
      <c r="A278" s="64"/>
      <c r="B278" s="64"/>
      <c r="C278" s="64"/>
      <c r="D278" s="64"/>
      <c r="E278" s="64"/>
      <c r="F278" s="64"/>
      <c r="G278" s="64"/>
      <c r="H278" s="64"/>
      <c r="I278" s="64"/>
      <c r="J278" s="64"/>
      <c r="K278" s="64"/>
      <c r="L278" s="64"/>
      <c r="M278" s="64"/>
    </row>
    <row r="279" spans="1:13" x14ac:dyDescent="0.2">
      <c r="A279" s="64"/>
      <c r="B279" s="64"/>
      <c r="C279" s="64"/>
      <c r="D279" s="64"/>
      <c r="E279" s="64"/>
      <c r="F279" s="64"/>
      <c r="G279" s="64"/>
      <c r="H279" s="64"/>
      <c r="I279" s="64"/>
      <c r="J279" s="64"/>
      <c r="K279" s="64"/>
      <c r="L279" s="64"/>
      <c r="M279" s="64"/>
    </row>
    <row r="280" spans="1:13" x14ac:dyDescent="0.2">
      <c r="A280" s="64"/>
      <c r="B280" s="64"/>
      <c r="C280" s="64"/>
      <c r="D280" s="64"/>
      <c r="E280" s="64"/>
      <c r="F280" s="64"/>
      <c r="G280" s="64"/>
      <c r="H280" s="64"/>
      <c r="I280" s="64"/>
      <c r="J280" s="64"/>
      <c r="K280" s="64"/>
      <c r="L280" s="64"/>
      <c r="M280" s="64"/>
    </row>
  </sheetData>
  <mergeCells count="5">
    <mergeCell ref="A1:M1"/>
    <mergeCell ref="A2:M2"/>
    <mergeCell ref="A3:M3"/>
    <mergeCell ref="A4:M4"/>
    <mergeCell ref="A5:M5"/>
  </mergeCells>
  <printOptions horizontalCentered="1"/>
  <pageMargins left="0.19685039370078741" right="0.19685039370078741" top="0.19685039370078741" bottom="0.19685039370078741" header="0" footer="0"/>
  <pageSetup scale="3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 </vt:lpstr>
      <vt:lpstr>'Anexo 2 '!Área_de_impresión</vt:lpstr>
      <vt:lpstr>'Anexo 2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2019-10-16T19:08:19Z</dcterms:created>
  <dcterms:modified xsi:type="dcterms:W3CDTF">2019-10-16T19:08:45Z</dcterms:modified>
</cp:coreProperties>
</file>