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2 '!$A$1:$M$210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 localSheetId="0">'[6]Anexo 1 Minagricultura'!$C$46</definedName>
    <definedName name="CABEZAS_PROYEC">'[1]Anexo 1 Minagricultura'!#REF!</definedName>
    <definedName name="CUOTAPPC2005" localSheetId="0">'[6]Anexo 1 Minagricultura'!#REF!</definedName>
    <definedName name="CUOTAPPC2005">'[1]Anexo 1 Minagricultura'!#REF!</definedName>
    <definedName name="CUOTAPPC2013" localSheetId="0">'[6]Anexo 1 Minagricultura'!#REF!</definedName>
    <definedName name="CUOTAPPC2013">'[1]Anexo 1 Minagricultura'!#REF!</definedName>
    <definedName name="CUOTAPPC203" localSheetId="0">'[6]Anexo 1 Minagricultura'!#REF!</definedName>
    <definedName name="CUOTAPPC203">'[1]Anexo 1 Minagricultura'!#REF!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'[6]Ejecución ingresos 2014'!#REF!</definedName>
    <definedName name="eeeee">#REF!</definedName>
    <definedName name="EPPC" localSheetId="0">'[6]Anexo 1 Minagricultura'!$C$54</definedName>
    <definedName name="EPPC">'[1]Anexo 1 Minagricultura'!#REF!</definedName>
    <definedName name="Euro" localSheetId="0">#REF!</definedName>
    <definedName name="Euro">#REF!</definedName>
    <definedName name="FDGFDG">#REF!</definedName>
    <definedName name="FECHA_DE_RECIBIDO">[7]BASE!$E$3:$E$177</definedName>
    <definedName name="FOMENTO" localSheetId="0">'[6]Anexo 1 Minagricultura'!$C$53</definedName>
    <definedName name="FOMENTO">'[1]Anexo 1 Minagricultura'!#REF!</definedName>
    <definedName name="FOMENTOS">'[10]Anexo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'[12]Inversión total en programas'!$B$86</definedName>
    <definedName name="RESERV_FUTU">#REF!</definedName>
    <definedName name="saldo" localSheetId="0">'[6]Ejecución ingresos 2014'!#REF!</definedName>
    <definedName name="saldo">#REF!</definedName>
    <definedName name="saldos" localSheetId="0">'[6]Ejecución ingresos 2014'!#REF!</definedName>
    <definedName name="saldos">#REF!</definedName>
    <definedName name="SUPERA2004" localSheetId="0">'[6]Anexo 1 Minagricultura'!#REF!</definedName>
    <definedName name="SUPERA2004">'[1]Anexo 1 Minagricultura'!#REF!</definedName>
    <definedName name="SUPERA2005" localSheetId="0">'[6]Anexo 1 Minagricultura'!#REF!</definedName>
    <definedName name="SUPERA2005">'[1]Anexo 1 Minagricultura'!#REF!</definedName>
    <definedName name="SUPERA2010">'[12]Anexo 1 Minagricultura'!$C$21</definedName>
    <definedName name="SUPERA2012" localSheetId="0">'[6]Anexo 1 Minagricultura'!#REF!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[13]Ingresos!$C$19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'[15]Ingresos 2014'!#REF!</definedName>
    <definedName name="ZFRONTERA">'[15]Ingresos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5" i="1" l="1"/>
  <c r="I214" i="1"/>
  <c r="J207" i="1"/>
  <c r="K207" i="1" s="1"/>
  <c r="H207" i="1"/>
  <c r="J206" i="1"/>
  <c r="K206" i="1" s="1"/>
  <c r="H206" i="1"/>
  <c r="L205" i="1"/>
  <c r="K205" i="1"/>
  <c r="M205" i="1" s="1"/>
  <c r="I205" i="1"/>
  <c r="H205" i="1"/>
  <c r="J205" i="1" s="1"/>
  <c r="H203" i="1"/>
  <c r="J203" i="1" s="1"/>
  <c r="K203" i="1" s="1"/>
  <c r="M203" i="1" s="1"/>
  <c r="J201" i="1"/>
  <c r="M200" i="1"/>
  <c r="J200" i="1"/>
  <c r="L200" i="1" s="1"/>
  <c r="K199" i="1"/>
  <c r="I199" i="1"/>
  <c r="J199" i="1" s="1"/>
  <c r="L199" i="1" s="1"/>
  <c r="H197" i="1"/>
  <c r="J197" i="1" s="1"/>
  <c r="M196" i="1"/>
  <c r="H196" i="1"/>
  <c r="J196" i="1" s="1"/>
  <c r="L196" i="1" s="1"/>
  <c r="H195" i="1"/>
  <c r="H194" i="1" s="1"/>
  <c r="H193" i="1" s="1"/>
  <c r="J193" i="1" s="1"/>
  <c r="K194" i="1"/>
  <c r="E194" i="1"/>
  <c r="E193" i="1" s="1"/>
  <c r="E40" i="1" s="1"/>
  <c r="M193" i="1"/>
  <c r="L193" i="1"/>
  <c r="K193" i="1"/>
  <c r="D191" i="1"/>
  <c r="H191" i="1" s="1"/>
  <c r="J191" i="1" s="1"/>
  <c r="M191" i="1" s="1"/>
  <c r="H190" i="1"/>
  <c r="J190" i="1" s="1"/>
  <c r="D190" i="1"/>
  <c r="M189" i="1"/>
  <c r="L189" i="1"/>
  <c r="J189" i="1"/>
  <c r="H189" i="1"/>
  <c r="D189" i="1"/>
  <c r="D188" i="1"/>
  <c r="H187" i="1"/>
  <c r="J187" i="1" s="1"/>
  <c r="L187" i="1" s="1"/>
  <c r="K186" i="1"/>
  <c r="D185" i="1"/>
  <c r="H185" i="1" s="1"/>
  <c r="J185" i="1" s="1"/>
  <c r="M185" i="1" s="1"/>
  <c r="M184" i="1"/>
  <c r="L184" i="1"/>
  <c r="J184" i="1"/>
  <c r="H184" i="1"/>
  <c r="D183" i="1"/>
  <c r="D182" i="1"/>
  <c r="H182" i="1" s="1"/>
  <c r="J182" i="1" s="1"/>
  <c r="L182" i="1" s="1"/>
  <c r="H181" i="1"/>
  <c r="K180" i="1"/>
  <c r="H178" i="1"/>
  <c r="J178" i="1" s="1"/>
  <c r="D178" i="1"/>
  <c r="H177" i="1"/>
  <c r="J177" i="1" s="1"/>
  <c r="M176" i="1"/>
  <c r="L176" i="1"/>
  <c r="J176" i="1"/>
  <c r="H176" i="1"/>
  <c r="H175" i="1"/>
  <c r="J175" i="1" s="1"/>
  <c r="M174" i="1"/>
  <c r="L174" i="1"/>
  <c r="J174" i="1"/>
  <c r="H174" i="1"/>
  <c r="D174" i="1"/>
  <c r="K173" i="1"/>
  <c r="J173" i="1"/>
  <c r="M173" i="1" s="1"/>
  <c r="D173" i="1"/>
  <c r="H172" i="1"/>
  <c r="J172" i="1" s="1"/>
  <c r="H171" i="1"/>
  <c r="J171" i="1" s="1"/>
  <c r="L171" i="1" s="1"/>
  <c r="D171" i="1"/>
  <c r="D170" i="1"/>
  <c r="H170" i="1" s="1"/>
  <c r="M169" i="1"/>
  <c r="L169" i="1"/>
  <c r="J169" i="1"/>
  <c r="H169" i="1"/>
  <c r="K168" i="1"/>
  <c r="K167" i="1"/>
  <c r="M166" i="1"/>
  <c r="L166" i="1"/>
  <c r="J166" i="1"/>
  <c r="H166" i="1"/>
  <c r="J165" i="1"/>
  <c r="M165" i="1" s="1"/>
  <c r="H165" i="1"/>
  <c r="M164" i="1"/>
  <c r="L164" i="1"/>
  <c r="J164" i="1"/>
  <c r="H164" i="1"/>
  <c r="J163" i="1"/>
  <c r="M163" i="1" s="1"/>
  <c r="H163" i="1"/>
  <c r="M162" i="1"/>
  <c r="L162" i="1"/>
  <c r="J162" i="1"/>
  <c r="H162" i="1"/>
  <c r="J161" i="1"/>
  <c r="J160" i="1" s="1"/>
  <c r="H161" i="1"/>
  <c r="K160" i="1"/>
  <c r="H160" i="1"/>
  <c r="D160" i="1"/>
  <c r="M157" i="1"/>
  <c r="J157" i="1"/>
  <c r="L157" i="1" s="1"/>
  <c r="H157" i="1"/>
  <c r="M156" i="1"/>
  <c r="L156" i="1"/>
  <c r="J156" i="1"/>
  <c r="H156" i="1"/>
  <c r="J155" i="1"/>
  <c r="L155" i="1" s="1"/>
  <c r="H155" i="1"/>
  <c r="M154" i="1"/>
  <c r="L154" i="1"/>
  <c r="J154" i="1"/>
  <c r="H154" i="1"/>
  <c r="K153" i="1"/>
  <c r="J153" i="1"/>
  <c r="M153" i="1" s="1"/>
  <c r="H153" i="1"/>
  <c r="C153" i="1"/>
  <c r="H152" i="1"/>
  <c r="J152" i="1" s="1"/>
  <c r="H151" i="1"/>
  <c r="J151" i="1" s="1"/>
  <c r="H150" i="1"/>
  <c r="J150" i="1" s="1"/>
  <c r="J149" i="1"/>
  <c r="H149" i="1"/>
  <c r="H148" i="1"/>
  <c r="J148" i="1" s="1"/>
  <c r="H147" i="1"/>
  <c r="J147" i="1" s="1"/>
  <c r="M147" i="1" s="1"/>
  <c r="J146" i="1"/>
  <c r="H146" i="1"/>
  <c r="K145" i="1"/>
  <c r="C145" i="1"/>
  <c r="M144" i="1"/>
  <c r="L144" i="1"/>
  <c r="H144" i="1"/>
  <c r="J144" i="1" s="1"/>
  <c r="C144" i="1"/>
  <c r="H143" i="1"/>
  <c r="J143" i="1" s="1"/>
  <c r="L143" i="1" s="1"/>
  <c r="C143" i="1"/>
  <c r="H142" i="1"/>
  <c r="J142" i="1" s="1"/>
  <c r="M142" i="1" s="1"/>
  <c r="C142" i="1"/>
  <c r="C141" i="1"/>
  <c r="H141" i="1" s="1"/>
  <c r="J141" i="1" s="1"/>
  <c r="C140" i="1"/>
  <c r="H140" i="1" s="1"/>
  <c r="J140" i="1" s="1"/>
  <c r="M139" i="1"/>
  <c r="L139" i="1"/>
  <c r="J139" i="1"/>
  <c r="H139" i="1"/>
  <c r="K138" i="1"/>
  <c r="H135" i="1"/>
  <c r="J135" i="1" s="1"/>
  <c r="H134" i="1"/>
  <c r="J134" i="1" s="1"/>
  <c r="G134" i="1"/>
  <c r="M133" i="1"/>
  <c r="L133" i="1"/>
  <c r="H133" i="1"/>
  <c r="J133" i="1" s="1"/>
  <c r="G133" i="1"/>
  <c r="K132" i="1"/>
  <c r="H132" i="1"/>
  <c r="G132" i="1"/>
  <c r="H131" i="1"/>
  <c r="J131" i="1" s="1"/>
  <c r="J130" i="1"/>
  <c r="H130" i="1"/>
  <c r="K129" i="1"/>
  <c r="H129" i="1"/>
  <c r="G129" i="1"/>
  <c r="M128" i="1"/>
  <c r="L128" i="1"/>
  <c r="J128" i="1"/>
  <c r="H128" i="1"/>
  <c r="G128" i="1"/>
  <c r="H127" i="1"/>
  <c r="J127" i="1" s="1"/>
  <c r="G127" i="1"/>
  <c r="G126" i="1"/>
  <c r="H126" i="1" s="1"/>
  <c r="J126" i="1" s="1"/>
  <c r="H125" i="1"/>
  <c r="J125" i="1" s="1"/>
  <c r="G125" i="1"/>
  <c r="J124" i="1"/>
  <c r="H124" i="1"/>
  <c r="G124" i="1"/>
  <c r="G123" i="1"/>
  <c r="K122" i="1"/>
  <c r="H121" i="1"/>
  <c r="H119" i="1" s="1"/>
  <c r="J120" i="1"/>
  <c r="L120" i="1" s="1"/>
  <c r="H120" i="1"/>
  <c r="K119" i="1"/>
  <c r="G119" i="1"/>
  <c r="G118" i="1"/>
  <c r="G114" i="1" s="1"/>
  <c r="J117" i="1"/>
  <c r="H117" i="1"/>
  <c r="J116" i="1"/>
  <c r="G116" i="1"/>
  <c r="H116" i="1" s="1"/>
  <c r="J115" i="1"/>
  <c r="L115" i="1" s="1"/>
  <c r="H115" i="1"/>
  <c r="G115" i="1"/>
  <c r="K114" i="1"/>
  <c r="M111" i="1"/>
  <c r="L111" i="1"/>
  <c r="J111" i="1"/>
  <c r="H111" i="1"/>
  <c r="J110" i="1"/>
  <c r="M110" i="1" s="1"/>
  <c r="H110" i="1"/>
  <c r="M109" i="1"/>
  <c r="L109" i="1"/>
  <c r="J109" i="1"/>
  <c r="H109" i="1"/>
  <c r="J108" i="1"/>
  <c r="M108" i="1" s="1"/>
  <c r="H108" i="1"/>
  <c r="M107" i="1"/>
  <c r="L107" i="1"/>
  <c r="J107" i="1"/>
  <c r="H107" i="1"/>
  <c r="K106" i="1"/>
  <c r="F106" i="1"/>
  <c r="H106" i="1" s="1"/>
  <c r="J106" i="1" s="1"/>
  <c r="H105" i="1"/>
  <c r="J105" i="1" s="1"/>
  <c r="M104" i="1"/>
  <c r="L104" i="1"/>
  <c r="J104" i="1"/>
  <c r="H104" i="1"/>
  <c r="H103" i="1"/>
  <c r="J103" i="1" s="1"/>
  <c r="H102" i="1"/>
  <c r="K101" i="1"/>
  <c r="F101" i="1"/>
  <c r="M100" i="1"/>
  <c r="L100" i="1"/>
  <c r="J100" i="1"/>
  <c r="H100" i="1"/>
  <c r="J99" i="1"/>
  <c r="L99" i="1" s="1"/>
  <c r="H99" i="1"/>
  <c r="M98" i="1"/>
  <c r="L98" i="1"/>
  <c r="J98" i="1"/>
  <c r="H98" i="1"/>
  <c r="H97" i="1"/>
  <c r="J97" i="1" s="1"/>
  <c r="M96" i="1"/>
  <c r="L96" i="1"/>
  <c r="J96" i="1"/>
  <c r="H96" i="1"/>
  <c r="J95" i="1"/>
  <c r="H95" i="1"/>
  <c r="M94" i="1"/>
  <c r="L94" i="1"/>
  <c r="J94" i="1"/>
  <c r="H94" i="1"/>
  <c r="H93" i="1"/>
  <c r="K92" i="1"/>
  <c r="F92" i="1"/>
  <c r="J91" i="1"/>
  <c r="M91" i="1" s="1"/>
  <c r="H91" i="1"/>
  <c r="H90" i="1"/>
  <c r="J90" i="1" s="1"/>
  <c r="M89" i="1"/>
  <c r="L89" i="1"/>
  <c r="H89" i="1"/>
  <c r="J89" i="1" s="1"/>
  <c r="J88" i="1"/>
  <c r="H88" i="1"/>
  <c r="H87" i="1"/>
  <c r="H86" i="1" s="1"/>
  <c r="K86" i="1"/>
  <c r="F86" i="1"/>
  <c r="M85" i="1"/>
  <c r="L85" i="1"/>
  <c r="J85" i="1"/>
  <c r="H85" i="1"/>
  <c r="L84" i="1"/>
  <c r="J84" i="1"/>
  <c r="H84" i="1"/>
  <c r="K83" i="1"/>
  <c r="H83" i="1"/>
  <c r="F83" i="1"/>
  <c r="H82" i="1"/>
  <c r="J82" i="1" s="1"/>
  <c r="M82" i="1" s="1"/>
  <c r="H81" i="1"/>
  <c r="J81" i="1" s="1"/>
  <c r="H80" i="1"/>
  <c r="J80" i="1" s="1"/>
  <c r="H79" i="1"/>
  <c r="J79" i="1" s="1"/>
  <c r="J78" i="1"/>
  <c r="M78" i="1" s="1"/>
  <c r="H78" i="1"/>
  <c r="F78" i="1"/>
  <c r="H77" i="1"/>
  <c r="J77" i="1" s="1"/>
  <c r="M77" i="1" s="1"/>
  <c r="F77" i="1"/>
  <c r="M76" i="1"/>
  <c r="L76" i="1"/>
  <c r="F76" i="1"/>
  <c r="H76" i="1" s="1"/>
  <c r="J76" i="1" s="1"/>
  <c r="H75" i="1"/>
  <c r="K74" i="1"/>
  <c r="F74" i="1"/>
  <c r="F73" i="1"/>
  <c r="F40" i="1" s="1"/>
  <c r="M71" i="1"/>
  <c r="L71" i="1"/>
  <c r="H71" i="1"/>
  <c r="J71" i="1" s="1"/>
  <c r="B71" i="1"/>
  <c r="B70" i="1"/>
  <c r="H70" i="1" s="1"/>
  <c r="K69" i="1"/>
  <c r="B69" i="1"/>
  <c r="B68" i="1"/>
  <c r="H68" i="1" s="1"/>
  <c r="J68" i="1" s="1"/>
  <c r="B67" i="1"/>
  <c r="J66" i="1"/>
  <c r="H66" i="1"/>
  <c r="K65" i="1"/>
  <c r="H64" i="1"/>
  <c r="J64" i="1" s="1"/>
  <c r="M63" i="1"/>
  <c r="L63" i="1"/>
  <c r="J63" i="1"/>
  <c r="H63" i="1"/>
  <c r="H62" i="1"/>
  <c r="B62" i="1"/>
  <c r="B61" i="1" s="1"/>
  <c r="K61" i="1"/>
  <c r="J60" i="1"/>
  <c r="M60" i="1" s="1"/>
  <c r="H60" i="1"/>
  <c r="M59" i="1"/>
  <c r="L59" i="1"/>
  <c r="J59" i="1"/>
  <c r="H59" i="1"/>
  <c r="L58" i="1"/>
  <c r="J58" i="1"/>
  <c r="H58" i="1"/>
  <c r="K57" i="1"/>
  <c r="H57" i="1"/>
  <c r="B57" i="1"/>
  <c r="H56" i="1"/>
  <c r="J56" i="1" s="1"/>
  <c r="M56" i="1" s="1"/>
  <c r="H55" i="1"/>
  <c r="J55" i="1" s="1"/>
  <c r="J54" i="1"/>
  <c r="L54" i="1" s="1"/>
  <c r="H54" i="1"/>
  <c r="K53" i="1"/>
  <c r="B53" i="1"/>
  <c r="H53" i="1" s="1"/>
  <c r="J53" i="1" s="1"/>
  <c r="M52" i="1"/>
  <c r="L52" i="1"/>
  <c r="J52" i="1"/>
  <c r="H52" i="1"/>
  <c r="H51" i="1"/>
  <c r="J51" i="1" s="1"/>
  <c r="K50" i="1"/>
  <c r="H50" i="1"/>
  <c r="J50" i="1" s="1"/>
  <c r="B50" i="1"/>
  <c r="K49" i="1"/>
  <c r="B48" i="1"/>
  <c r="H48" i="1" s="1"/>
  <c r="J48" i="1" s="1"/>
  <c r="H47" i="1"/>
  <c r="B47" i="1"/>
  <c r="K46" i="1"/>
  <c r="H45" i="1"/>
  <c r="J44" i="1"/>
  <c r="M44" i="1" s="1"/>
  <c r="H44" i="1"/>
  <c r="K43" i="1"/>
  <c r="B43" i="1"/>
  <c r="K37" i="1"/>
  <c r="I36" i="1"/>
  <c r="H36" i="1"/>
  <c r="J36" i="1" s="1"/>
  <c r="M35" i="1"/>
  <c r="J35" i="1"/>
  <c r="L35" i="1" s="1"/>
  <c r="I35" i="1"/>
  <c r="H35" i="1"/>
  <c r="I34" i="1"/>
  <c r="G34" i="1"/>
  <c r="H34" i="1" s="1"/>
  <c r="F34" i="1"/>
  <c r="B34" i="1"/>
  <c r="I33" i="1"/>
  <c r="G33" i="1"/>
  <c r="F33" i="1"/>
  <c r="D33" i="1"/>
  <c r="C33" i="1"/>
  <c r="B33" i="1"/>
  <c r="I32" i="1"/>
  <c r="J32" i="1" s="1"/>
  <c r="M32" i="1" s="1"/>
  <c r="H32" i="1"/>
  <c r="J31" i="1"/>
  <c r="M31" i="1" s="1"/>
  <c r="I31" i="1"/>
  <c r="G31" i="1"/>
  <c r="F31" i="1"/>
  <c r="D31" i="1"/>
  <c r="C31" i="1"/>
  <c r="B31" i="1"/>
  <c r="H31" i="1" s="1"/>
  <c r="J30" i="1"/>
  <c r="L30" i="1" s="1"/>
  <c r="I30" i="1"/>
  <c r="H30" i="1"/>
  <c r="G30" i="1"/>
  <c r="I29" i="1"/>
  <c r="G29" i="1"/>
  <c r="E29" i="1"/>
  <c r="D29" i="1"/>
  <c r="C29" i="1"/>
  <c r="B29" i="1"/>
  <c r="I28" i="1"/>
  <c r="H28" i="1"/>
  <c r="J28" i="1" s="1"/>
  <c r="G28" i="1"/>
  <c r="F28" i="1"/>
  <c r="E28" i="1"/>
  <c r="D28" i="1"/>
  <c r="C28" i="1"/>
  <c r="B28" i="1"/>
  <c r="M27" i="1"/>
  <c r="L27" i="1"/>
  <c r="J27" i="1"/>
  <c r="H27" i="1"/>
  <c r="I26" i="1"/>
  <c r="G26" i="1"/>
  <c r="H26" i="1" s="1"/>
  <c r="J26" i="1" s="1"/>
  <c r="F26" i="1"/>
  <c r="D26" i="1"/>
  <c r="C26" i="1"/>
  <c r="B26" i="1"/>
  <c r="I25" i="1"/>
  <c r="G25" i="1"/>
  <c r="F25" i="1"/>
  <c r="E25" i="1"/>
  <c r="D25" i="1"/>
  <c r="D37" i="1" s="1"/>
  <c r="D38" i="1" s="1"/>
  <c r="C25" i="1"/>
  <c r="B25" i="1"/>
  <c r="I24" i="1"/>
  <c r="H24" i="1"/>
  <c r="J24" i="1" s="1"/>
  <c r="G24" i="1"/>
  <c r="B24" i="1"/>
  <c r="I23" i="1"/>
  <c r="G23" i="1"/>
  <c r="F23" i="1"/>
  <c r="E23" i="1"/>
  <c r="E37" i="1" s="1"/>
  <c r="E38" i="1" s="1"/>
  <c r="C23" i="1"/>
  <c r="B23" i="1"/>
  <c r="I22" i="1"/>
  <c r="G22" i="1"/>
  <c r="F22" i="1"/>
  <c r="C22" i="1"/>
  <c r="B22" i="1"/>
  <c r="K20" i="1"/>
  <c r="G20" i="1"/>
  <c r="D20" i="1"/>
  <c r="H19" i="1"/>
  <c r="J19" i="1" s="1"/>
  <c r="H18" i="1"/>
  <c r="J18" i="1" s="1"/>
  <c r="L17" i="1"/>
  <c r="J17" i="1"/>
  <c r="M17" i="1" s="1"/>
  <c r="H17" i="1"/>
  <c r="H16" i="1"/>
  <c r="J16" i="1" s="1"/>
  <c r="M16" i="1" s="1"/>
  <c r="H15" i="1"/>
  <c r="J15" i="1" s="1"/>
  <c r="L14" i="1"/>
  <c r="J14" i="1"/>
  <c r="M14" i="1" s="1"/>
  <c r="H14" i="1"/>
  <c r="H13" i="1"/>
  <c r="J13" i="1" s="1"/>
  <c r="M13" i="1" s="1"/>
  <c r="J12" i="1"/>
  <c r="M12" i="1" s="1"/>
  <c r="H12" i="1"/>
  <c r="L11" i="1"/>
  <c r="J11" i="1"/>
  <c r="M11" i="1" s="1"/>
  <c r="H11" i="1"/>
  <c r="I10" i="1"/>
  <c r="G10" i="1"/>
  <c r="G9" i="1" s="1"/>
  <c r="F10" i="1"/>
  <c r="F20" i="1" s="1"/>
  <c r="E10" i="1"/>
  <c r="E20" i="1" s="1"/>
  <c r="D10" i="1"/>
  <c r="D9" i="1" s="1"/>
  <c r="C10" i="1"/>
  <c r="C20" i="1" s="1"/>
  <c r="B10" i="1"/>
  <c r="K9" i="1"/>
  <c r="F9" i="1"/>
  <c r="E9" i="1"/>
  <c r="C9" i="1"/>
  <c r="B9" i="1"/>
  <c r="M150" i="1" l="1"/>
  <c r="L150" i="1"/>
  <c r="L80" i="1"/>
  <c r="M80" i="1"/>
  <c r="M18" i="1"/>
  <c r="L18" i="1"/>
  <c r="L15" i="1"/>
  <c r="M15" i="1"/>
  <c r="M90" i="1"/>
  <c r="L90" i="1"/>
  <c r="L97" i="1"/>
  <c r="M97" i="1"/>
  <c r="M26" i="1"/>
  <c r="L26" i="1"/>
  <c r="M127" i="1"/>
  <c r="L127" i="1"/>
  <c r="I9" i="1"/>
  <c r="I20" i="1"/>
  <c r="M28" i="1"/>
  <c r="L28" i="1"/>
  <c r="M51" i="1"/>
  <c r="L51" i="1"/>
  <c r="H92" i="1"/>
  <c r="J93" i="1"/>
  <c r="M146" i="1"/>
  <c r="L146" i="1"/>
  <c r="J145" i="1"/>
  <c r="L145" i="1" s="1"/>
  <c r="E209" i="1"/>
  <c r="L64" i="1"/>
  <c r="M64" i="1"/>
  <c r="L140" i="1"/>
  <c r="M140" i="1"/>
  <c r="M55" i="1"/>
  <c r="L55" i="1"/>
  <c r="K73" i="1"/>
  <c r="M201" i="1"/>
  <c r="L201" i="1"/>
  <c r="C37" i="1"/>
  <c r="C38" i="1" s="1"/>
  <c r="K38" i="1"/>
  <c r="H69" i="1"/>
  <c r="J70" i="1"/>
  <c r="M81" i="1"/>
  <c r="L81" i="1"/>
  <c r="H101" i="1"/>
  <c r="C138" i="1"/>
  <c r="M160" i="1"/>
  <c r="L160" i="1"/>
  <c r="K159" i="1"/>
  <c r="M190" i="1"/>
  <c r="L190" i="1"/>
  <c r="M19" i="1"/>
  <c r="L19" i="1"/>
  <c r="H22" i="1"/>
  <c r="M30" i="1"/>
  <c r="L31" i="1"/>
  <c r="L66" i="1"/>
  <c r="H74" i="1"/>
  <c r="H73" i="1" s="1"/>
  <c r="J73" i="1" s="1"/>
  <c r="J75" i="1"/>
  <c r="M99" i="1"/>
  <c r="J102" i="1"/>
  <c r="M106" i="1"/>
  <c r="M116" i="1"/>
  <c r="L116" i="1"/>
  <c r="M124" i="1"/>
  <c r="L124" i="1"/>
  <c r="L161" i="1"/>
  <c r="L163" i="1"/>
  <c r="L165" i="1"/>
  <c r="D168" i="1"/>
  <c r="D167" i="1" s="1"/>
  <c r="D159" i="1" s="1"/>
  <c r="D40" i="1" s="1"/>
  <c r="D209" i="1" s="1"/>
  <c r="M177" i="1"/>
  <c r="L177" i="1"/>
  <c r="D186" i="1"/>
  <c r="H188" i="1"/>
  <c r="J188" i="1" s="1"/>
  <c r="M36" i="1"/>
  <c r="L36" i="1"/>
  <c r="H43" i="1"/>
  <c r="J45" i="1"/>
  <c r="M45" i="1" s="1"/>
  <c r="M66" i="1"/>
  <c r="M103" i="1"/>
  <c r="L103" i="1"/>
  <c r="L142" i="1"/>
  <c r="L153" i="1"/>
  <c r="M155" i="1"/>
  <c r="M161" i="1"/>
  <c r="M197" i="1"/>
  <c r="L197" i="1"/>
  <c r="J47" i="1"/>
  <c r="L135" i="1"/>
  <c r="M135" i="1"/>
  <c r="L151" i="1"/>
  <c r="M151" i="1"/>
  <c r="H180" i="1"/>
  <c r="H179" i="1" s="1"/>
  <c r="J181" i="1"/>
  <c r="M54" i="1"/>
  <c r="M206" i="1"/>
  <c r="L206" i="1"/>
  <c r="H23" i="1"/>
  <c r="J23" i="1" s="1"/>
  <c r="M48" i="1"/>
  <c r="L48" i="1"/>
  <c r="J87" i="1"/>
  <c r="M105" i="1"/>
  <c r="L105" i="1"/>
  <c r="M141" i="1"/>
  <c r="L141" i="1"/>
  <c r="L147" i="1"/>
  <c r="J170" i="1"/>
  <c r="H168" i="1"/>
  <c r="H167" i="1" s="1"/>
  <c r="H159" i="1" s="1"/>
  <c r="J159" i="1" s="1"/>
  <c r="F37" i="1"/>
  <c r="F38" i="1" s="1"/>
  <c r="F209" i="1" s="1"/>
  <c r="L44" i="1"/>
  <c r="L77" i="1"/>
  <c r="M148" i="1"/>
  <c r="L148" i="1"/>
  <c r="M207" i="1"/>
  <c r="L207" i="1"/>
  <c r="L24" i="1"/>
  <c r="M24" i="1"/>
  <c r="L50" i="1"/>
  <c r="M50" i="1"/>
  <c r="H67" i="1"/>
  <c r="B65" i="1"/>
  <c r="L95" i="1"/>
  <c r="M95" i="1"/>
  <c r="K113" i="1"/>
  <c r="M117" i="1"/>
  <c r="L117" i="1"/>
  <c r="M125" i="1"/>
  <c r="L125" i="1"/>
  <c r="L131" i="1"/>
  <c r="M131" i="1"/>
  <c r="M178" i="1"/>
  <c r="L178" i="1"/>
  <c r="L12" i="1"/>
  <c r="J34" i="1"/>
  <c r="G37" i="1"/>
  <c r="G38" i="1" s="1"/>
  <c r="L68" i="1"/>
  <c r="M68" i="1"/>
  <c r="L126" i="1"/>
  <c r="M126" i="1"/>
  <c r="L134" i="1"/>
  <c r="M134" i="1"/>
  <c r="H173" i="1"/>
  <c r="M175" i="1"/>
  <c r="L175" i="1"/>
  <c r="K179" i="1"/>
  <c r="G122" i="1"/>
  <c r="G113" i="1" s="1"/>
  <c r="G40" i="1" s="1"/>
  <c r="H123" i="1"/>
  <c r="M132" i="1"/>
  <c r="I216" i="1"/>
  <c r="L13" i="1"/>
  <c r="I37" i="1"/>
  <c r="I38" i="1" s="1"/>
  <c r="I209" i="1" s="1"/>
  <c r="J22" i="1"/>
  <c r="M120" i="1"/>
  <c r="K137" i="1"/>
  <c r="H29" i="1"/>
  <c r="J29" i="1" s="1"/>
  <c r="L32" i="1"/>
  <c r="L78" i="1"/>
  <c r="M88" i="1"/>
  <c r="L88" i="1"/>
  <c r="L91" i="1"/>
  <c r="H118" i="1"/>
  <c r="J118" i="1" s="1"/>
  <c r="J129" i="1"/>
  <c r="M143" i="1"/>
  <c r="M152" i="1"/>
  <c r="L152" i="1"/>
  <c r="D180" i="1"/>
  <c r="D179" i="1" s="1"/>
  <c r="L185" i="1"/>
  <c r="K42" i="1"/>
  <c r="L56" i="1"/>
  <c r="J57" i="1"/>
  <c r="M58" i="1"/>
  <c r="L60" i="1"/>
  <c r="L82" i="1"/>
  <c r="J83" i="1"/>
  <c r="M84" i="1"/>
  <c r="L106" i="1"/>
  <c r="L108" i="1"/>
  <c r="L110" i="1"/>
  <c r="M115" i="1"/>
  <c r="J121" i="1"/>
  <c r="L130" i="1"/>
  <c r="J132" i="1"/>
  <c r="M171" i="1"/>
  <c r="H183" i="1"/>
  <c r="J183" i="1" s="1"/>
  <c r="L191" i="1"/>
  <c r="J195" i="1"/>
  <c r="H10" i="1"/>
  <c r="B20" i="1"/>
  <c r="H20" i="1" s="1"/>
  <c r="L173" i="1"/>
  <c r="H25" i="1"/>
  <c r="J25" i="1" s="1"/>
  <c r="B37" i="1"/>
  <c r="B38" i="1" s="1"/>
  <c r="H38" i="1" s="1"/>
  <c r="H61" i="1"/>
  <c r="J62" i="1"/>
  <c r="L132" i="1"/>
  <c r="M182" i="1"/>
  <c r="L203" i="1"/>
  <c r="L16" i="1"/>
  <c r="H33" i="1"/>
  <c r="J33" i="1" s="1"/>
  <c r="M79" i="1"/>
  <c r="L79" i="1"/>
  <c r="M130" i="1"/>
  <c r="J138" i="1"/>
  <c r="M149" i="1"/>
  <c r="L149" i="1"/>
  <c r="M172" i="1"/>
  <c r="L172" i="1"/>
  <c r="M199" i="1"/>
  <c r="B49" i="1"/>
  <c r="H49" i="1" s="1"/>
  <c r="J49" i="1" s="1"/>
  <c r="M53" i="1"/>
  <c r="L53" i="1"/>
  <c r="H145" i="1"/>
  <c r="M187" i="1"/>
  <c r="H186" i="1"/>
  <c r="J186" i="1"/>
  <c r="L57" i="1" l="1"/>
  <c r="M57" i="1"/>
  <c r="L22" i="1"/>
  <c r="J37" i="1"/>
  <c r="M22" i="1"/>
  <c r="L25" i="1"/>
  <c r="M25" i="1"/>
  <c r="M23" i="1"/>
  <c r="L23" i="1"/>
  <c r="L186" i="1"/>
  <c r="M186" i="1"/>
  <c r="M145" i="1"/>
  <c r="J43" i="1"/>
  <c r="H42" i="1"/>
  <c r="J101" i="1"/>
  <c r="M102" i="1"/>
  <c r="L102" i="1"/>
  <c r="H37" i="1"/>
  <c r="H114" i="1"/>
  <c r="H113" i="1" s="1"/>
  <c r="M83" i="1"/>
  <c r="L83" i="1"/>
  <c r="C209" i="1"/>
  <c r="K40" i="1"/>
  <c r="L129" i="1"/>
  <c r="M129" i="1"/>
  <c r="L47" i="1"/>
  <c r="J46" i="1"/>
  <c r="M47" i="1"/>
  <c r="M75" i="1"/>
  <c r="J74" i="1"/>
  <c r="L75" i="1"/>
  <c r="C137" i="1"/>
  <c r="C40" i="1" s="1"/>
  <c r="H138" i="1"/>
  <c r="H137" i="1" s="1"/>
  <c r="J137" i="1" s="1"/>
  <c r="J92" i="1"/>
  <c r="L93" i="1"/>
  <c r="M93" i="1"/>
  <c r="L33" i="1"/>
  <c r="M33" i="1"/>
  <c r="M159" i="1"/>
  <c r="L159" i="1"/>
  <c r="L183" i="1"/>
  <c r="M183" i="1"/>
  <c r="G209" i="1"/>
  <c r="H215" i="1" s="1"/>
  <c r="J215" i="1" s="1"/>
  <c r="J67" i="1"/>
  <c r="H65" i="1"/>
  <c r="M70" i="1"/>
  <c r="J69" i="1"/>
  <c r="L70" i="1"/>
  <c r="L138" i="1"/>
  <c r="M138" i="1"/>
  <c r="L34" i="1"/>
  <c r="M34" i="1"/>
  <c r="L49" i="1"/>
  <c r="M49" i="1"/>
  <c r="H9" i="1"/>
  <c r="J10" i="1"/>
  <c r="M121" i="1"/>
  <c r="L121" i="1"/>
  <c r="J119" i="1"/>
  <c r="L118" i="1"/>
  <c r="M118" i="1"/>
  <c r="M29" i="1"/>
  <c r="L29" i="1"/>
  <c r="H46" i="1"/>
  <c r="J114" i="1"/>
  <c r="M188" i="1"/>
  <c r="L188" i="1"/>
  <c r="B46" i="1"/>
  <c r="B42" i="1" s="1"/>
  <c r="B40" i="1" s="1"/>
  <c r="L62" i="1"/>
  <c r="J61" i="1"/>
  <c r="M62" i="1"/>
  <c r="M195" i="1"/>
  <c r="L195" i="1"/>
  <c r="J194" i="1"/>
  <c r="M137" i="1"/>
  <c r="L137" i="1"/>
  <c r="J123" i="1"/>
  <c r="H122" i="1"/>
  <c r="M170" i="1"/>
  <c r="L170" i="1"/>
  <c r="J168" i="1"/>
  <c r="M87" i="1"/>
  <c r="J86" i="1"/>
  <c r="L87" i="1"/>
  <c r="L181" i="1"/>
  <c r="J180" i="1"/>
  <c r="M181" i="1"/>
  <c r="L73" i="1"/>
  <c r="M73" i="1"/>
  <c r="L74" i="1" l="1"/>
  <c r="M74" i="1"/>
  <c r="M43" i="1"/>
  <c r="L43" i="1"/>
  <c r="K209" i="1"/>
  <c r="H40" i="1"/>
  <c r="J40" i="1" s="1"/>
  <c r="M40" i="1" s="1"/>
  <c r="B209" i="1"/>
  <c r="M86" i="1"/>
  <c r="L86" i="1"/>
  <c r="M119" i="1"/>
  <c r="L119" i="1"/>
  <c r="K215" i="1"/>
  <c r="M46" i="1"/>
  <c r="L46" i="1"/>
  <c r="L194" i="1"/>
  <c r="M194" i="1"/>
  <c r="M92" i="1"/>
  <c r="L92" i="1"/>
  <c r="J38" i="1"/>
  <c r="L37" i="1"/>
  <c r="M37" i="1"/>
  <c r="M69" i="1"/>
  <c r="L69" i="1"/>
  <c r="J179" i="1"/>
  <c r="L180" i="1"/>
  <c r="M180" i="1"/>
  <c r="L61" i="1"/>
  <c r="M61" i="1"/>
  <c r="L123" i="1"/>
  <c r="M123" i="1"/>
  <c r="J122" i="1"/>
  <c r="M67" i="1"/>
  <c r="L67" i="1"/>
  <c r="J65" i="1"/>
  <c r="J42" i="1" s="1"/>
  <c r="M168" i="1"/>
  <c r="J167" i="1"/>
  <c r="L168" i="1"/>
  <c r="M114" i="1"/>
  <c r="L114" i="1"/>
  <c r="L10" i="1"/>
  <c r="J20" i="1"/>
  <c r="M10" i="1"/>
  <c r="J9" i="1"/>
  <c r="L101" i="1"/>
  <c r="M101" i="1"/>
  <c r="L42" i="1" l="1"/>
  <c r="M42" i="1"/>
  <c r="L40" i="1"/>
  <c r="M167" i="1"/>
  <c r="L167" i="1"/>
  <c r="L215" i="1"/>
  <c r="L20" i="1"/>
  <c r="M20" i="1"/>
  <c r="M179" i="1"/>
  <c r="L179" i="1"/>
  <c r="L9" i="1"/>
  <c r="M9" i="1"/>
  <c r="M38" i="1"/>
  <c r="L38" i="1"/>
  <c r="L65" i="1"/>
  <c r="M65" i="1"/>
  <c r="M122" i="1"/>
  <c r="L122" i="1"/>
  <c r="J113" i="1"/>
  <c r="H214" i="1"/>
  <c r="H209" i="1"/>
  <c r="J209" i="1" s="1"/>
  <c r="L209" i="1" s="1"/>
  <c r="M209" i="1" l="1"/>
  <c r="M113" i="1"/>
  <c r="L113" i="1"/>
  <c r="H216" i="1"/>
  <c r="J214" i="1"/>
  <c r="K214" i="1" l="1"/>
  <c r="J216" i="1"/>
  <c r="L214" i="1" l="1"/>
  <c r="L216" i="1" s="1"/>
  <c r="K216" i="1"/>
</calcChain>
</file>

<file path=xl/sharedStrings.xml><?xml version="1.0" encoding="utf-8"?>
<sst xmlns="http://schemas.openxmlformats.org/spreadsheetml/2006/main" count="216" uniqueCount="212">
  <si>
    <t>MINISTERIO DE AGRICULTURA  Y DESARROLLO RURAL</t>
  </si>
  <si>
    <t>DIRECCIÓN DE PLANEACIÓN Y SEGUIMIENTO PRESUPUESTAL</t>
  </si>
  <si>
    <t>PRESUPUESTO DE GASTOS DE FUNCIONAMIENTO E INVERSIÓN 2.016</t>
  </si>
  <si>
    <t>EJECUCIÓN TRIMESTRE OCTUBRE-DICIEMBRE 2016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</si>
  <si>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</si>
  <si>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</si>
  <si>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</si>
  <si>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</si>
  <si>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</si>
  <si>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</si>
  <si>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</si>
  <si>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</si>
  <si>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</si>
  <si>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</si>
  <si>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</si>
  <si>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</si>
  <si>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3/17</t>
  </si>
  <si>
    <t>% 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</si>
  <si>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</si>
  <si>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</si>
  <si>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</si>
  <si>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</si>
  <si>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</si>
  <si>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</si>
  <si>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</si>
  <si>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</si>
  <si>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</si>
  <si>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</si>
  <si>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</si>
  <si>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</si>
  <si>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</si>
  <si>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</si>
  <si>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</si>
  <si>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</si>
  <si>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</si>
  <si>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</si>
  <si>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</si>
  <si>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</si>
  <si>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</si>
  <si>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</si>
  <si>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</si>
  <si>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</si>
  <si>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</si>
  <si>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</si>
  <si>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</si>
  <si>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</si>
  <si>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</si>
  <si>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</si>
  <si>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</si>
  <si>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</si>
  <si>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</si>
  <si>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</si>
  <si>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</si>
  <si>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</si>
  <si>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</si>
  <si>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</si>
  <si>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</si>
  <si>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</si>
  <si>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</si>
  <si>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</si>
  <si>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</si>
  <si>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</si>
  <si>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</si>
  <si>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</si>
  <si>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</si>
  <si>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</si>
  <si>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</si>
  <si>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</si>
  <si>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</si>
  <si>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</si>
  <si>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</si>
  <si>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</si>
  <si>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</si>
  <si>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</si>
  <si>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</si>
  <si>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</si>
  <si>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</si>
  <si>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</si>
  <si>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</si>
  <si>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</si>
  <si>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</si>
  <si>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</si>
  <si>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</si>
  <si>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</si>
  <si>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</si>
  <si>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</si>
  <si>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</si>
  <si>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Estudio Digital</t>
  </si>
  <si>
    <t>Estudio del estatus de comercializacion de la carne de cerdo</t>
  </si>
  <si>
    <t>Estudio LSDA</t>
  </si>
  <si>
    <t>Estrategia digital</t>
  </si>
  <si>
    <t>Me encanta la carne de cerdo.com</t>
  </si>
  <si>
    <t>Concurso innovador carne de cerdo</t>
  </si>
  <si>
    <t>Campaña de fomento al consumo</t>
  </si>
  <si>
    <t>Campaña de publicidad</t>
  </si>
  <si>
    <t>Free Press ATL Influenciadores</t>
  </si>
  <si>
    <t>Consultoría MESA</t>
  </si>
  <si>
    <t>Pauta institucional</t>
  </si>
  <si>
    <t>Kit Publicitario</t>
  </si>
  <si>
    <t>Eventos de Sensibilización de las bondades gastronomicas y nutricionales de la carne de cerdo</t>
  </si>
  <si>
    <t>Nutricionistas Ejecutivas</t>
  </si>
  <si>
    <t>Día de la Carne de Cerdo</t>
  </si>
  <si>
    <t>Asesores Gastronómicos Ejecutivos</t>
  </si>
  <si>
    <t>Viajes regionales equipo incentivo y sensibilizacion de las bondades de la carne de cerdo</t>
  </si>
  <si>
    <t>Capacitación anual contratistas</t>
  </si>
  <si>
    <t xml:space="preserve">Material Publicitario, Promoción y Divulgación para el Incentivo y sensibilizacion </t>
  </si>
  <si>
    <t>Festival de la Carne de cerdo</t>
  </si>
  <si>
    <t xml:space="preserve">Conceptos y artes </t>
  </si>
  <si>
    <t>Eventos Especializados y del Sector</t>
  </si>
  <si>
    <t>Seguimiento gestión a eventos de sensibilización de las bondades de la carne de cerdo</t>
  </si>
  <si>
    <t>Porciamericas</t>
  </si>
  <si>
    <t>Eventos especializados (Sector, gastronomicos , sector salud)</t>
  </si>
  <si>
    <t>Teletón</t>
  </si>
  <si>
    <t>Comercialización y Nuevos Negocios</t>
  </si>
  <si>
    <t>Profesional de Comercialización y Nuevos Negocios</t>
  </si>
  <si>
    <t>Material Promocional y Publicitario</t>
  </si>
  <si>
    <t>Cerdificado</t>
  </si>
  <si>
    <t xml:space="preserve">Club Gourmet de la Carne de Cerdo ( talleres de cocina ) </t>
  </si>
  <si>
    <t>Asesores Gastronómicos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</si>
  <si>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</si>
  <si>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</si>
  <si>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</si>
  <si>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</si>
  <si>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</si>
  <si>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</si>
  <si>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</si>
  <si>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</si>
  <si>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</si>
  <si>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</si>
  <si>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</si>
  <si>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de factores de riesgo</t>
  </si>
  <si>
    <t>Adminisbilidad y normatividad sanitaria</t>
  </si>
  <si>
    <t>Control al Contrabando</t>
  </si>
  <si>
    <t>Equipos comunicación puestos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</si>
  <si>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</si>
  <si>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</si>
  <si>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</si>
  <si>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</si>
  <si>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</si>
  <si>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</si>
  <si>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</si>
  <si>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</si>
  <si>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</si>
  <si>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</si>
  <si>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</si>
  <si>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</si>
  <si>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</si>
  <si>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</si>
  <si>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</si>
  <si>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</si>
  <si>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</si>
  <si>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</si>
  <si>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</si>
  <si>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</si>
  <si>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Levantamiento línea base de consumo de agua en granja</t>
  </si>
  <si>
    <t xml:space="preserve">Desarrollo de aplicaciones informáticas para control de olores </t>
  </si>
  <si>
    <t>Inocuidad y bienestar animal en producción primaria y transporte</t>
  </si>
  <si>
    <t>Profesional de acompañamiento</t>
  </si>
  <si>
    <t>Fortalecimiento de competencias en bienestar animal e inocuidad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</si>
  <si>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</si>
  <si>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</si>
  <si>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</si>
  <si>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</si>
  <si>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</si>
  <si>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Seguimiento a proyectos</t>
  </si>
  <si>
    <t>Capacitación anual</t>
  </si>
  <si>
    <t>Jornadas de divulgación resultados de investigación</t>
  </si>
  <si>
    <t>Convenio MADR</t>
  </si>
  <si>
    <t>Proyecto ambiental (Compostaje mortalidad)</t>
  </si>
  <si>
    <t>Transferencia de tecnología</t>
  </si>
  <si>
    <t xml:space="preserve">  Vinculación tecnologica</t>
  </si>
  <si>
    <t>Gira técnica</t>
  </si>
  <si>
    <t>Capacitación en desposte de carne de cerdo</t>
  </si>
  <si>
    <t>Capacitación para expendedores</t>
  </si>
  <si>
    <t>Diplomado en alta gerencia</t>
  </si>
  <si>
    <t xml:space="preserve">  Talleres y seminarios</t>
  </si>
  <si>
    <t>Seminario Internacional</t>
  </si>
  <si>
    <t>Buenas practicas en el manejo de medicamentos veterinarios</t>
  </si>
  <si>
    <t>Taller tecnologia de carnicos</t>
  </si>
  <si>
    <t>Material de apoyo</t>
  </si>
  <si>
    <t>Tallero operarios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</si>
  <si>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</si>
  <si>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</si>
  <si>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</si>
  <si>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</si>
  <si>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</si>
  <si>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</si>
  <si>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</si>
  <si>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>Diagnostico rutinario con laboratorios privados</t>
  </si>
  <si>
    <t>Rutinario</t>
  </si>
  <si>
    <t>Combos</t>
  </si>
  <si>
    <t>PRRS</t>
  </si>
  <si>
    <t>Promoción del diagnóstico</t>
  </si>
  <si>
    <t>Inocuidad y Ambiente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</si>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</sst>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3" x14ac:knownFonts="1">
    <font>
      <sz val="10"/>
      <name val="Arial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2" fillId="0" borderId="5" xfId="0" applyNumberFormat="1" applyFont="1" applyFill="1" applyBorder="1" applyAlignment="1"/>
    <xf numFmtId="3" fontId="2" fillId="0" borderId="6" xfId="0" applyNumberFormat="1" applyFont="1" applyFill="1" applyBorder="1"/>
    <xf numFmtId="10" fontId="2" fillId="0" borderId="7" xfId="1" applyNumberFormat="1" applyFont="1" applyFill="1" applyBorder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7" fillId="0" borderId="6" xfId="0" applyNumberFormat="1" applyFont="1" applyFill="1" applyBorder="1"/>
    <xf numFmtId="10" fontId="7" fillId="0" borderId="7" xfId="1" applyNumberFormat="1" applyFont="1" applyFill="1" applyBorder="1"/>
    <xf numFmtId="0" fontId="0" fillId="0" borderId="0" xfId="0" applyFill="1" applyAlignment="1">
      <alignment horizontal="center"/>
    </xf>
    <xf numFmtId="3" fontId="8" fillId="0" borderId="6" xfId="0" applyNumberFormat="1" applyFont="1" applyFill="1" applyBorder="1"/>
    <xf numFmtId="3" fontId="0" fillId="0" borderId="0" xfId="0" applyNumberFormat="1" applyFill="1"/>
    <xf numFmtId="0" fontId="1" fillId="0" borderId="5" xfId="0" applyFont="1" applyFill="1" applyBorder="1" applyAlignment="1"/>
    <xf numFmtId="3" fontId="1" fillId="0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2" applyNumberFormat="1" applyFont="1" applyFill="1" applyBorder="1"/>
    <xf numFmtId="3" fontId="2" fillId="0" borderId="6" xfId="2" applyNumberFormat="1" applyFont="1" applyFill="1" applyBorder="1"/>
    <xf numFmtId="0" fontId="1" fillId="0" borderId="8" xfId="0" applyFont="1" applyFill="1" applyBorder="1" applyAlignment="1"/>
    <xf numFmtId="3" fontId="1" fillId="0" borderId="9" xfId="0" applyNumberFormat="1" applyFont="1" applyFill="1" applyBorder="1"/>
    <xf numFmtId="3" fontId="2" fillId="0" borderId="9" xfId="2" applyNumberFormat="1" applyFont="1" applyFill="1" applyBorder="1"/>
    <xf numFmtId="10" fontId="2" fillId="0" borderId="10" xfId="1" applyNumberFormat="1" applyFont="1" applyFill="1" applyBorder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2" fillId="0" borderId="13" xfId="1" applyNumberFormat="1" applyFont="1" applyFill="1" applyBorder="1"/>
    <xf numFmtId="0" fontId="1" fillId="0" borderId="14" xfId="0" applyFont="1" applyFill="1" applyBorder="1" applyAlignment="1"/>
    <xf numFmtId="3" fontId="1" fillId="0" borderId="15" xfId="0" applyNumberFormat="1" applyFont="1" applyFill="1" applyBorder="1"/>
    <xf numFmtId="10" fontId="2" fillId="0" borderId="16" xfId="1" applyNumberFormat="1" applyFont="1" applyFill="1" applyBorder="1"/>
    <xf numFmtId="37" fontId="1" fillId="0" borderId="5" xfId="0" applyNumberFormat="1" applyFont="1" applyFill="1" applyBorder="1" applyAlignment="1"/>
    <xf numFmtId="0" fontId="9" fillId="0" borderId="0" xfId="0" applyFont="1" applyFill="1"/>
    <xf numFmtId="37" fontId="7" fillId="0" borderId="5" xfId="0" applyNumberFormat="1" applyFont="1" applyFill="1" applyBorder="1" applyAlignment="1">
      <alignment horizontal="left"/>
    </xf>
    <xf numFmtId="37" fontId="2" fillId="0" borderId="5" xfId="0" applyNumberFormat="1" applyFont="1" applyFill="1" applyBorder="1" applyAlignment="1">
      <alignment horizontal="left"/>
    </xf>
    <xf numFmtId="164" fontId="1" fillId="0" borderId="6" xfId="2" applyFont="1" applyFill="1" applyBorder="1"/>
    <xf numFmtId="164" fontId="7" fillId="0" borderId="6" xfId="2" applyFont="1" applyFill="1" applyBorder="1"/>
    <xf numFmtId="164" fontId="9" fillId="0" borderId="0" xfId="2" applyFont="1" applyFill="1"/>
    <xf numFmtId="37" fontId="7" fillId="0" borderId="5" xfId="0" applyNumberFormat="1" applyFont="1" applyFill="1" applyBorder="1" applyAlignment="1"/>
    <xf numFmtId="37" fontId="2" fillId="0" borderId="5" xfId="0" applyNumberFormat="1" applyFont="1" applyFill="1" applyBorder="1" applyAlignment="1"/>
    <xf numFmtId="3" fontId="2" fillId="0" borderId="6" xfId="3" applyNumberFormat="1" applyFont="1" applyFill="1" applyBorder="1"/>
    <xf numFmtId="0" fontId="6" fillId="0" borderId="0" xfId="0" applyFont="1" applyFill="1"/>
    <xf numFmtId="0" fontId="5" fillId="0" borderId="17" xfId="0" applyFont="1" applyFill="1" applyBorder="1" applyAlignment="1"/>
    <xf numFmtId="3" fontId="1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CIERRE%20OCT-DIC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ubio\Downloads\Anexos\Presupuesto%20PPC%20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JUNTAS%20DIRECTIVAS%202016\OCTUBRE\ANEXOS\MERCADEO\Proyecci&#243;n%20Ejecuci&#243;n%20III%20Trimestre%20-%20Solicitud%20IV%20Trimest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5\PRESUPUESTO%202015\PRESUPUESTO%202015%20V.6\Presupuesto%202015%20version%2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</sheetNames>
    <sheetDataSet>
      <sheetData sheetId="0">
        <row r="32">
          <cell r="B32">
            <v>426864148</v>
          </cell>
        </row>
        <row r="41">
          <cell r="B41">
            <v>6398180882.7116127</v>
          </cell>
        </row>
        <row r="45">
          <cell r="B45">
            <v>5139302835.0209675</v>
          </cell>
        </row>
      </sheetData>
      <sheetData sheetId="1"/>
      <sheetData sheetId="2"/>
      <sheetData sheetId="3">
        <row r="10">
          <cell r="F10">
            <v>33880872</v>
          </cell>
          <cell r="G10">
            <v>4679572</v>
          </cell>
          <cell r="I10">
            <v>20766511</v>
          </cell>
        </row>
        <row r="12">
          <cell r="F12">
            <v>1834715.9121000003</v>
          </cell>
        </row>
        <row r="14">
          <cell r="F14">
            <v>5154932</v>
          </cell>
          <cell r="G14">
            <v>4049651.0000000019</v>
          </cell>
        </row>
        <row r="16">
          <cell r="F16">
            <v>6521012</v>
          </cell>
          <cell r="G16">
            <v>2058190.7969000004</v>
          </cell>
          <cell r="H16">
            <v>2091882.7969000004</v>
          </cell>
          <cell r="I16">
            <v>2106662.7291999999</v>
          </cell>
          <cell r="J16">
            <v>2091882.7969000004</v>
          </cell>
          <cell r="K16">
            <v>2091882.7969000004</v>
          </cell>
          <cell r="L16">
            <v>2091882.7291999999</v>
          </cell>
        </row>
        <row r="18">
          <cell r="F18">
            <v>8424495.527675001</v>
          </cell>
          <cell r="G18">
            <v>3965699</v>
          </cell>
          <cell r="I18">
            <v>3438777.5941000003</v>
          </cell>
          <cell r="J18">
            <v>1236484</v>
          </cell>
          <cell r="K18">
            <v>439664.19927500002</v>
          </cell>
          <cell r="L18">
            <v>6106039.4588000011</v>
          </cell>
        </row>
        <row r="20">
          <cell r="F20">
            <v>13011878.889975</v>
          </cell>
          <cell r="G20">
            <v>3218580.5391000006</v>
          </cell>
          <cell r="I20">
            <v>1113646.0000000002</v>
          </cell>
          <cell r="L20">
            <v>8000000</v>
          </cell>
        </row>
        <row r="22">
          <cell r="F22">
            <v>19332271</v>
          </cell>
          <cell r="G22">
            <v>110484394.95319998</v>
          </cell>
          <cell r="I22">
            <v>5191985</v>
          </cell>
          <cell r="J22">
            <v>10265104.941500001</v>
          </cell>
          <cell r="K22">
            <v>4419389.0650000004</v>
          </cell>
          <cell r="L22">
            <v>8799914.4299999997</v>
          </cell>
        </row>
        <row r="24">
          <cell r="F24">
            <v>4023930.1017000005</v>
          </cell>
          <cell r="G24">
            <v>5994699</v>
          </cell>
          <cell r="H24">
            <v>3768000</v>
          </cell>
          <cell r="I24">
            <v>28294453.004000001</v>
          </cell>
          <cell r="J24">
            <v>2608677</v>
          </cell>
        </row>
        <row r="26">
          <cell r="F26">
            <v>22929554</v>
          </cell>
          <cell r="G26">
            <v>102916011</v>
          </cell>
          <cell r="H26">
            <v>1900540</v>
          </cell>
          <cell r="I26">
            <v>13728195</v>
          </cell>
          <cell r="J26">
            <v>4207180.7150000017</v>
          </cell>
          <cell r="K26">
            <v>2171068.5500000007</v>
          </cell>
          <cell r="L26">
            <v>7271564.7094000001</v>
          </cell>
        </row>
        <row r="28">
          <cell r="F28">
            <v>2977606.6242</v>
          </cell>
          <cell r="G28">
            <v>1410700</v>
          </cell>
          <cell r="I28">
            <v>511600</v>
          </cell>
          <cell r="J28">
            <v>1555972.9687000001</v>
          </cell>
          <cell r="K28">
            <v>1107418</v>
          </cell>
          <cell r="L28">
            <v>1147442.6041000001</v>
          </cell>
        </row>
        <row r="30">
          <cell r="F30">
            <v>20194041</v>
          </cell>
          <cell r="G30">
            <v>16324479</v>
          </cell>
          <cell r="H30">
            <v>1601550.0000000002</v>
          </cell>
          <cell r="I30">
            <v>2689619</v>
          </cell>
          <cell r="J30">
            <v>233850</v>
          </cell>
          <cell r="K30">
            <v>2501386</v>
          </cell>
        </row>
        <row r="32">
          <cell r="F32">
            <v>10715006.923700001</v>
          </cell>
        </row>
        <row r="34">
          <cell r="F34">
            <v>26674381.163825005</v>
          </cell>
          <cell r="G34">
            <v>10170907.000000007</v>
          </cell>
        </row>
        <row r="36">
          <cell r="F36">
            <v>13251473</v>
          </cell>
        </row>
      </sheetData>
      <sheetData sheetId="4">
        <row r="12">
          <cell r="K12">
            <v>38580415.752666667</v>
          </cell>
        </row>
        <row r="21">
          <cell r="K21">
            <v>196432751.91297328</v>
          </cell>
        </row>
        <row r="39">
          <cell r="K39">
            <v>58526945.380843334</v>
          </cell>
        </row>
        <row r="48">
          <cell r="K48">
            <v>65463438.836553335</v>
          </cell>
        </row>
        <row r="57">
          <cell r="K57">
            <v>57059854.43643333</v>
          </cell>
        </row>
        <row r="65">
          <cell r="K65">
            <v>7050174.7134000007</v>
          </cell>
        </row>
        <row r="69">
          <cell r="K69">
            <v>203312309.62557665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presupuestal 2016"/>
    </sheetNames>
    <sheetDataSet>
      <sheetData sheetId="0">
        <row r="12">
          <cell r="P12">
            <v>83541619.551300004</v>
          </cell>
        </row>
        <row r="13">
          <cell r="P13">
            <v>20804014.917600002</v>
          </cell>
        </row>
        <row r="14">
          <cell r="P14">
            <v>12310808.874200001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8"/>
  <sheetViews>
    <sheetView tabSelected="1" view="pageBreakPreview" zoomScale="85" zoomScaleNormal="90" zoomScaleSheetLayoutView="85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M9" sqref="M9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28515625" style="2" customWidth="1"/>
    <col min="10" max="12" width="19.7109375" style="2" customWidth="1"/>
    <col min="13" max="13" width="13" style="2" customWidth="1"/>
    <col min="14" max="16" width="14.5703125" style="2" customWidth="1"/>
    <col min="17" max="16384" width="11.42578125" style="2"/>
  </cols>
  <sheetData>
    <row r="1" spans="1:15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15.75" thickBot="1" x14ac:dyDescent="0.3">
      <c r="A6" s="4"/>
      <c r="B6" s="5"/>
      <c r="C6" s="6"/>
      <c r="D6" s="6"/>
      <c r="E6" s="7"/>
      <c r="F6" s="7"/>
      <c r="G6" s="7"/>
      <c r="H6" s="8"/>
      <c r="I6" s="7"/>
    </row>
    <row r="7" spans="1:15" ht="73.5" customHeight="1" thickTop="1" x14ac:dyDescent="0.2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1" t="s">
        <v>17</v>
      </c>
    </row>
    <row r="8" spans="1:15" ht="15" x14ac:dyDescent="0.25">
      <c r="A8" s="12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5" ht="15" x14ac:dyDescent="0.25">
      <c r="A9" s="15" t="s">
        <v>19</v>
      </c>
      <c r="B9" s="16">
        <f>SUM(B10:B19)</f>
        <v>319700217.43316251</v>
      </c>
      <c r="C9" s="16">
        <f t="shared" ref="C9:J9" si="0">SUM(C10:C19)</f>
        <v>98871733.591933042</v>
      </c>
      <c r="D9" s="16">
        <f t="shared" si="0"/>
        <v>81941734.603699401</v>
      </c>
      <c r="E9" s="16">
        <f t="shared" si="0"/>
        <v>11156170.56803051</v>
      </c>
      <c r="F9" s="16">
        <f t="shared" si="0"/>
        <v>86924819.096962273</v>
      </c>
      <c r="G9" s="16">
        <f>SUM(G10:G19)</f>
        <v>324366378.55211347</v>
      </c>
      <c r="H9" s="16">
        <f>SUM(H10:H19)</f>
        <v>922961053.84590113</v>
      </c>
      <c r="I9" s="16">
        <f>SUM(I10:I19)</f>
        <v>89351821.154548943</v>
      </c>
      <c r="J9" s="16">
        <f t="shared" si="0"/>
        <v>1012312875.0004503</v>
      </c>
      <c r="K9" s="16">
        <f>SUM(K10:K19)</f>
        <v>927875757</v>
      </c>
      <c r="L9" s="16">
        <f>+K9-J9</f>
        <v>-84437118.000450253</v>
      </c>
      <c r="M9" s="17">
        <f>IFERROR(K9/J9,0)</f>
        <v>0.91658990013298736</v>
      </c>
    </row>
    <row r="10" spans="1:15" ht="14.25" x14ac:dyDescent="0.2">
      <c r="A10" s="18" t="s">
        <v>20</v>
      </c>
      <c r="B10" s="19">
        <f>+'[1]Nómina y honorarios 2016'!K21</f>
        <v>196432751.91297328</v>
      </c>
      <c r="C10" s="19">
        <f>+'[1]Nómina y honorarios 2016'!K48</f>
        <v>65463438.836553335</v>
      </c>
      <c r="D10" s="19">
        <f>+'[1]Nómina y honorarios 2016'!K57</f>
        <v>57059854.43643333</v>
      </c>
      <c r="E10" s="19">
        <f>+'[1]Nómina y honorarios 2016'!K65</f>
        <v>7050174.7134000007</v>
      </c>
      <c r="F10" s="19">
        <f>+'[1]Nómina y honorarios 2016'!K39</f>
        <v>58526945.380843334</v>
      </c>
      <c r="G10" s="19">
        <f>+'[1]Nómina y honorarios 2016'!K69</f>
        <v>203312309.62557665</v>
      </c>
      <c r="H10" s="20">
        <f t="shared" ref="H10:H20" si="1">+B10+C10+D10+G10+E10+F10</f>
        <v>587845474.90577984</v>
      </c>
      <c r="I10" s="19">
        <f>+'[1]Nómina y honorarios 2016'!K12</f>
        <v>38580415.752666667</v>
      </c>
      <c r="J10" s="19">
        <f t="shared" ref="J10:J19" si="2">+H10+I10</f>
        <v>626425890.65844655</v>
      </c>
      <c r="K10" s="19">
        <v>596121090</v>
      </c>
      <c r="L10" s="19">
        <f t="shared" ref="L10:L19" si="3">+K10-J10</f>
        <v>-30304800.65844655</v>
      </c>
      <c r="M10" s="21">
        <f t="shared" ref="M10:M20" si="4">IFERROR(K10/J10,0)</f>
        <v>0.95162268815774409</v>
      </c>
      <c r="O10" s="22"/>
    </row>
    <row r="11" spans="1:15" ht="14.25" x14ac:dyDescent="0.2">
      <c r="A11" s="18" t="s">
        <v>21</v>
      </c>
      <c r="B11" s="19">
        <v>14907901.04872001</v>
      </c>
      <c r="C11" s="19">
        <v>5181929.077560002</v>
      </c>
      <c r="D11" s="19">
        <v>4261598.6137999985</v>
      </c>
      <c r="E11" s="19">
        <v>522953</v>
      </c>
      <c r="F11" s="19">
        <v>4592239.4269800019</v>
      </c>
      <c r="G11" s="19">
        <v>15855685.684180006</v>
      </c>
      <c r="H11" s="20">
        <f t="shared" si="1"/>
        <v>45322306.851240017</v>
      </c>
      <c r="I11" s="19">
        <v>2257827.1804999998</v>
      </c>
      <c r="J11" s="19">
        <f t="shared" si="2"/>
        <v>47580134.031740017</v>
      </c>
      <c r="K11" s="19">
        <v>32678023</v>
      </c>
      <c r="L11" s="19">
        <f t="shared" si="3"/>
        <v>-14902111.031740017</v>
      </c>
      <c r="M11" s="21">
        <f t="shared" si="4"/>
        <v>0.68679972566283576</v>
      </c>
    </row>
    <row r="12" spans="1:15" ht="14.25" x14ac:dyDescent="0.2">
      <c r="A12" s="18" t="s">
        <v>22</v>
      </c>
      <c r="B12" s="19">
        <v>14252410.135899991</v>
      </c>
      <c r="C12" s="19">
        <v>3610627.6719500013</v>
      </c>
      <c r="D12" s="19">
        <v>2324054.3422500016</v>
      </c>
      <c r="E12" s="19">
        <v>581059</v>
      </c>
      <c r="F12" s="19">
        <v>2888600.6087250011</v>
      </c>
      <c r="G12" s="19">
        <v>15972237.240300007</v>
      </c>
      <c r="H12" s="20">
        <f t="shared" si="1"/>
        <v>39628988.999125004</v>
      </c>
      <c r="I12" s="19">
        <v>2523458.3800000008</v>
      </c>
      <c r="J12" s="19">
        <f t="shared" si="2"/>
        <v>42152447.379125006</v>
      </c>
      <c r="K12" s="19">
        <v>38662603</v>
      </c>
      <c r="L12" s="19">
        <f t="shared" si="3"/>
        <v>-3489844.3791250065</v>
      </c>
      <c r="M12" s="21">
        <f t="shared" si="4"/>
        <v>0.91720897371066368</v>
      </c>
    </row>
    <row r="13" spans="1:15" ht="14.25" x14ac:dyDescent="0.2">
      <c r="A13" s="18" t="s">
        <v>23</v>
      </c>
      <c r="B13" s="23">
        <v>14171283.850000009</v>
      </c>
      <c r="C13" s="23"/>
      <c r="D13" s="23"/>
      <c r="E13" s="19"/>
      <c r="F13" s="20"/>
      <c r="G13" s="20"/>
      <c r="H13" s="20">
        <f t="shared" si="1"/>
        <v>14171283.850000009</v>
      </c>
      <c r="I13" s="19">
        <v>32128353.796800017</v>
      </c>
      <c r="J13" s="19">
        <f>+H13+I13</f>
        <v>46299637.646800026</v>
      </c>
      <c r="K13" s="19">
        <v>43870398</v>
      </c>
      <c r="L13" s="19">
        <f t="shared" si="3"/>
        <v>-2429239.6468000263</v>
      </c>
      <c r="M13" s="21">
        <f t="shared" si="4"/>
        <v>0.94753221039586422</v>
      </c>
    </row>
    <row r="14" spans="1:15" ht="14.25" x14ac:dyDescent="0.2">
      <c r="A14" s="18" t="s">
        <v>24</v>
      </c>
      <c r="B14" s="19">
        <v>856141.00000000047</v>
      </c>
      <c r="C14" s="19">
        <v>213540.00000000006</v>
      </c>
      <c r="D14" s="19">
        <v>213540.00000000006</v>
      </c>
      <c r="E14" s="19"/>
      <c r="F14" s="19">
        <v>213540.00000000006</v>
      </c>
      <c r="G14" s="19">
        <v>641160.00000000047</v>
      </c>
      <c r="H14" s="20">
        <f t="shared" si="1"/>
        <v>2137921.0000000009</v>
      </c>
      <c r="I14" s="19"/>
      <c r="J14" s="19">
        <f t="shared" si="2"/>
        <v>2137921.0000000009</v>
      </c>
      <c r="K14" s="19">
        <v>2136941</v>
      </c>
      <c r="L14" s="19">
        <f t="shared" si="3"/>
        <v>-980.00000000093132</v>
      </c>
      <c r="M14" s="21">
        <f t="shared" si="4"/>
        <v>0.9995416107517533</v>
      </c>
    </row>
    <row r="15" spans="1:15" ht="14.25" x14ac:dyDescent="0.2">
      <c r="A15" s="18" t="s">
        <v>25</v>
      </c>
      <c r="B15" s="19">
        <v>14252410.135899991</v>
      </c>
      <c r="C15" s="19">
        <v>3610627.6719500013</v>
      </c>
      <c r="D15" s="19">
        <v>2324054.3422440812</v>
      </c>
      <c r="E15" s="19">
        <v>581059.06650000019</v>
      </c>
      <c r="F15" s="19">
        <v>2888600.6087250011</v>
      </c>
      <c r="G15" s="19">
        <v>15972237.240300007</v>
      </c>
      <c r="H15" s="20">
        <f t="shared" si="1"/>
        <v>39628989.065619081</v>
      </c>
      <c r="I15" s="19">
        <v>2523458.3800000008</v>
      </c>
      <c r="J15" s="19">
        <f t="shared" si="2"/>
        <v>42152447.445619084</v>
      </c>
      <c r="K15" s="19">
        <v>38659315</v>
      </c>
      <c r="L15" s="19">
        <f t="shared" si="3"/>
        <v>-3493132.4456190839</v>
      </c>
      <c r="M15" s="21">
        <f t="shared" si="4"/>
        <v>0.91713096967559049</v>
      </c>
      <c r="N15" s="24"/>
      <c r="O15" s="24"/>
    </row>
    <row r="16" spans="1:15" ht="14.25" x14ac:dyDescent="0.2">
      <c r="A16" s="18" t="s">
        <v>26</v>
      </c>
      <c r="B16" s="19">
        <v>1710288.8163079992</v>
      </c>
      <c r="C16" s="19">
        <v>433276.12063400005</v>
      </c>
      <c r="D16" s="19">
        <v>278886.00107</v>
      </c>
      <c r="E16" s="19">
        <v>69727.007979999995</v>
      </c>
      <c r="F16" s="19">
        <v>346632.07304699998</v>
      </c>
      <c r="G16" s="19">
        <v>2042485.5616269987</v>
      </c>
      <c r="H16" s="20">
        <f t="shared" si="1"/>
        <v>4881295.5806659982</v>
      </c>
      <c r="I16" s="19">
        <v>302814.01139999996</v>
      </c>
      <c r="J16" s="19">
        <f t="shared" si="2"/>
        <v>5184109.5920659984</v>
      </c>
      <c r="K16" s="19">
        <v>4141421</v>
      </c>
      <c r="L16" s="19">
        <f t="shared" si="3"/>
        <v>-1042688.5920659984</v>
      </c>
      <c r="M16" s="21">
        <f t="shared" si="4"/>
        <v>0.79886833533346258</v>
      </c>
      <c r="N16" s="24"/>
      <c r="O16" s="24"/>
    </row>
    <row r="17" spans="1:13" ht="14.25" x14ac:dyDescent="0.2">
      <c r="A17" s="18" t="s">
        <v>27</v>
      </c>
      <c r="B17" s="19">
        <v>41093489.093258828</v>
      </c>
      <c r="C17" s="19">
        <v>13414376.077810496</v>
      </c>
      <c r="D17" s="19">
        <v>10042743.86284598</v>
      </c>
      <c r="E17" s="19">
        <v>1528580.8780065086</v>
      </c>
      <c r="F17" s="19">
        <v>11572985.872280348</v>
      </c>
      <c r="G17" s="19">
        <v>46701691.419944257</v>
      </c>
      <c r="H17" s="20">
        <f t="shared" si="1"/>
        <v>124353867.20414641</v>
      </c>
      <c r="I17" s="19">
        <v>7641338.2154222466</v>
      </c>
      <c r="J17" s="19">
        <f t="shared" si="2"/>
        <v>131995205.41956866</v>
      </c>
      <c r="K17" s="19">
        <v>120761689</v>
      </c>
      <c r="L17" s="19">
        <f t="shared" si="3"/>
        <v>-11233516.419568658</v>
      </c>
      <c r="M17" s="21">
        <f t="shared" si="4"/>
        <v>0.91489451163122881</v>
      </c>
    </row>
    <row r="18" spans="1:13" ht="14.25" x14ac:dyDescent="0.2">
      <c r="A18" s="18" t="s">
        <v>28</v>
      </c>
      <c r="B18" s="19">
        <v>9790529.5289344043</v>
      </c>
      <c r="C18" s="19">
        <v>3085808.0602112003</v>
      </c>
      <c r="D18" s="19">
        <v>2416156.8911359999</v>
      </c>
      <c r="E18" s="19">
        <v>365407.51206399989</v>
      </c>
      <c r="F18" s="19">
        <v>2619588.9450496007</v>
      </c>
      <c r="G18" s="19">
        <v>10612620.791193604</v>
      </c>
      <c r="H18" s="20">
        <f t="shared" si="1"/>
        <v>28890111.728588812</v>
      </c>
      <c r="I18" s="19">
        <v>1501315.1945599997</v>
      </c>
      <c r="J18" s="19">
        <f t="shared" si="2"/>
        <v>30391426.923148811</v>
      </c>
      <c r="K18" s="19">
        <v>22596204</v>
      </c>
      <c r="L18" s="19">
        <f t="shared" si="3"/>
        <v>-7795222.9231488109</v>
      </c>
      <c r="M18" s="21">
        <f t="shared" si="4"/>
        <v>0.74350585963401161</v>
      </c>
    </row>
    <row r="19" spans="1:13" ht="14.25" x14ac:dyDescent="0.2">
      <c r="A19" s="18" t="s">
        <v>29</v>
      </c>
      <c r="B19" s="19">
        <v>12233011.911168005</v>
      </c>
      <c r="C19" s="19">
        <v>3858110.0752639994</v>
      </c>
      <c r="D19" s="19">
        <v>3020846.1139199995</v>
      </c>
      <c r="E19" s="19">
        <v>457209.39008000004</v>
      </c>
      <c r="F19" s="19">
        <v>3275686.1813119994</v>
      </c>
      <c r="G19" s="19">
        <v>13255950.988992002</v>
      </c>
      <c r="H19" s="20">
        <f t="shared" si="1"/>
        <v>36100814.660736009</v>
      </c>
      <c r="I19" s="19">
        <v>1892840.2432000004</v>
      </c>
      <c r="J19" s="19">
        <f t="shared" si="2"/>
        <v>37993654.903936014</v>
      </c>
      <c r="K19" s="19">
        <v>28248073</v>
      </c>
      <c r="L19" s="19">
        <f t="shared" si="3"/>
        <v>-9745581.9039360136</v>
      </c>
      <c r="M19" s="21">
        <f t="shared" si="4"/>
        <v>0.74349448799866835</v>
      </c>
    </row>
    <row r="20" spans="1:13" ht="15" x14ac:dyDescent="0.25">
      <c r="A20" s="25" t="s">
        <v>30</v>
      </c>
      <c r="B20" s="26">
        <f t="shared" ref="B20:G20" si="5">SUM(B10:B19)</f>
        <v>319700217.43316251</v>
      </c>
      <c r="C20" s="26">
        <f t="shared" si="5"/>
        <v>98871733.591933042</v>
      </c>
      <c r="D20" s="26">
        <f t="shared" si="5"/>
        <v>81941734.603699401</v>
      </c>
      <c r="E20" s="26">
        <f t="shared" si="5"/>
        <v>11156170.56803051</v>
      </c>
      <c r="F20" s="26">
        <f t="shared" si="5"/>
        <v>86924819.096962273</v>
      </c>
      <c r="G20" s="26">
        <f t="shared" si="5"/>
        <v>324366378.55211347</v>
      </c>
      <c r="H20" s="26">
        <f t="shared" si="1"/>
        <v>922961053.84590125</v>
      </c>
      <c r="I20" s="26">
        <f>SUM(I10:I19)</f>
        <v>89351821.154548943</v>
      </c>
      <c r="J20" s="26">
        <f>SUM(J10:J19)</f>
        <v>1012312875.0004503</v>
      </c>
      <c r="K20" s="26">
        <f>SUM(K10:K19)</f>
        <v>927875757</v>
      </c>
      <c r="L20" s="26">
        <f>+K20-J20</f>
        <v>-84437118.000450253</v>
      </c>
      <c r="M20" s="17">
        <f t="shared" si="4"/>
        <v>0.91658990013298736</v>
      </c>
    </row>
    <row r="21" spans="1:13" ht="15" x14ac:dyDescent="0.25">
      <c r="A21" s="12" t="s">
        <v>31</v>
      </c>
      <c r="B21" s="19"/>
      <c r="C21" s="19"/>
      <c r="D21" s="19"/>
      <c r="E21" s="19"/>
      <c r="F21" s="19"/>
      <c r="G21" s="19"/>
      <c r="H21" s="19"/>
      <c r="I21" s="26"/>
      <c r="J21" s="19"/>
      <c r="K21" s="19"/>
      <c r="L21" s="19"/>
      <c r="M21" s="17"/>
    </row>
    <row r="22" spans="1:13" ht="14.25" x14ac:dyDescent="0.2">
      <c r="A22" s="27" t="s">
        <v>32</v>
      </c>
      <c r="B22" s="28">
        <f>+[1]Funcionamiento!I10</f>
        <v>20766511</v>
      </c>
      <c r="C22" s="28">
        <f>+[1]Funcionamiento!J10</f>
        <v>0</v>
      </c>
      <c r="D22" s="28">
        <v>0</v>
      </c>
      <c r="E22" s="28">
        <v>0</v>
      </c>
      <c r="F22" s="28">
        <f>+[1]Funcionamiento!L10</f>
        <v>0</v>
      </c>
      <c r="G22" s="28">
        <f>+[1]Funcionamiento!G10</f>
        <v>4679572</v>
      </c>
      <c r="H22" s="28">
        <f t="shared" ref="H22:H36" si="6">+B22+C22+D22+G22+E22+F22</f>
        <v>25446083</v>
      </c>
      <c r="I22" s="19">
        <f>+[1]Funcionamiento!F10</f>
        <v>33880872</v>
      </c>
      <c r="J22" s="19">
        <f>+I22+H22</f>
        <v>59326955</v>
      </c>
      <c r="K22" s="19">
        <v>48679500.210000001</v>
      </c>
      <c r="L22" s="19">
        <f t="shared" ref="L22:L38" si="7">+K22-J22</f>
        <v>-10647454.789999999</v>
      </c>
      <c r="M22" s="21">
        <f t="shared" ref="M22:M38" si="8">IFERROR(K22/J22,0)</f>
        <v>0.82052922166661002</v>
      </c>
    </row>
    <row r="23" spans="1:13" ht="14.25" x14ac:dyDescent="0.2">
      <c r="A23" s="27" t="s">
        <v>33</v>
      </c>
      <c r="B23" s="19">
        <f>+[1]Funcionamiento!I24</f>
        <v>28294453.004000001</v>
      </c>
      <c r="C23" s="28">
        <f>+[1]Funcionamiento!J24</f>
        <v>2608677</v>
      </c>
      <c r="D23" s="28">
        <v>0</v>
      </c>
      <c r="E23" s="19">
        <f>+[1]Funcionamiento!H24</f>
        <v>3768000</v>
      </c>
      <c r="F23" s="28">
        <f>+[1]Funcionamiento!L24</f>
        <v>0</v>
      </c>
      <c r="G23" s="19">
        <f>+[1]Funcionamiento!G24</f>
        <v>5994699</v>
      </c>
      <c r="H23" s="28">
        <f t="shared" si="6"/>
        <v>40665829.004000001</v>
      </c>
      <c r="I23" s="19">
        <f>+[1]Funcionamiento!F24</f>
        <v>4023930.1017000005</v>
      </c>
      <c r="J23" s="19">
        <f t="shared" ref="J23:J36" si="9">+H23+I23</f>
        <v>44689759.105700001</v>
      </c>
      <c r="K23" s="19">
        <v>34483825</v>
      </c>
      <c r="L23" s="19">
        <f t="shared" si="7"/>
        <v>-10205934.105700001</v>
      </c>
      <c r="M23" s="21">
        <f t="shared" si="8"/>
        <v>0.7716270056063409</v>
      </c>
    </row>
    <row r="24" spans="1:13" ht="14.25" x14ac:dyDescent="0.2">
      <c r="A24" s="27" t="s">
        <v>34</v>
      </c>
      <c r="B24" s="28">
        <f>+[1]Funcionamiento!I14</f>
        <v>0</v>
      </c>
      <c r="C24" s="28">
        <v>0</v>
      </c>
      <c r="D24" s="28">
        <v>0</v>
      </c>
      <c r="E24" s="28">
        <v>0</v>
      </c>
      <c r="F24" s="28"/>
      <c r="G24" s="28">
        <f>+[1]Funcionamiento!G14</f>
        <v>4049651.0000000019</v>
      </c>
      <c r="H24" s="28">
        <f t="shared" si="6"/>
        <v>4049651.0000000019</v>
      </c>
      <c r="I24" s="19">
        <f>+[1]Funcionamiento!F14</f>
        <v>5154932</v>
      </c>
      <c r="J24" s="19">
        <f t="shared" si="9"/>
        <v>9204583.0000000019</v>
      </c>
      <c r="K24" s="19">
        <v>3794711.4</v>
      </c>
      <c r="L24" s="19">
        <f t="shared" si="7"/>
        <v>-5409871.6000000015</v>
      </c>
      <c r="M24" s="21">
        <f t="shared" si="8"/>
        <v>0.4122632605952925</v>
      </c>
    </row>
    <row r="25" spans="1:13" ht="14.25" x14ac:dyDescent="0.2">
      <c r="A25" s="27" t="s">
        <v>35</v>
      </c>
      <c r="B25" s="19">
        <f>+[1]Funcionamiento!I26</f>
        <v>13728195</v>
      </c>
      <c r="C25" s="28">
        <f>+[1]Funcionamiento!J26</f>
        <v>4207180.7150000017</v>
      </c>
      <c r="D25" s="28">
        <f>+[1]Funcionamiento!K26</f>
        <v>2171068.5500000007</v>
      </c>
      <c r="E25" s="28">
        <f>+[1]Funcionamiento!H26</f>
        <v>1900540</v>
      </c>
      <c r="F25" s="28">
        <f>+[1]Funcionamiento!L26</f>
        <v>7271564.7094000001</v>
      </c>
      <c r="G25" s="28">
        <f>+[1]Funcionamiento!G26</f>
        <v>102916011</v>
      </c>
      <c r="H25" s="28">
        <f t="shared" si="6"/>
        <v>132194559.9744</v>
      </c>
      <c r="I25" s="19">
        <f>+[1]Funcionamiento!F26</f>
        <v>22929554</v>
      </c>
      <c r="J25" s="19">
        <f t="shared" si="9"/>
        <v>155124113.97439998</v>
      </c>
      <c r="K25" s="19">
        <v>112494499</v>
      </c>
      <c r="L25" s="19">
        <f t="shared" si="7"/>
        <v>-42629614.974399984</v>
      </c>
      <c r="M25" s="21">
        <f t="shared" si="8"/>
        <v>0.72519027582368578</v>
      </c>
    </row>
    <row r="26" spans="1:13" ht="14.25" x14ac:dyDescent="0.2">
      <c r="A26" s="27" t="s">
        <v>36</v>
      </c>
      <c r="B26" s="28">
        <f>+[1]Funcionamiento!I28</f>
        <v>511600</v>
      </c>
      <c r="C26" s="28">
        <f>+[1]Funcionamiento!J28</f>
        <v>1555972.9687000001</v>
      </c>
      <c r="D26" s="28">
        <f>+[1]Funcionamiento!K28</f>
        <v>1107418</v>
      </c>
      <c r="E26" s="28">
        <v>0</v>
      </c>
      <c r="F26" s="28">
        <f>+[1]Funcionamiento!L28</f>
        <v>1147442.6041000001</v>
      </c>
      <c r="G26" s="28">
        <f>+[1]Funcionamiento!G28</f>
        <v>1410700</v>
      </c>
      <c r="H26" s="28">
        <f t="shared" si="6"/>
        <v>5733133.5728000002</v>
      </c>
      <c r="I26" s="19">
        <f>+[1]Funcionamiento!F28</f>
        <v>2977606.6242</v>
      </c>
      <c r="J26" s="19">
        <f t="shared" si="9"/>
        <v>8710740.1970000006</v>
      </c>
      <c r="K26" s="19">
        <v>2340900</v>
      </c>
      <c r="L26" s="19">
        <f t="shared" si="7"/>
        <v>-6369840.1970000006</v>
      </c>
      <c r="M26" s="21">
        <f t="shared" si="8"/>
        <v>0.26873720798218864</v>
      </c>
    </row>
    <row r="27" spans="1:13" ht="14.25" x14ac:dyDescent="0.2">
      <c r="A27" s="18" t="s">
        <v>37</v>
      </c>
      <c r="B27" s="28">
        <v>0</v>
      </c>
      <c r="C27" s="28">
        <v>0</v>
      </c>
      <c r="D27" s="28">
        <v>0</v>
      </c>
      <c r="E27" s="28"/>
      <c r="F27" s="28"/>
      <c r="G27" s="28"/>
      <c r="H27" s="28">
        <f t="shared" si="6"/>
        <v>0</v>
      </c>
      <c r="I27" s="19">
        <v>15021437</v>
      </c>
      <c r="J27" s="19">
        <f t="shared" si="9"/>
        <v>15021437</v>
      </c>
      <c r="K27" s="19">
        <v>15000000</v>
      </c>
      <c r="L27" s="19">
        <f t="shared" si="7"/>
        <v>-21437</v>
      </c>
      <c r="M27" s="21">
        <f t="shared" si="8"/>
        <v>0.99857290617402317</v>
      </c>
    </row>
    <row r="28" spans="1:13" ht="14.25" x14ac:dyDescent="0.2">
      <c r="A28" s="27" t="s">
        <v>38</v>
      </c>
      <c r="B28" s="28">
        <f>+[1]Funcionamiento!I16</f>
        <v>2106662.7291999999</v>
      </c>
      <c r="C28" s="28">
        <f>+[1]Funcionamiento!J16</f>
        <v>2091882.7969000004</v>
      </c>
      <c r="D28" s="28">
        <f>+[1]Funcionamiento!K16</f>
        <v>2091882.7969000004</v>
      </c>
      <c r="E28" s="28">
        <f>+[1]Funcionamiento!H16</f>
        <v>2091882.7969000004</v>
      </c>
      <c r="F28" s="28">
        <f>+[1]Funcionamiento!L16</f>
        <v>2091882.7291999999</v>
      </c>
      <c r="G28" s="28">
        <f>+[1]Funcionamiento!G16</f>
        <v>2058190.7969000004</v>
      </c>
      <c r="H28" s="28">
        <f t="shared" si="6"/>
        <v>12532384.646000002</v>
      </c>
      <c r="I28" s="19">
        <f>+[1]Funcionamiento!F16</f>
        <v>6521012</v>
      </c>
      <c r="J28" s="19">
        <f t="shared" si="9"/>
        <v>19053396.646000002</v>
      </c>
      <c r="K28" s="19">
        <v>14456543</v>
      </c>
      <c r="L28" s="19">
        <f t="shared" si="7"/>
        <v>-4596853.6460000016</v>
      </c>
      <c r="M28" s="21">
        <f t="shared" si="8"/>
        <v>0.75873836400896799</v>
      </c>
    </row>
    <row r="29" spans="1:13" ht="14.25" x14ac:dyDescent="0.2">
      <c r="A29" s="27" t="s">
        <v>39</v>
      </c>
      <c r="B29" s="28">
        <f>+[1]Funcionamiento!I30</f>
        <v>2689619</v>
      </c>
      <c r="C29" s="28">
        <f>+[1]Funcionamiento!J30</f>
        <v>233850</v>
      </c>
      <c r="D29" s="28">
        <f>+[1]Funcionamiento!K30</f>
        <v>2501386</v>
      </c>
      <c r="E29" s="28">
        <f>+[1]Funcionamiento!H30</f>
        <v>1601550.0000000002</v>
      </c>
      <c r="F29" s="28"/>
      <c r="G29" s="28">
        <f>+[1]Funcionamiento!G30</f>
        <v>16324479</v>
      </c>
      <c r="H29" s="28">
        <f t="shared" si="6"/>
        <v>23350884</v>
      </c>
      <c r="I29" s="19">
        <f>+[1]Funcionamiento!F30</f>
        <v>20194041</v>
      </c>
      <c r="J29" s="19">
        <f t="shared" si="9"/>
        <v>43544925</v>
      </c>
      <c r="K29" s="19">
        <v>20825340</v>
      </c>
      <c r="L29" s="19">
        <f t="shared" si="7"/>
        <v>-22719585</v>
      </c>
      <c r="M29" s="21">
        <f t="shared" si="8"/>
        <v>0.47824953194890107</v>
      </c>
    </row>
    <row r="30" spans="1:13" ht="14.25" x14ac:dyDescent="0.2">
      <c r="A30" s="27" t="s">
        <v>40</v>
      </c>
      <c r="B30" s="28">
        <v>0</v>
      </c>
      <c r="C30" s="28">
        <v>0</v>
      </c>
      <c r="D30" s="28">
        <v>0</v>
      </c>
      <c r="E30" s="28"/>
      <c r="F30" s="28"/>
      <c r="G30" s="28">
        <f>+[1]Funcionamiento!G34</f>
        <v>10170907.000000007</v>
      </c>
      <c r="H30" s="28">
        <f t="shared" si="6"/>
        <v>10170907.000000007</v>
      </c>
      <c r="I30" s="19">
        <f>+[1]Funcionamiento!F34</f>
        <v>26674381.163825005</v>
      </c>
      <c r="J30" s="19">
        <f t="shared" si="9"/>
        <v>36845288.163825013</v>
      </c>
      <c r="K30" s="19">
        <v>36583378</v>
      </c>
      <c r="L30" s="19">
        <f t="shared" si="7"/>
        <v>-261910.16382501274</v>
      </c>
      <c r="M30" s="21">
        <f t="shared" si="8"/>
        <v>0.99289162395309594</v>
      </c>
    </row>
    <row r="31" spans="1:13" ht="14.25" x14ac:dyDescent="0.2">
      <c r="A31" s="27" t="s">
        <v>41</v>
      </c>
      <c r="B31" s="19">
        <f>+[1]Funcionamiento!I22</f>
        <v>5191985</v>
      </c>
      <c r="C31" s="19">
        <f>+[1]Funcionamiento!J22</f>
        <v>10265104.941500001</v>
      </c>
      <c r="D31" s="19">
        <f>+[1]Funcionamiento!K22</f>
        <v>4419389.0650000004</v>
      </c>
      <c r="E31" s="19"/>
      <c r="F31" s="28">
        <f>+[1]Funcionamiento!L22</f>
        <v>8799914.4299999997</v>
      </c>
      <c r="G31" s="19">
        <f>+[1]Funcionamiento!G22</f>
        <v>110484394.95319998</v>
      </c>
      <c r="H31" s="28">
        <f t="shared" si="6"/>
        <v>139160788.3897</v>
      </c>
      <c r="I31" s="19">
        <f>+[1]Funcionamiento!F22</f>
        <v>19332271</v>
      </c>
      <c r="J31" s="19">
        <f t="shared" si="9"/>
        <v>158493059.3897</v>
      </c>
      <c r="K31" s="19">
        <v>74867276.859999999</v>
      </c>
      <c r="L31" s="19">
        <f t="shared" si="7"/>
        <v>-83625782.529699996</v>
      </c>
      <c r="M31" s="21">
        <f t="shared" si="8"/>
        <v>0.47236943465087411</v>
      </c>
    </row>
    <row r="32" spans="1:13" ht="14.25" x14ac:dyDescent="0.2">
      <c r="A32" s="27" t="s">
        <v>42</v>
      </c>
      <c r="B32" s="28">
        <v>0</v>
      </c>
      <c r="C32" s="28">
        <v>0</v>
      </c>
      <c r="D32" s="28">
        <v>0</v>
      </c>
      <c r="E32" s="28"/>
      <c r="F32" s="28"/>
      <c r="G32" s="28"/>
      <c r="H32" s="28">
        <f t="shared" si="6"/>
        <v>0</v>
      </c>
      <c r="I32" s="19">
        <f>+[1]Funcionamiento!F12</f>
        <v>1834715.9121000003</v>
      </c>
      <c r="J32" s="19">
        <f t="shared" si="9"/>
        <v>1834715.9121000003</v>
      </c>
      <c r="K32" s="19">
        <v>1809651</v>
      </c>
      <c r="L32" s="19">
        <f t="shared" si="7"/>
        <v>-25064.912100000307</v>
      </c>
      <c r="M32" s="21">
        <f t="shared" si="8"/>
        <v>0.98633853233915036</v>
      </c>
    </row>
    <row r="33" spans="1:13" ht="14.25" x14ac:dyDescent="0.2">
      <c r="A33" s="27" t="s">
        <v>43</v>
      </c>
      <c r="B33" s="19">
        <f>+[1]Funcionamiento!I18</f>
        <v>3438777.5941000003</v>
      </c>
      <c r="C33" s="19">
        <f>+[1]Funcionamiento!J18</f>
        <v>1236484</v>
      </c>
      <c r="D33" s="19">
        <f>+[1]Funcionamiento!K18</f>
        <v>439664.19927500002</v>
      </c>
      <c r="E33" s="19"/>
      <c r="F33" s="19">
        <f>+[1]Funcionamiento!L18</f>
        <v>6106039.4588000011</v>
      </c>
      <c r="G33" s="19">
        <f>+[1]Funcionamiento!G18</f>
        <v>3965699</v>
      </c>
      <c r="H33" s="28">
        <f t="shared" si="6"/>
        <v>15186664.252175001</v>
      </c>
      <c r="I33" s="19">
        <f>+[1]Funcionamiento!F18</f>
        <v>8424495.527675001</v>
      </c>
      <c r="J33" s="19">
        <f t="shared" si="9"/>
        <v>23611159.779850002</v>
      </c>
      <c r="K33" s="19">
        <v>16741139</v>
      </c>
      <c r="L33" s="19">
        <f t="shared" si="7"/>
        <v>-6870020.7798500024</v>
      </c>
      <c r="M33" s="21">
        <f t="shared" si="8"/>
        <v>0.70903501378560208</v>
      </c>
    </row>
    <row r="34" spans="1:13" ht="14.25" x14ac:dyDescent="0.2">
      <c r="A34" s="27" t="s">
        <v>44</v>
      </c>
      <c r="B34" s="28">
        <f>+[1]Funcionamiento!I20</f>
        <v>1113646.0000000002</v>
      </c>
      <c r="C34" s="28">
        <v>0</v>
      </c>
      <c r="D34" s="28">
        <v>0</v>
      </c>
      <c r="E34" s="28"/>
      <c r="F34" s="28">
        <f>+[1]Funcionamiento!L20</f>
        <v>8000000</v>
      </c>
      <c r="G34" s="28">
        <f>+[1]Funcionamiento!G20</f>
        <v>3218580.5391000006</v>
      </c>
      <c r="H34" s="28">
        <f t="shared" si="6"/>
        <v>12332226.539100001</v>
      </c>
      <c r="I34" s="19">
        <f>+[1]Funcionamiento!F20</f>
        <v>13011878.889975</v>
      </c>
      <c r="J34" s="19">
        <f>+H34+I34</f>
        <v>25344105.429075003</v>
      </c>
      <c r="K34" s="19">
        <v>21551085</v>
      </c>
      <c r="L34" s="19">
        <f t="shared" si="7"/>
        <v>-3793020.4290750027</v>
      </c>
      <c r="M34" s="21">
        <f t="shared" si="8"/>
        <v>0.85033914731416749</v>
      </c>
    </row>
    <row r="35" spans="1:13" ht="14.25" x14ac:dyDescent="0.2">
      <c r="A35" s="27" t="s">
        <v>45</v>
      </c>
      <c r="B35" s="28">
        <v>0</v>
      </c>
      <c r="C35" s="28">
        <v>0</v>
      </c>
      <c r="D35" s="28">
        <v>0</v>
      </c>
      <c r="E35" s="28"/>
      <c r="F35" s="28"/>
      <c r="G35" s="28"/>
      <c r="H35" s="28">
        <f t="shared" si="6"/>
        <v>0</v>
      </c>
      <c r="I35" s="19">
        <f>+[1]Funcionamiento!F36</f>
        <v>13251473</v>
      </c>
      <c r="J35" s="19">
        <f t="shared" si="9"/>
        <v>13251473</v>
      </c>
      <c r="K35" s="19">
        <v>13251473</v>
      </c>
      <c r="L35" s="19">
        <f t="shared" si="7"/>
        <v>0</v>
      </c>
      <c r="M35" s="21">
        <f t="shared" si="8"/>
        <v>1</v>
      </c>
    </row>
    <row r="36" spans="1:13" ht="14.25" x14ac:dyDescent="0.2">
      <c r="A36" s="27" t="s">
        <v>46</v>
      </c>
      <c r="B36" s="28">
        <v>0</v>
      </c>
      <c r="C36" s="28">
        <v>0</v>
      </c>
      <c r="D36" s="28">
        <v>0</v>
      </c>
      <c r="E36" s="28"/>
      <c r="F36" s="28"/>
      <c r="G36" s="28"/>
      <c r="H36" s="28">
        <f t="shared" si="6"/>
        <v>0</v>
      </c>
      <c r="I36" s="19">
        <f>+[1]Funcionamiento!F32</f>
        <v>10715006.923700001</v>
      </c>
      <c r="J36" s="19">
        <f t="shared" si="9"/>
        <v>10715006.923700001</v>
      </c>
      <c r="K36" s="19">
        <v>6353357</v>
      </c>
      <c r="L36" s="19">
        <f t="shared" si="7"/>
        <v>-4361649.9237000011</v>
      </c>
      <c r="M36" s="21">
        <f t="shared" si="8"/>
        <v>0.59294007416339789</v>
      </c>
    </row>
    <row r="37" spans="1:13" ht="15" x14ac:dyDescent="0.25">
      <c r="A37" s="25" t="s">
        <v>47</v>
      </c>
      <c r="B37" s="26">
        <f>SUM(B22:B36)</f>
        <v>77841449.327299997</v>
      </c>
      <c r="C37" s="26">
        <f t="shared" ref="C37:I37" si="10">SUM(C22:C36)</f>
        <v>22199152.422100004</v>
      </c>
      <c r="D37" s="26">
        <f t="shared" si="10"/>
        <v>12730808.611175003</v>
      </c>
      <c r="E37" s="26">
        <f>SUM(E22:E36)</f>
        <v>9361972.7969000004</v>
      </c>
      <c r="F37" s="26">
        <f t="shared" si="10"/>
        <v>33416843.931500003</v>
      </c>
      <c r="G37" s="26">
        <f>SUM(G22:G36)</f>
        <v>265272884.28919998</v>
      </c>
      <c r="H37" s="29">
        <f t="shared" si="10"/>
        <v>420823111.37817496</v>
      </c>
      <c r="I37" s="26">
        <f t="shared" si="10"/>
        <v>203947607.14317501</v>
      </c>
      <c r="J37" s="26">
        <f>SUM(J22:J36)</f>
        <v>624770718.52135003</v>
      </c>
      <c r="K37" s="26">
        <f>SUM(K22:K36)</f>
        <v>423232678.47000003</v>
      </c>
      <c r="L37" s="26">
        <f t="shared" si="7"/>
        <v>-201538040.05135</v>
      </c>
      <c r="M37" s="17">
        <f t="shared" si="8"/>
        <v>0.6774207976194343</v>
      </c>
    </row>
    <row r="38" spans="1:13" ht="15" x14ac:dyDescent="0.25">
      <c r="A38" s="30" t="s">
        <v>48</v>
      </c>
      <c r="B38" s="31">
        <f t="shared" ref="B38:G38" si="11">+B37+B20</f>
        <v>397541666.76046252</v>
      </c>
      <c r="C38" s="31">
        <f t="shared" si="11"/>
        <v>121070886.01403305</v>
      </c>
      <c r="D38" s="31">
        <f t="shared" si="11"/>
        <v>94672543.214874402</v>
      </c>
      <c r="E38" s="31">
        <f t="shared" si="11"/>
        <v>20518143.364930511</v>
      </c>
      <c r="F38" s="31">
        <f t="shared" si="11"/>
        <v>120341663.02846228</v>
      </c>
      <c r="G38" s="31">
        <f t="shared" si="11"/>
        <v>589639262.84131348</v>
      </c>
      <c r="H38" s="32">
        <f>+B38+C38+D38+G38+E38+F38</f>
        <v>1343784165.224076</v>
      </c>
      <c r="I38" s="31">
        <f>+I37+I20</f>
        <v>293299428.29772395</v>
      </c>
      <c r="J38" s="31">
        <f>+J37+J20</f>
        <v>1637083593.5218003</v>
      </c>
      <c r="K38" s="31">
        <f>+K37+K20</f>
        <v>1351108435.47</v>
      </c>
      <c r="L38" s="31">
        <f t="shared" si="7"/>
        <v>-285975158.05180025</v>
      </c>
      <c r="M38" s="33">
        <f t="shared" si="8"/>
        <v>0.82531426056467161</v>
      </c>
    </row>
    <row r="39" spans="1:13" ht="15" x14ac:dyDescent="0.2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ht="15" x14ac:dyDescent="0.25">
      <c r="A40" s="37" t="s">
        <v>49</v>
      </c>
      <c r="B40" s="38">
        <f>+B42</f>
        <v>1239821311.2312531</v>
      </c>
      <c r="C40" s="38">
        <f>+C137</f>
        <v>595784453</v>
      </c>
      <c r="D40" s="38">
        <f>+D159</f>
        <v>675342208</v>
      </c>
      <c r="E40" s="38">
        <f>+E193</f>
        <v>65421993</v>
      </c>
      <c r="F40" s="38">
        <f>+F73</f>
        <v>2243062212.6012001</v>
      </c>
      <c r="G40" s="38">
        <f>+G113</f>
        <v>4230736945.7302003</v>
      </c>
      <c r="H40" s="38">
        <f>+B40+C40+D40+G40+E40+F40</f>
        <v>9050169123.5626526</v>
      </c>
      <c r="I40" s="38">
        <v>0</v>
      </c>
      <c r="J40" s="38">
        <f>+I40+H40</f>
        <v>9050169123.5626526</v>
      </c>
      <c r="K40" s="38">
        <f>+K42+K73+K113+K137+K159+K193</f>
        <v>7493731566</v>
      </c>
      <c r="L40" s="38">
        <f>+K40-J40</f>
        <v>-1556437557.5626526</v>
      </c>
      <c r="M40" s="39">
        <f>IFERROR(K40/J40,0)</f>
        <v>0.82802116332717202</v>
      </c>
    </row>
    <row r="41" spans="1:13" ht="15" x14ac:dyDescent="0.2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 ht="15" x14ac:dyDescent="0.25">
      <c r="A42" s="37" t="s">
        <v>50</v>
      </c>
      <c r="B42" s="38">
        <f>+B43+B46+B57+B61+B65+B69</f>
        <v>1239821311.2312531</v>
      </c>
      <c r="C42" s="38"/>
      <c r="D42" s="38"/>
      <c r="E42" s="38"/>
      <c r="F42" s="38"/>
      <c r="G42" s="38"/>
      <c r="H42" s="38">
        <f>+H43+H46+H57+H61+H65+H69</f>
        <v>1239821311.2312531</v>
      </c>
      <c r="I42" s="38"/>
      <c r="J42" s="38">
        <f>+J43+J46+J57+J61+J65+J69</f>
        <v>1239821311.2312531</v>
      </c>
      <c r="K42" s="38">
        <f>+K43+K46+K57+K61+K65+K69</f>
        <v>1035528758</v>
      </c>
      <c r="L42" s="38">
        <f>+K42-J42</f>
        <v>-204292553.23125315</v>
      </c>
      <c r="M42" s="17">
        <f t="shared" ref="M42:M71" si="12">IFERROR(K42/J42,0)</f>
        <v>0.83522419611550924</v>
      </c>
    </row>
    <row r="43" spans="1:13" s="41" customFormat="1" ht="15" x14ac:dyDescent="0.25">
      <c r="A43" s="40" t="s">
        <v>51</v>
      </c>
      <c r="B43" s="26">
        <f>+SUM(B44:B45)</f>
        <v>155477459.29359999</v>
      </c>
      <c r="C43" s="26"/>
      <c r="D43" s="26"/>
      <c r="E43" s="26"/>
      <c r="F43" s="26"/>
      <c r="G43" s="26"/>
      <c r="H43" s="26">
        <f>+SUM(H44:H45)</f>
        <v>155477459.29359999</v>
      </c>
      <c r="I43" s="26"/>
      <c r="J43" s="26">
        <f>+SUM(J44:J45)</f>
        <v>155477459.29359999</v>
      </c>
      <c r="K43" s="26">
        <f>+SUM(K44:K45)</f>
        <v>67890515</v>
      </c>
      <c r="L43" s="26">
        <f>+K43-J43</f>
        <v>-87586944.293599993</v>
      </c>
      <c r="M43" s="17">
        <f t="shared" si="12"/>
        <v>0.43665824813741738</v>
      </c>
    </row>
    <row r="44" spans="1:13" s="41" customFormat="1" ht="15" hidden="1" outlineLevel="1" x14ac:dyDescent="0.25">
      <c r="A44" s="42" t="s">
        <v>52</v>
      </c>
      <c r="B44" s="19">
        <v>155477459.29359999</v>
      </c>
      <c r="C44" s="26"/>
      <c r="D44" s="26"/>
      <c r="E44" s="26"/>
      <c r="F44" s="26"/>
      <c r="G44" s="26"/>
      <c r="H44" s="19">
        <f>+B44+C44+D44+G44+E44+F44</f>
        <v>155477459.29359999</v>
      </c>
      <c r="I44" s="26"/>
      <c r="J44" s="20">
        <f>+H44+I44</f>
        <v>155477459.29359999</v>
      </c>
      <c r="K44" s="20">
        <v>67890515</v>
      </c>
      <c r="L44" s="20">
        <f>+K44-J44</f>
        <v>-87586944.293599993</v>
      </c>
      <c r="M44" s="21">
        <f t="shared" si="12"/>
        <v>0.43665824813741738</v>
      </c>
    </row>
    <row r="45" spans="1:13" s="41" customFormat="1" ht="15" hidden="1" outlineLevel="1" x14ac:dyDescent="0.25">
      <c r="A45" s="42" t="s">
        <v>53</v>
      </c>
      <c r="B45" s="19"/>
      <c r="C45" s="26"/>
      <c r="D45" s="26"/>
      <c r="E45" s="26"/>
      <c r="F45" s="26"/>
      <c r="G45" s="26"/>
      <c r="H45" s="19">
        <f>+B45+C45+D45+G45+E45+F45</f>
        <v>0</v>
      </c>
      <c r="I45" s="26"/>
      <c r="J45" s="20">
        <f>+H45+I45</f>
        <v>0</v>
      </c>
      <c r="K45" s="20"/>
      <c r="L45" s="20"/>
      <c r="M45" s="21">
        <f t="shared" si="12"/>
        <v>0</v>
      </c>
    </row>
    <row r="46" spans="1:13" s="41" customFormat="1" ht="15" collapsed="1" x14ac:dyDescent="0.25">
      <c r="A46" s="43" t="s">
        <v>54</v>
      </c>
      <c r="B46" s="16">
        <f>+B47+B48+B49+B56</f>
        <v>753619118.52140009</v>
      </c>
      <c r="C46" s="26"/>
      <c r="D46" s="26"/>
      <c r="E46" s="26"/>
      <c r="F46" s="26"/>
      <c r="G46" s="26"/>
      <c r="H46" s="16">
        <f>+H47+H48+H49+H56</f>
        <v>753619118.52140009</v>
      </c>
      <c r="I46" s="26"/>
      <c r="J46" s="16">
        <f>+J47+J48+J49+J56</f>
        <v>753619118.52140009</v>
      </c>
      <c r="K46" s="16">
        <f>+K47+K48+K49+K56</f>
        <v>695740181</v>
      </c>
      <c r="L46" s="16">
        <f t="shared" ref="L46:L71" si="13">+K46-J46</f>
        <v>-57878937.521400094</v>
      </c>
      <c r="M46" s="17">
        <f t="shared" si="12"/>
        <v>0.92319868737544963</v>
      </c>
    </row>
    <row r="47" spans="1:13" s="41" customFormat="1" ht="15" hidden="1" outlineLevel="1" x14ac:dyDescent="0.25">
      <c r="A47" s="42" t="s">
        <v>55</v>
      </c>
      <c r="B47" s="19">
        <f>107482835.85-5000000</f>
        <v>102482835.84999999</v>
      </c>
      <c r="C47" s="26"/>
      <c r="D47" s="26"/>
      <c r="E47" s="26"/>
      <c r="F47" s="26"/>
      <c r="G47" s="26"/>
      <c r="H47" s="19">
        <f>+B47+C47+D47+G47+E47+F47</f>
        <v>102482835.84999999</v>
      </c>
      <c r="I47" s="26"/>
      <c r="J47" s="20">
        <f>+H47+I47</f>
        <v>102482835.84999999</v>
      </c>
      <c r="K47" s="20">
        <v>71721415</v>
      </c>
      <c r="L47" s="20">
        <f t="shared" si="13"/>
        <v>-30761420.849999994</v>
      </c>
      <c r="M47" s="21">
        <f t="shared" si="12"/>
        <v>0.6998383134613464</v>
      </c>
    </row>
    <row r="48" spans="1:13" s="41" customFormat="1" ht="15" hidden="1" outlineLevel="1" x14ac:dyDescent="0.25">
      <c r="A48" s="42" t="s">
        <v>56</v>
      </c>
      <c r="B48" s="19">
        <f>27961658.92+5000000</f>
        <v>32961658.920000002</v>
      </c>
      <c r="C48" s="26"/>
      <c r="D48" s="26"/>
      <c r="E48" s="26"/>
      <c r="F48" s="26"/>
      <c r="G48" s="26"/>
      <c r="H48" s="19">
        <f>+B48+C48+D48+G48+E48+F48</f>
        <v>32961658.920000002</v>
      </c>
      <c r="I48" s="26"/>
      <c r="J48" s="20">
        <f>+H48+I48</f>
        <v>32961658.920000002</v>
      </c>
      <c r="K48" s="20">
        <v>28597238</v>
      </c>
      <c r="L48" s="20">
        <f t="shared" si="13"/>
        <v>-4364420.9200000018</v>
      </c>
      <c r="M48" s="21">
        <f t="shared" si="12"/>
        <v>0.86759098106704147</v>
      </c>
    </row>
    <row r="49" spans="1:13" s="41" customFormat="1" ht="15" hidden="1" outlineLevel="1" x14ac:dyDescent="0.25">
      <c r="A49" s="42" t="s">
        <v>57</v>
      </c>
      <c r="B49" s="16">
        <f>+B50+B53</f>
        <v>467389683</v>
      </c>
      <c r="C49" s="26"/>
      <c r="D49" s="26"/>
      <c r="E49" s="26"/>
      <c r="F49" s="26"/>
      <c r="G49" s="26"/>
      <c r="H49" s="16">
        <f>+B49+C49+D49+G49+E49+F49</f>
        <v>467389683</v>
      </c>
      <c r="I49" s="16"/>
      <c r="J49" s="16">
        <f>+H49+I49</f>
        <v>467389683</v>
      </c>
      <c r="K49" s="16">
        <f>+K50+K53</f>
        <v>455100017</v>
      </c>
      <c r="L49" s="16">
        <f t="shared" si="13"/>
        <v>-12289666</v>
      </c>
      <c r="M49" s="17">
        <f t="shared" si="12"/>
        <v>0.97370573967076635</v>
      </c>
    </row>
    <row r="50" spans="1:13" s="41" customFormat="1" ht="15" hidden="1" outlineLevel="2" x14ac:dyDescent="0.25">
      <c r="A50" s="42" t="s">
        <v>58</v>
      </c>
      <c r="B50" s="16">
        <f>SUM(B51:B52)</f>
        <v>330401303</v>
      </c>
      <c r="C50" s="26"/>
      <c r="D50" s="26"/>
      <c r="E50" s="26"/>
      <c r="F50" s="26"/>
      <c r="G50" s="26"/>
      <c r="H50" s="16">
        <f t="shared" ref="H50:H55" si="14">+B50+C50+D50+G50+E50+F50</f>
        <v>330401303</v>
      </c>
      <c r="I50" s="16"/>
      <c r="J50" s="16">
        <f t="shared" ref="J50:J55" si="15">+H50+I50</f>
        <v>330401303</v>
      </c>
      <c r="K50" s="16">
        <f>SUM(K51:K52)</f>
        <v>318993261</v>
      </c>
      <c r="L50" s="16">
        <f t="shared" si="13"/>
        <v>-11408042</v>
      </c>
      <c r="M50" s="17">
        <f t="shared" si="12"/>
        <v>0.96547216401262193</v>
      </c>
    </row>
    <row r="51" spans="1:13" s="41" customFormat="1" ht="15" hidden="1" outlineLevel="2" x14ac:dyDescent="0.25">
      <c r="A51" s="42" t="s">
        <v>59</v>
      </c>
      <c r="B51" s="19">
        <v>96000000</v>
      </c>
      <c r="C51" s="26"/>
      <c r="D51" s="26"/>
      <c r="E51" s="26"/>
      <c r="F51" s="26"/>
      <c r="G51" s="26"/>
      <c r="H51" s="19">
        <f t="shared" si="14"/>
        <v>96000000</v>
      </c>
      <c r="I51" s="26"/>
      <c r="J51" s="20">
        <f t="shared" si="15"/>
        <v>96000000</v>
      </c>
      <c r="K51" s="20">
        <v>96000000</v>
      </c>
      <c r="L51" s="20">
        <f t="shared" si="13"/>
        <v>0</v>
      </c>
      <c r="M51" s="21">
        <f t="shared" si="12"/>
        <v>1</v>
      </c>
    </row>
    <row r="52" spans="1:13" s="41" customFormat="1" ht="15" hidden="1" outlineLevel="2" x14ac:dyDescent="0.25">
      <c r="A52" s="42" t="s">
        <v>60</v>
      </c>
      <c r="B52" s="19">
        <v>234401303</v>
      </c>
      <c r="C52" s="26"/>
      <c r="D52" s="26"/>
      <c r="E52" s="26"/>
      <c r="F52" s="26"/>
      <c r="G52" s="26"/>
      <c r="H52" s="19">
        <f t="shared" si="14"/>
        <v>234401303</v>
      </c>
      <c r="I52" s="26"/>
      <c r="J52" s="20">
        <f t="shared" si="15"/>
        <v>234401303</v>
      </c>
      <c r="K52" s="20">
        <v>222993261</v>
      </c>
      <c r="L52" s="20">
        <f t="shared" si="13"/>
        <v>-11408042</v>
      </c>
      <c r="M52" s="21">
        <f t="shared" si="12"/>
        <v>0.9513311493835851</v>
      </c>
    </row>
    <row r="53" spans="1:13" s="41" customFormat="1" ht="15" hidden="1" outlineLevel="2" x14ac:dyDescent="0.25">
      <c r="A53" s="42" t="s">
        <v>61</v>
      </c>
      <c r="B53" s="16">
        <f>SUM(B54:B55)</f>
        <v>136988380</v>
      </c>
      <c r="C53" s="26"/>
      <c r="D53" s="26"/>
      <c r="E53" s="26"/>
      <c r="F53" s="26"/>
      <c r="G53" s="26"/>
      <c r="H53" s="16">
        <f>+B53+C53+D53+G53+E53+F53</f>
        <v>136988380</v>
      </c>
      <c r="I53" s="16"/>
      <c r="J53" s="16">
        <f>+H53+I53</f>
        <v>136988380</v>
      </c>
      <c r="K53" s="16">
        <f>SUM(K54:K55)</f>
        <v>136106756</v>
      </c>
      <c r="L53" s="16">
        <f t="shared" si="13"/>
        <v>-881624</v>
      </c>
      <c r="M53" s="17">
        <f t="shared" si="12"/>
        <v>0.99356424245618502</v>
      </c>
    </row>
    <row r="54" spans="1:13" s="41" customFormat="1" ht="15" hidden="1" outlineLevel="2" x14ac:dyDescent="0.25">
      <c r="A54" s="42" t="s">
        <v>62</v>
      </c>
      <c r="B54" s="19">
        <v>34310270</v>
      </c>
      <c r="C54" s="26"/>
      <c r="D54" s="26"/>
      <c r="E54" s="26"/>
      <c r="F54" s="26"/>
      <c r="G54" s="26"/>
      <c r="H54" s="19">
        <f t="shared" si="14"/>
        <v>34310270</v>
      </c>
      <c r="I54" s="26"/>
      <c r="J54" s="20">
        <f t="shared" si="15"/>
        <v>34310270</v>
      </c>
      <c r="K54" s="20">
        <v>33428646</v>
      </c>
      <c r="L54" s="20">
        <f t="shared" si="13"/>
        <v>-881624</v>
      </c>
      <c r="M54" s="21">
        <f t="shared" si="12"/>
        <v>0.97430437009093773</v>
      </c>
    </row>
    <row r="55" spans="1:13" s="41" customFormat="1" ht="15" hidden="1" outlineLevel="2" x14ac:dyDescent="0.25">
      <c r="A55" s="42" t="s">
        <v>63</v>
      </c>
      <c r="B55" s="19">
        <v>102678110</v>
      </c>
      <c r="C55" s="26"/>
      <c r="D55" s="26"/>
      <c r="E55" s="26"/>
      <c r="F55" s="26"/>
      <c r="G55" s="26"/>
      <c r="H55" s="19">
        <f t="shared" si="14"/>
        <v>102678110</v>
      </c>
      <c r="I55" s="26"/>
      <c r="J55" s="20">
        <f t="shared" si="15"/>
        <v>102678110</v>
      </c>
      <c r="K55" s="20">
        <v>102678110</v>
      </c>
      <c r="L55" s="20">
        <f t="shared" si="13"/>
        <v>0</v>
      </c>
      <c r="M55" s="21">
        <f t="shared" si="12"/>
        <v>1</v>
      </c>
    </row>
    <row r="56" spans="1:13" s="41" customFormat="1" ht="15" hidden="1" outlineLevel="1" x14ac:dyDescent="0.25">
      <c r="A56" s="42" t="s">
        <v>64</v>
      </c>
      <c r="B56" s="20">
        <v>150784940.75140011</v>
      </c>
      <c r="C56" s="26"/>
      <c r="D56" s="26"/>
      <c r="E56" s="26"/>
      <c r="F56" s="26"/>
      <c r="G56" s="26"/>
      <c r="H56" s="19">
        <f>+B56+C56+D56+G56+E56+F56</f>
        <v>150784940.75140011</v>
      </c>
      <c r="I56" s="26"/>
      <c r="J56" s="20">
        <f>+H56+I56</f>
        <v>150784940.75140011</v>
      </c>
      <c r="K56" s="20">
        <v>140321511</v>
      </c>
      <c r="L56" s="20">
        <f t="shared" si="13"/>
        <v>-10463429.751400113</v>
      </c>
      <c r="M56" s="21">
        <f t="shared" si="12"/>
        <v>0.93060693130721039</v>
      </c>
    </row>
    <row r="57" spans="1:13" s="41" customFormat="1" ht="15" collapsed="1" x14ac:dyDescent="0.25">
      <c r="A57" s="43" t="s">
        <v>65</v>
      </c>
      <c r="B57" s="16">
        <f>SUM(B58:B60)</f>
        <v>45891215.741900012</v>
      </c>
      <c r="C57" s="26"/>
      <c r="D57" s="26"/>
      <c r="E57" s="26"/>
      <c r="F57" s="26"/>
      <c r="G57" s="26"/>
      <c r="H57" s="16">
        <f>SUM(H58:H60)</f>
        <v>45891215.741900012</v>
      </c>
      <c r="I57" s="26"/>
      <c r="J57" s="16">
        <f>SUM(J58:J60)</f>
        <v>45891215.741900012</v>
      </c>
      <c r="K57" s="16">
        <f>SUM(K58:K60)</f>
        <v>41943927</v>
      </c>
      <c r="L57" s="16">
        <f t="shared" si="13"/>
        <v>-3947288.7419000119</v>
      </c>
      <c r="M57" s="17">
        <f t="shared" si="12"/>
        <v>0.91398596271451527</v>
      </c>
    </row>
    <row r="58" spans="1:13" s="41" customFormat="1" ht="15" hidden="1" outlineLevel="1" x14ac:dyDescent="0.25">
      <c r="A58" s="42" t="s">
        <v>66</v>
      </c>
      <c r="B58" s="19">
        <v>36228720.020800017</v>
      </c>
      <c r="C58" s="26"/>
      <c r="D58" s="26"/>
      <c r="E58" s="26"/>
      <c r="F58" s="26"/>
      <c r="G58" s="26"/>
      <c r="H58" s="19">
        <f>+B58+C58+D58+G58+E58+F58</f>
        <v>36228720.020800017</v>
      </c>
      <c r="I58" s="26"/>
      <c r="J58" s="20">
        <f>+H58+I58</f>
        <v>36228720.020800017</v>
      </c>
      <c r="K58" s="20">
        <v>35125655</v>
      </c>
      <c r="L58" s="20">
        <f t="shared" si="13"/>
        <v>-1103065.0208000168</v>
      </c>
      <c r="M58" s="21">
        <f t="shared" si="12"/>
        <v>0.96955274654564905</v>
      </c>
    </row>
    <row r="59" spans="1:13" s="41" customFormat="1" ht="15" hidden="1" outlineLevel="1" x14ac:dyDescent="0.25">
      <c r="A59" s="42" t="s">
        <v>67</v>
      </c>
      <c r="B59" s="19">
        <v>8355591.7210999988</v>
      </c>
      <c r="C59" s="26"/>
      <c r="D59" s="26"/>
      <c r="E59" s="26"/>
      <c r="F59" s="26"/>
      <c r="G59" s="26"/>
      <c r="H59" s="19">
        <f>+B59+C59+D59+G59+E59+F59</f>
        <v>8355591.7210999988</v>
      </c>
      <c r="I59" s="26"/>
      <c r="J59" s="20">
        <f>+H59+I59</f>
        <v>8355591.7210999988</v>
      </c>
      <c r="K59" s="20">
        <v>6818272</v>
      </c>
      <c r="L59" s="20">
        <f t="shared" si="13"/>
        <v>-1537319.7210999988</v>
      </c>
      <c r="M59" s="21">
        <f t="shared" si="12"/>
        <v>0.81601306377645588</v>
      </c>
    </row>
    <row r="60" spans="1:13" s="41" customFormat="1" ht="15" hidden="1" outlineLevel="1" x14ac:dyDescent="0.25">
      <c r="A60" s="42" t="s">
        <v>68</v>
      </c>
      <c r="B60" s="19">
        <v>1306904</v>
      </c>
      <c r="C60" s="26"/>
      <c r="D60" s="26"/>
      <c r="E60" s="26"/>
      <c r="F60" s="26"/>
      <c r="G60" s="26"/>
      <c r="H60" s="19">
        <f>+B60+C60+D60+G60+E60+F60</f>
        <v>1306904</v>
      </c>
      <c r="I60" s="26"/>
      <c r="J60" s="20">
        <f>+H60+I60</f>
        <v>1306904</v>
      </c>
      <c r="K60" s="20"/>
      <c r="L60" s="20">
        <f t="shared" si="13"/>
        <v>-1306904</v>
      </c>
      <c r="M60" s="21">
        <f t="shared" si="12"/>
        <v>0</v>
      </c>
    </row>
    <row r="61" spans="1:13" s="41" customFormat="1" ht="15" collapsed="1" x14ac:dyDescent="0.25">
      <c r="A61" s="43" t="s">
        <v>69</v>
      </c>
      <c r="B61" s="16">
        <f>SUM(B62:B64)</f>
        <v>110894969.96815324</v>
      </c>
      <c r="C61" s="26"/>
      <c r="D61" s="26"/>
      <c r="E61" s="26"/>
      <c r="F61" s="26"/>
      <c r="G61" s="26"/>
      <c r="H61" s="16">
        <f>SUM(H62:H64)</f>
        <v>110894969.96815324</v>
      </c>
      <c r="I61" s="26"/>
      <c r="J61" s="16">
        <f>SUM(J62:J64)</f>
        <v>110894969.96815324</v>
      </c>
      <c r="K61" s="16">
        <f>SUM(K62:K64)</f>
        <v>104592170</v>
      </c>
      <c r="L61" s="16">
        <f t="shared" si="13"/>
        <v>-6302799.9681532383</v>
      </c>
      <c r="M61" s="17">
        <f t="shared" si="12"/>
        <v>0.94316423937025029</v>
      </c>
    </row>
    <row r="62" spans="1:13" s="41" customFormat="1" ht="15" hidden="1" outlineLevel="1" x14ac:dyDescent="0.25">
      <c r="A62" s="42" t="s">
        <v>70</v>
      </c>
      <c r="B62" s="19">
        <f>51305708.5363532+240000</f>
        <v>51545708.536353201</v>
      </c>
      <c r="C62" s="26"/>
      <c r="D62" s="26"/>
      <c r="E62" s="26"/>
      <c r="F62" s="26"/>
      <c r="G62" s="26"/>
      <c r="H62" s="19">
        <f>+B62+C62+D62+G62+E62+F62</f>
        <v>51545708.536353201</v>
      </c>
      <c r="I62" s="26"/>
      <c r="J62" s="20">
        <f>+H62+I62</f>
        <v>51545708.536353201</v>
      </c>
      <c r="K62" s="20">
        <v>51276582</v>
      </c>
      <c r="L62" s="20">
        <f t="shared" si="13"/>
        <v>-269126.53635320067</v>
      </c>
      <c r="M62" s="21">
        <f t="shared" si="12"/>
        <v>0.99477887599190928</v>
      </c>
    </row>
    <row r="63" spans="1:13" s="41" customFormat="1" ht="15" hidden="1" outlineLevel="1" x14ac:dyDescent="0.25">
      <c r="A63" s="42" t="s">
        <v>71</v>
      </c>
      <c r="B63" s="19">
        <v>56310882.431800038</v>
      </c>
      <c r="C63" s="26"/>
      <c r="D63" s="26"/>
      <c r="E63" s="26"/>
      <c r="F63" s="26"/>
      <c r="G63" s="26"/>
      <c r="H63" s="19">
        <f>+B63+C63+D63+G63+E63+F63</f>
        <v>56310882.431800038</v>
      </c>
      <c r="I63" s="26"/>
      <c r="J63" s="20">
        <f>+H63+I63</f>
        <v>56310882.431800038</v>
      </c>
      <c r="K63" s="20">
        <v>50292480</v>
      </c>
      <c r="L63" s="20">
        <f t="shared" si="13"/>
        <v>-6018402.4318000376</v>
      </c>
      <c r="M63" s="21">
        <f t="shared" si="12"/>
        <v>0.8931218590103055</v>
      </c>
    </row>
    <row r="64" spans="1:13" s="41" customFormat="1" ht="15" hidden="1" outlineLevel="1" x14ac:dyDescent="0.25">
      <c r="A64" s="42" t="s">
        <v>72</v>
      </c>
      <c r="B64" s="19">
        <v>3038379</v>
      </c>
      <c r="C64" s="26"/>
      <c r="D64" s="26"/>
      <c r="E64" s="26"/>
      <c r="F64" s="26"/>
      <c r="G64" s="26"/>
      <c r="H64" s="19">
        <f>+B64+C64+D64+G64+E64+F64</f>
        <v>3038379</v>
      </c>
      <c r="I64" s="26"/>
      <c r="J64" s="20">
        <f>+H64+I64</f>
        <v>3038379</v>
      </c>
      <c r="K64" s="20">
        <v>3023108</v>
      </c>
      <c r="L64" s="20">
        <f t="shared" si="13"/>
        <v>-15271</v>
      </c>
      <c r="M64" s="21">
        <f t="shared" si="12"/>
        <v>0.99497396473580157</v>
      </c>
    </row>
    <row r="65" spans="1:13" s="41" customFormat="1" ht="15" collapsed="1" x14ac:dyDescent="0.25">
      <c r="A65" s="43" t="s">
        <v>73</v>
      </c>
      <c r="B65" s="16">
        <f>SUM(B66:B68)</f>
        <v>84851550.5</v>
      </c>
      <c r="C65" s="26"/>
      <c r="D65" s="26"/>
      <c r="E65" s="26"/>
      <c r="F65" s="26"/>
      <c r="G65" s="26"/>
      <c r="H65" s="16">
        <f>SUM(H66:H68)</f>
        <v>84851550.5</v>
      </c>
      <c r="I65" s="26"/>
      <c r="J65" s="16">
        <f>SUM(J66:J68)</f>
        <v>84851550.5</v>
      </c>
      <c r="K65" s="16">
        <f>SUM(K66:K68)</f>
        <v>38812104</v>
      </c>
      <c r="L65" s="16">
        <f t="shared" si="13"/>
        <v>-46039446.5</v>
      </c>
      <c r="M65" s="17">
        <f t="shared" si="12"/>
        <v>0.45741184187317824</v>
      </c>
    </row>
    <row r="66" spans="1:13" s="41" customFormat="1" ht="15" hidden="1" outlineLevel="1" x14ac:dyDescent="0.25">
      <c r="A66" s="42" t="s">
        <v>74</v>
      </c>
      <c r="B66" s="19">
        <v>6017348.5</v>
      </c>
      <c r="C66" s="26"/>
      <c r="D66" s="26"/>
      <c r="E66" s="26"/>
      <c r="F66" s="26"/>
      <c r="G66" s="26"/>
      <c r="H66" s="19">
        <f>+B66+C66+D66+G66+E66+F66</f>
        <v>6017348.5</v>
      </c>
      <c r="I66" s="26"/>
      <c r="J66" s="20">
        <f>+H66+I66</f>
        <v>6017348.5</v>
      </c>
      <c r="K66" s="20">
        <v>5738470</v>
      </c>
      <c r="L66" s="20">
        <f t="shared" si="13"/>
        <v>-278878.5</v>
      </c>
      <c r="M66" s="21">
        <f t="shared" si="12"/>
        <v>0.95365425485992705</v>
      </c>
    </row>
    <row r="67" spans="1:13" s="41" customFormat="1" ht="15" hidden="1" outlineLevel="1" x14ac:dyDescent="0.25">
      <c r="A67" s="42" t="s">
        <v>75</v>
      </c>
      <c r="B67" s="19">
        <f>77997418-5500000</f>
        <v>72497418</v>
      </c>
      <c r="C67" s="26"/>
      <c r="D67" s="26"/>
      <c r="E67" s="26"/>
      <c r="F67" s="26"/>
      <c r="G67" s="26"/>
      <c r="H67" s="19">
        <f>+B67+C67+D67+G67+E67+F67</f>
        <v>72497418</v>
      </c>
      <c r="I67" s="26"/>
      <c r="J67" s="20">
        <f>+H67+I67</f>
        <v>72497418</v>
      </c>
      <c r="K67" s="20">
        <v>26736850</v>
      </c>
      <c r="L67" s="20">
        <f t="shared" si="13"/>
        <v>-45760568</v>
      </c>
      <c r="M67" s="21">
        <f t="shared" si="12"/>
        <v>0.36879727220078373</v>
      </c>
    </row>
    <row r="68" spans="1:13" s="41" customFormat="1" ht="15" hidden="1" outlineLevel="1" x14ac:dyDescent="0.25">
      <c r="A68" s="42" t="s">
        <v>76</v>
      </c>
      <c r="B68" s="19">
        <f>836784.000000004+5500000</f>
        <v>6336784.0000000037</v>
      </c>
      <c r="C68" s="26"/>
      <c r="D68" s="26"/>
      <c r="E68" s="26"/>
      <c r="F68" s="26"/>
      <c r="G68" s="26"/>
      <c r="H68" s="19">
        <f>+B68+C68+D68+G68+E68+F68</f>
        <v>6336784.0000000037</v>
      </c>
      <c r="I68" s="26"/>
      <c r="J68" s="20">
        <f>+H68+I68</f>
        <v>6336784.0000000037</v>
      </c>
      <c r="K68" s="20">
        <v>6336784</v>
      </c>
      <c r="L68" s="20">
        <f t="shared" si="13"/>
        <v>0</v>
      </c>
      <c r="M68" s="21">
        <f t="shared" si="12"/>
        <v>0.99999999999999944</v>
      </c>
    </row>
    <row r="69" spans="1:13" s="41" customFormat="1" ht="15" collapsed="1" x14ac:dyDescent="0.25">
      <c r="A69" s="43" t="s">
        <v>77</v>
      </c>
      <c r="B69" s="16">
        <f>SUM(B70:B71)</f>
        <v>89086997.206200004</v>
      </c>
      <c r="C69" s="26"/>
      <c r="D69" s="26"/>
      <c r="E69" s="26"/>
      <c r="F69" s="26"/>
      <c r="G69" s="26"/>
      <c r="H69" s="16">
        <f>SUM(H70:H71)</f>
        <v>89086997.206200004</v>
      </c>
      <c r="I69" s="26"/>
      <c r="J69" s="16">
        <f>SUM(J70:J71)</f>
        <v>89086997.206200004</v>
      </c>
      <c r="K69" s="16">
        <f>SUM(K70:K71)</f>
        <v>86549861</v>
      </c>
      <c r="L69" s="16">
        <f t="shared" si="13"/>
        <v>-2537136.2062000036</v>
      </c>
      <c r="M69" s="17">
        <f t="shared" si="12"/>
        <v>0.97152069004719543</v>
      </c>
    </row>
    <row r="70" spans="1:13" s="41" customFormat="1" ht="15" hidden="1" outlineLevel="1" x14ac:dyDescent="0.25">
      <c r="A70" s="42" t="s">
        <v>78</v>
      </c>
      <c r="B70" s="19">
        <f>82124699.2062-6072072</f>
        <v>76052627.206200004</v>
      </c>
      <c r="C70" s="26"/>
      <c r="D70" s="26"/>
      <c r="E70" s="26"/>
      <c r="F70" s="26"/>
      <c r="G70" s="26"/>
      <c r="H70" s="19">
        <f>+B70+C70+D70+G70+E70+F70</f>
        <v>76052627.206200004</v>
      </c>
      <c r="I70" s="26"/>
      <c r="J70" s="20">
        <f>+H70+I70</f>
        <v>76052627.206200004</v>
      </c>
      <c r="K70" s="20">
        <v>73515491</v>
      </c>
      <c r="L70" s="20">
        <f t="shared" si="13"/>
        <v>-2537136.2062000036</v>
      </c>
      <c r="M70" s="21">
        <f t="shared" si="12"/>
        <v>0.96663972962668188</v>
      </c>
    </row>
    <row r="71" spans="1:13" s="41" customFormat="1" ht="15" hidden="1" outlineLevel="1" x14ac:dyDescent="0.25">
      <c r="A71" s="42" t="s">
        <v>79</v>
      </c>
      <c r="B71" s="19">
        <f>6962298+6072072</f>
        <v>13034370</v>
      </c>
      <c r="C71" s="26"/>
      <c r="D71" s="26"/>
      <c r="E71" s="26"/>
      <c r="F71" s="26"/>
      <c r="G71" s="26"/>
      <c r="H71" s="19">
        <f>+B71+C71+D71+G71+E71+F71</f>
        <v>13034370</v>
      </c>
      <c r="I71" s="26"/>
      <c r="J71" s="20">
        <f>+H71+I71</f>
        <v>13034370</v>
      </c>
      <c r="K71" s="20">
        <v>13034370</v>
      </c>
      <c r="L71" s="20">
        <f t="shared" si="13"/>
        <v>0</v>
      </c>
      <c r="M71" s="21">
        <f t="shared" si="12"/>
        <v>1</v>
      </c>
    </row>
    <row r="72" spans="1:13" s="41" customFormat="1" ht="15" collapsed="1" x14ac:dyDescent="0.25">
      <c r="A72" s="42"/>
      <c r="B72" s="19"/>
      <c r="C72" s="26"/>
      <c r="D72" s="26"/>
      <c r="E72" s="26"/>
      <c r="F72" s="26"/>
      <c r="G72" s="26"/>
      <c r="H72" s="19"/>
      <c r="I72" s="26"/>
      <c r="J72" s="20"/>
      <c r="K72" s="20"/>
      <c r="L72" s="20"/>
      <c r="M72" s="21"/>
    </row>
    <row r="73" spans="1:13" s="41" customFormat="1" ht="15" x14ac:dyDescent="0.25">
      <c r="A73" s="43" t="s">
        <v>80</v>
      </c>
      <c r="B73" s="19"/>
      <c r="C73" s="26"/>
      <c r="D73" s="26"/>
      <c r="E73" s="26"/>
      <c r="F73" s="26">
        <f>+F74+F83+F86+F92+F101+F106</f>
        <v>2243062212.6012001</v>
      </c>
      <c r="G73" s="26"/>
      <c r="H73" s="26">
        <f>+H74+H92+H86+H83+H101+H106</f>
        <v>2243062212.6012001</v>
      </c>
      <c r="I73" s="26"/>
      <c r="J73" s="16">
        <f>+H73+I73</f>
        <v>2243062212.6012001</v>
      </c>
      <c r="K73" s="26">
        <f>+K74+K83+K86+K92+K101+K106</f>
        <v>1945058087</v>
      </c>
      <c r="L73" s="26">
        <f t="shared" ref="L73:L111" si="16">+K73-J73</f>
        <v>-298004125.6012001</v>
      </c>
      <c r="M73" s="17">
        <f t="shared" ref="M73:M111" si="17">IFERROR(K73/J73,0)</f>
        <v>0.86714406585468029</v>
      </c>
    </row>
    <row r="74" spans="1:13" s="41" customFormat="1" ht="15" x14ac:dyDescent="0.25">
      <c r="A74" s="43" t="s">
        <v>81</v>
      </c>
      <c r="B74" s="19"/>
      <c r="C74" s="26"/>
      <c r="D74" s="26"/>
      <c r="E74" s="26"/>
      <c r="F74" s="26">
        <f>SUM(F75:F82)</f>
        <v>208006040.34310001</v>
      </c>
      <c r="G74" s="26"/>
      <c r="H74" s="26">
        <f>SUM(H75:H82)</f>
        <v>208006040.34310001</v>
      </c>
      <c r="I74" s="26"/>
      <c r="J74" s="26">
        <f>SUM(J75:J82)</f>
        <v>208006040.34310001</v>
      </c>
      <c r="K74" s="26">
        <f>SUM(K75:K82)</f>
        <v>156434496</v>
      </c>
      <c r="L74" s="26">
        <f t="shared" si="16"/>
        <v>-51571544.343100011</v>
      </c>
      <c r="M74" s="17">
        <f t="shared" si="17"/>
        <v>0.75206708296531088</v>
      </c>
    </row>
    <row r="75" spans="1:13" s="41" customFormat="1" ht="15" hidden="1" outlineLevel="1" x14ac:dyDescent="0.25">
      <c r="A75" s="42" t="s">
        <v>82</v>
      </c>
      <c r="B75" s="19"/>
      <c r="C75" s="26"/>
      <c r="D75" s="26"/>
      <c r="E75" s="26"/>
      <c r="F75" s="20"/>
      <c r="G75" s="26"/>
      <c r="H75" s="19">
        <f t="shared" ref="H75:H80" si="18">+B75+C75+D75+G75+E75+F75</f>
        <v>0</v>
      </c>
      <c r="I75" s="26"/>
      <c r="J75" s="20">
        <f t="shared" ref="J75:J80" si="19">+H75+I75</f>
        <v>0</v>
      </c>
      <c r="K75" s="20"/>
      <c r="L75" s="20">
        <f t="shared" si="16"/>
        <v>0</v>
      </c>
      <c r="M75" s="21">
        <f t="shared" si="17"/>
        <v>0</v>
      </c>
    </row>
    <row r="76" spans="1:13" s="41" customFormat="1" ht="15" hidden="1" outlineLevel="1" x14ac:dyDescent="0.25">
      <c r="A76" s="42" t="s">
        <v>83</v>
      </c>
      <c r="B76" s="19"/>
      <c r="C76" s="26"/>
      <c r="D76" s="26"/>
      <c r="E76" s="26"/>
      <c r="F76" s="20">
        <f>+'[2]Solicitud presupuestal 2016'!$P$12</f>
        <v>83541619.551300004</v>
      </c>
      <c r="G76" s="26"/>
      <c r="H76" s="19">
        <f t="shared" si="18"/>
        <v>83541619.551300004</v>
      </c>
      <c r="I76" s="26"/>
      <c r="J76" s="20">
        <f t="shared" si="19"/>
        <v>83541619.551300004</v>
      </c>
      <c r="K76" s="20">
        <v>58829400</v>
      </c>
      <c r="L76" s="20">
        <f t="shared" si="16"/>
        <v>-24712219.551300004</v>
      </c>
      <c r="M76" s="21">
        <f t="shared" si="17"/>
        <v>0.70419271634870462</v>
      </c>
    </row>
    <row r="77" spans="1:13" s="41" customFormat="1" ht="15" hidden="1" outlineLevel="1" x14ac:dyDescent="0.25">
      <c r="A77" s="42" t="s">
        <v>84</v>
      </c>
      <c r="B77" s="19"/>
      <c r="C77" s="26"/>
      <c r="D77" s="26"/>
      <c r="E77" s="26"/>
      <c r="F77" s="20">
        <f>+'[2]Solicitud presupuestal 2016'!$P$13</f>
        <v>20804014.917600002</v>
      </c>
      <c r="G77" s="26"/>
      <c r="H77" s="19">
        <f t="shared" si="18"/>
        <v>20804014.917600002</v>
      </c>
      <c r="I77" s="26"/>
      <c r="J77" s="20">
        <f t="shared" si="19"/>
        <v>20804014.917600002</v>
      </c>
      <c r="K77" s="20"/>
      <c r="L77" s="20">
        <f t="shared" si="16"/>
        <v>-20804014.917600002</v>
      </c>
      <c r="M77" s="21">
        <f t="shared" si="17"/>
        <v>0</v>
      </c>
    </row>
    <row r="78" spans="1:13" s="41" customFormat="1" ht="15" hidden="1" outlineLevel="1" x14ac:dyDescent="0.25">
      <c r="A78" s="42" t="s">
        <v>85</v>
      </c>
      <c r="B78" s="19"/>
      <c r="C78" s="26"/>
      <c r="D78" s="26"/>
      <c r="E78" s="26"/>
      <c r="F78" s="20">
        <f>+'[2]Solicitud presupuestal 2016'!$P$14</f>
        <v>12310808.874200001</v>
      </c>
      <c r="G78" s="26"/>
      <c r="H78" s="19">
        <f t="shared" si="18"/>
        <v>12310808.874200001</v>
      </c>
      <c r="I78" s="26"/>
      <c r="J78" s="20">
        <f t="shared" si="19"/>
        <v>12310808.874200001</v>
      </c>
      <c r="K78" s="20">
        <v>9842976</v>
      </c>
      <c r="L78" s="20">
        <f t="shared" si="16"/>
        <v>-2467832.8742000014</v>
      </c>
      <c r="M78" s="21">
        <f t="shared" si="17"/>
        <v>0.79953933982584313</v>
      </c>
    </row>
    <row r="79" spans="1:13" s="41" customFormat="1" ht="15" hidden="1" outlineLevel="1" x14ac:dyDescent="0.25">
      <c r="A79" s="42" t="s">
        <v>86</v>
      </c>
      <c r="B79" s="19"/>
      <c r="C79" s="26"/>
      <c r="D79" s="26"/>
      <c r="E79" s="26"/>
      <c r="F79" s="20"/>
      <c r="G79" s="26"/>
      <c r="H79" s="19">
        <f t="shared" si="18"/>
        <v>0</v>
      </c>
      <c r="I79" s="26"/>
      <c r="J79" s="20">
        <f t="shared" si="19"/>
        <v>0</v>
      </c>
      <c r="K79" s="20"/>
      <c r="L79" s="20">
        <f t="shared" si="16"/>
        <v>0</v>
      </c>
      <c r="M79" s="21">
        <f t="shared" si="17"/>
        <v>0</v>
      </c>
    </row>
    <row r="80" spans="1:13" s="41" customFormat="1" ht="15" hidden="1" outlineLevel="1" x14ac:dyDescent="0.25">
      <c r="A80" s="42" t="s">
        <v>87</v>
      </c>
      <c r="B80" s="19"/>
      <c r="C80" s="26"/>
      <c r="D80" s="26"/>
      <c r="E80" s="26"/>
      <c r="F80" s="20"/>
      <c r="G80" s="26"/>
      <c r="H80" s="19">
        <f t="shared" si="18"/>
        <v>0</v>
      </c>
      <c r="I80" s="26"/>
      <c r="J80" s="20">
        <f t="shared" si="19"/>
        <v>0</v>
      </c>
      <c r="K80" s="20"/>
      <c r="L80" s="20">
        <f t="shared" si="16"/>
        <v>0</v>
      </c>
      <c r="M80" s="21">
        <f t="shared" si="17"/>
        <v>0</v>
      </c>
    </row>
    <row r="81" spans="1:13" s="41" customFormat="1" ht="15" hidden="1" outlineLevel="1" x14ac:dyDescent="0.25">
      <c r="A81" s="42" t="s">
        <v>88</v>
      </c>
      <c r="B81" s="19"/>
      <c r="C81" s="26"/>
      <c r="D81" s="26"/>
      <c r="E81" s="26"/>
      <c r="F81" s="20">
        <v>51349597</v>
      </c>
      <c r="G81" s="26"/>
      <c r="H81" s="19">
        <f>+B81+C81+D81+G81+E81+F81</f>
        <v>51349597</v>
      </c>
      <c r="I81" s="26"/>
      <c r="J81" s="20">
        <f>+H81+I81</f>
        <v>51349597</v>
      </c>
      <c r="K81" s="20">
        <v>48803520</v>
      </c>
      <c r="L81" s="20">
        <f t="shared" si="16"/>
        <v>-2546077</v>
      </c>
      <c r="M81" s="21">
        <f t="shared" si="17"/>
        <v>0.95041680658175365</v>
      </c>
    </row>
    <row r="82" spans="1:13" s="41" customFormat="1" ht="15" hidden="1" outlineLevel="1" x14ac:dyDescent="0.25">
      <c r="A82" s="42" t="s">
        <v>89</v>
      </c>
      <c r="B82" s="19"/>
      <c r="C82" s="26"/>
      <c r="D82" s="26"/>
      <c r="E82" s="26"/>
      <c r="F82" s="20">
        <v>40000000</v>
      </c>
      <c r="G82" s="26"/>
      <c r="H82" s="19">
        <f>+B82+C82+D82+G82+E82+F82</f>
        <v>40000000</v>
      </c>
      <c r="I82" s="26"/>
      <c r="J82" s="20">
        <f>+H82+I82</f>
        <v>40000000</v>
      </c>
      <c r="K82" s="20">
        <v>38958600</v>
      </c>
      <c r="L82" s="20">
        <f t="shared" si="16"/>
        <v>-1041400</v>
      </c>
      <c r="M82" s="21">
        <f t="shared" si="17"/>
        <v>0.97396499999999997</v>
      </c>
    </row>
    <row r="83" spans="1:13" s="41" customFormat="1" ht="15" collapsed="1" x14ac:dyDescent="0.25">
      <c r="A83" s="43" t="s">
        <v>90</v>
      </c>
      <c r="B83" s="19"/>
      <c r="C83" s="26"/>
      <c r="D83" s="26"/>
      <c r="E83" s="26"/>
      <c r="F83" s="26">
        <f>SUM(F84:F85)</f>
        <v>155845064.00000006</v>
      </c>
      <c r="G83" s="26"/>
      <c r="H83" s="26">
        <f>SUM(H84:H85)</f>
        <v>155845064.00000006</v>
      </c>
      <c r="I83" s="26"/>
      <c r="J83" s="26">
        <f>SUM(J84:J85)</f>
        <v>155845064.00000006</v>
      </c>
      <c r="K83" s="26">
        <f>SUM(K84:K85)</f>
        <v>70997200</v>
      </c>
      <c r="L83" s="26">
        <f t="shared" si="16"/>
        <v>-84847864.00000006</v>
      </c>
      <c r="M83" s="17">
        <f t="shared" si="17"/>
        <v>0.45556271195088971</v>
      </c>
    </row>
    <row r="84" spans="1:13" s="41" customFormat="1" ht="15" hidden="1" outlineLevel="1" x14ac:dyDescent="0.25">
      <c r="A84" s="42" t="s">
        <v>91</v>
      </c>
      <c r="B84" s="19"/>
      <c r="C84" s="26"/>
      <c r="D84" s="26"/>
      <c r="E84" s="26"/>
      <c r="F84" s="20">
        <v>54520118.00000003</v>
      </c>
      <c r="G84" s="26"/>
      <c r="H84" s="19">
        <f>+B84+C84+D84+G84+E84+F84</f>
        <v>54520118.00000003</v>
      </c>
      <c r="I84" s="26"/>
      <c r="J84" s="20">
        <f>+H84+I84</f>
        <v>54520118.00000003</v>
      </c>
      <c r="K84" s="20">
        <v>45997200</v>
      </c>
      <c r="L84" s="20">
        <f t="shared" si="16"/>
        <v>-8522918.0000000298</v>
      </c>
      <c r="M84" s="21">
        <f t="shared" si="17"/>
        <v>0.84367388933384135</v>
      </c>
    </row>
    <row r="85" spans="1:13" s="41" customFormat="1" ht="15" hidden="1" outlineLevel="1" x14ac:dyDescent="0.25">
      <c r="A85" s="42" t="s">
        <v>92</v>
      </c>
      <c r="B85" s="19"/>
      <c r="C85" s="26"/>
      <c r="D85" s="26"/>
      <c r="E85" s="26"/>
      <c r="F85" s="20">
        <v>101324946.00000001</v>
      </c>
      <c r="G85" s="26"/>
      <c r="H85" s="19">
        <f>+B85+C85+D85+G85+E85+F85</f>
        <v>101324946.00000001</v>
      </c>
      <c r="I85" s="26"/>
      <c r="J85" s="20">
        <f>+H85+I85</f>
        <v>101324946.00000001</v>
      </c>
      <c r="K85" s="20">
        <v>25000000</v>
      </c>
      <c r="L85" s="20">
        <f t="shared" si="16"/>
        <v>-76324946.000000015</v>
      </c>
      <c r="M85" s="21">
        <f t="shared" si="17"/>
        <v>0.2467309481714404</v>
      </c>
    </row>
    <row r="86" spans="1:13" s="41" customFormat="1" ht="15" collapsed="1" x14ac:dyDescent="0.25">
      <c r="A86" s="43" t="s">
        <v>93</v>
      </c>
      <c r="B86" s="19"/>
      <c r="C86" s="26"/>
      <c r="D86" s="26"/>
      <c r="E86" s="26"/>
      <c r="F86" s="26">
        <f>+SUM(F87:F91)</f>
        <v>916429650.25809991</v>
      </c>
      <c r="G86" s="26"/>
      <c r="H86" s="26">
        <f>SUM(H87:H91)</f>
        <v>916429650.25809991</v>
      </c>
      <c r="I86" s="26"/>
      <c r="J86" s="26">
        <f>SUM(J87:J91)</f>
        <v>916429650.25809991</v>
      </c>
      <c r="K86" s="26">
        <f>SUM(K87:K91)</f>
        <v>876404881</v>
      </c>
      <c r="L86" s="26">
        <f t="shared" si="16"/>
        <v>-40024769.258099914</v>
      </c>
      <c r="M86" s="17">
        <f t="shared" si="17"/>
        <v>0.9563253226837134</v>
      </c>
    </row>
    <row r="87" spans="1:13" s="41" customFormat="1" ht="15" hidden="1" outlineLevel="1" x14ac:dyDescent="0.25">
      <c r="A87" s="42" t="s">
        <v>94</v>
      </c>
      <c r="B87" s="19"/>
      <c r="C87" s="26"/>
      <c r="D87" s="26"/>
      <c r="E87" s="26"/>
      <c r="F87" s="20">
        <v>747248702</v>
      </c>
      <c r="G87" s="26"/>
      <c r="H87" s="19">
        <f>+B87+C87+D87+G87+E87+F87</f>
        <v>747248702</v>
      </c>
      <c r="I87" s="26"/>
      <c r="J87" s="20">
        <f>+H87+I87</f>
        <v>747248702</v>
      </c>
      <c r="K87" s="20">
        <v>747248702</v>
      </c>
      <c r="L87" s="20">
        <f t="shared" si="16"/>
        <v>0</v>
      </c>
      <c r="M87" s="21">
        <f t="shared" si="17"/>
        <v>1</v>
      </c>
    </row>
    <row r="88" spans="1:13" s="41" customFormat="1" ht="15" hidden="1" outlineLevel="1" x14ac:dyDescent="0.25">
      <c r="A88" s="42" t="s">
        <v>95</v>
      </c>
      <c r="B88" s="19"/>
      <c r="C88" s="26"/>
      <c r="D88" s="26"/>
      <c r="E88" s="26"/>
      <c r="F88" s="20">
        <v>56536860</v>
      </c>
      <c r="G88" s="26"/>
      <c r="H88" s="19">
        <f>+B88+C88+D88+G88+E88+F88</f>
        <v>56536860</v>
      </c>
      <c r="I88" s="26"/>
      <c r="J88" s="20">
        <f>+H88+I88</f>
        <v>56536860</v>
      </c>
      <c r="K88" s="20">
        <v>49929584</v>
      </c>
      <c r="L88" s="20">
        <f t="shared" si="16"/>
        <v>-6607276</v>
      </c>
      <c r="M88" s="21">
        <f t="shared" si="17"/>
        <v>0.8831333045379598</v>
      </c>
    </row>
    <row r="89" spans="1:13" s="41" customFormat="1" ht="15" hidden="1" outlineLevel="1" x14ac:dyDescent="0.25">
      <c r="A89" s="42" t="s">
        <v>96</v>
      </c>
      <c r="B89" s="19"/>
      <c r="C89" s="26"/>
      <c r="D89" s="26"/>
      <c r="E89" s="26"/>
      <c r="F89" s="20">
        <v>29765887.03549996</v>
      </c>
      <c r="G89" s="26"/>
      <c r="H89" s="19">
        <f>+B89+C89+D89+G89+E89+F89</f>
        <v>29765887.03549996</v>
      </c>
      <c r="I89" s="26"/>
      <c r="J89" s="20">
        <f>+H89+I89</f>
        <v>29765887.03549996</v>
      </c>
      <c r="K89" s="20">
        <v>13098422</v>
      </c>
      <c r="L89" s="20">
        <f t="shared" si="16"/>
        <v>-16667465.03549996</v>
      </c>
      <c r="M89" s="21">
        <f t="shared" si="17"/>
        <v>0.44004809883133367</v>
      </c>
    </row>
    <row r="90" spans="1:13" s="41" customFormat="1" ht="15" hidden="1" outlineLevel="1" x14ac:dyDescent="0.25">
      <c r="A90" s="42" t="s">
        <v>97</v>
      </c>
      <c r="B90" s="19"/>
      <c r="C90" s="26"/>
      <c r="D90" s="26"/>
      <c r="E90" s="26"/>
      <c r="F90" s="20">
        <v>24154701.222600006</v>
      </c>
      <c r="G90" s="26"/>
      <c r="H90" s="19">
        <f>+B90+C90+D90+G90+E90+F90</f>
        <v>24154701.222600006</v>
      </c>
      <c r="I90" s="26"/>
      <c r="J90" s="20">
        <f>+H90+I90</f>
        <v>24154701.222600006</v>
      </c>
      <c r="K90" s="20">
        <v>7865897</v>
      </c>
      <c r="L90" s="20">
        <f t="shared" si="16"/>
        <v>-16288804.222600006</v>
      </c>
      <c r="M90" s="21">
        <f t="shared" si="17"/>
        <v>0.32564662785563186</v>
      </c>
    </row>
    <row r="91" spans="1:13" s="41" customFormat="1" ht="15" hidden="1" outlineLevel="1" x14ac:dyDescent="0.25">
      <c r="A91" s="42" t="s">
        <v>98</v>
      </c>
      <c r="B91" s="19"/>
      <c r="C91" s="26"/>
      <c r="D91" s="26"/>
      <c r="E91" s="26"/>
      <c r="F91" s="20">
        <v>58723500.000000007</v>
      </c>
      <c r="G91" s="26"/>
      <c r="H91" s="19">
        <f>+B91+C91+D91+G91+E91+F91</f>
        <v>58723500.000000007</v>
      </c>
      <c r="I91" s="26"/>
      <c r="J91" s="20">
        <f>+H91+I91</f>
        <v>58723500.000000007</v>
      </c>
      <c r="K91" s="20">
        <v>58262276</v>
      </c>
      <c r="L91" s="20">
        <f t="shared" si="16"/>
        <v>-461224.00000000745</v>
      </c>
      <c r="M91" s="21">
        <f t="shared" si="17"/>
        <v>0.99214583599410788</v>
      </c>
    </row>
    <row r="92" spans="1:13" s="41" customFormat="1" ht="15" collapsed="1" x14ac:dyDescent="0.25">
      <c r="A92" s="43" t="s">
        <v>99</v>
      </c>
      <c r="B92" s="19"/>
      <c r="C92" s="26"/>
      <c r="D92" s="26"/>
      <c r="E92" s="26"/>
      <c r="F92" s="26">
        <f>SUM(F93:F100)</f>
        <v>680054644.00000012</v>
      </c>
      <c r="G92" s="26"/>
      <c r="H92" s="26">
        <f>SUM(H93:H100)</f>
        <v>680054644.00000012</v>
      </c>
      <c r="I92" s="26"/>
      <c r="J92" s="26">
        <f>SUM(J93:J100)</f>
        <v>680054644.00000012</v>
      </c>
      <c r="K92" s="26">
        <f>SUM(K93:K100)</f>
        <v>599223990</v>
      </c>
      <c r="L92" s="26">
        <f t="shared" si="16"/>
        <v>-80830654.000000119</v>
      </c>
      <c r="M92" s="17">
        <f t="shared" si="17"/>
        <v>0.88114094255049291</v>
      </c>
    </row>
    <row r="93" spans="1:13" s="41" customFormat="1" ht="15" hidden="1" outlineLevel="1" x14ac:dyDescent="0.25">
      <c r="A93" s="42" t="s">
        <v>100</v>
      </c>
      <c r="B93" s="19"/>
      <c r="C93" s="26"/>
      <c r="D93" s="26"/>
      <c r="E93" s="26"/>
      <c r="F93" s="20">
        <v>30749760</v>
      </c>
      <c r="G93" s="26"/>
      <c r="H93" s="19">
        <f t="shared" ref="H93:H100" si="20">+B93+C93+D93+G93+E93+F93</f>
        <v>30749760</v>
      </c>
      <c r="I93" s="26"/>
      <c r="J93" s="20">
        <f t="shared" ref="J93:J100" si="21">+H93+I93</f>
        <v>30749760</v>
      </c>
      <c r="K93" s="20">
        <v>25966464</v>
      </c>
      <c r="L93" s="20">
        <f t="shared" si="16"/>
        <v>-4783296</v>
      </c>
      <c r="M93" s="21">
        <f t="shared" si="17"/>
        <v>0.84444444444444444</v>
      </c>
    </row>
    <row r="94" spans="1:13" s="41" customFormat="1" ht="15" hidden="1" outlineLevel="1" x14ac:dyDescent="0.25">
      <c r="A94" s="42" t="s">
        <v>101</v>
      </c>
      <c r="B94" s="19"/>
      <c r="C94" s="26"/>
      <c r="D94" s="26"/>
      <c r="E94" s="26"/>
      <c r="F94" s="20">
        <v>4152197</v>
      </c>
      <c r="G94" s="26"/>
      <c r="H94" s="19">
        <f t="shared" si="20"/>
        <v>4152197</v>
      </c>
      <c r="I94" s="26"/>
      <c r="J94" s="20">
        <f t="shared" si="21"/>
        <v>4152197</v>
      </c>
      <c r="K94" s="20">
        <v>1564672</v>
      </c>
      <c r="L94" s="20">
        <f t="shared" si="16"/>
        <v>-2587525</v>
      </c>
      <c r="M94" s="21">
        <f t="shared" si="17"/>
        <v>0.37682990474681233</v>
      </c>
    </row>
    <row r="95" spans="1:13" s="41" customFormat="1" ht="15" hidden="1" outlineLevel="1" x14ac:dyDescent="0.25">
      <c r="A95" s="42" t="s">
        <v>102</v>
      </c>
      <c r="B95" s="19"/>
      <c r="C95" s="26"/>
      <c r="D95" s="26"/>
      <c r="E95" s="26"/>
      <c r="F95" s="20">
        <v>71521664</v>
      </c>
      <c r="G95" s="26"/>
      <c r="H95" s="19">
        <f t="shared" si="20"/>
        <v>71521664</v>
      </c>
      <c r="I95" s="26"/>
      <c r="J95" s="20">
        <f t="shared" si="21"/>
        <v>71521664</v>
      </c>
      <c r="K95" s="20">
        <v>8655488</v>
      </c>
      <c r="L95" s="20">
        <f t="shared" si="16"/>
        <v>-62866176</v>
      </c>
      <c r="M95" s="21">
        <f t="shared" si="17"/>
        <v>0.12101910828025478</v>
      </c>
    </row>
    <row r="96" spans="1:13" s="41" customFormat="1" ht="15" hidden="1" outlineLevel="1" x14ac:dyDescent="0.25">
      <c r="A96" s="42" t="s">
        <v>103</v>
      </c>
      <c r="B96" s="19"/>
      <c r="C96" s="26"/>
      <c r="D96" s="26"/>
      <c r="E96" s="26"/>
      <c r="F96" s="20">
        <v>13555254</v>
      </c>
      <c r="G96" s="26"/>
      <c r="H96" s="19">
        <f t="shared" si="20"/>
        <v>13555254</v>
      </c>
      <c r="I96" s="26"/>
      <c r="J96" s="20">
        <f t="shared" si="21"/>
        <v>13555254</v>
      </c>
      <c r="K96" s="20">
        <v>9118976</v>
      </c>
      <c r="L96" s="20">
        <f t="shared" si="16"/>
        <v>-4436278</v>
      </c>
      <c r="M96" s="21">
        <f t="shared" si="17"/>
        <v>0.67272630966561009</v>
      </c>
    </row>
    <row r="97" spans="1:13" s="41" customFormat="1" ht="15" hidden="1" outlineLevel="1" x14ac:dyDescent="0.25">
      <c r="A97" s="42" t="s">
        <v>104</v>
      </c>
      <c r="B97" s="19"/>
      <c r="C97" s="26"/>
      <c r="D97" s="26"/>
      <c r="E97" s="26"/>
      <c r="F97" s="20"/>
      <c r="G97" s="26"/>
      <c r="H97" s="19">
        <f t="shared" si="20"/>
        <v>0</v>
      </c>
      <c r="I97" s="26"/>
      <c r="J97" s="20">
        <f t="shared" si="21"/>
        <v>0</v>
      </c>
      <c r="K97" s="20"/>
      <c r="L97" s="20">
        <f t="shared" si="16"/>
        <v>0</v>
      </c>
      <c r="M97" s="21">
        <f t="shared" si="17"/>
        <v>0</v>
      </c>
    </row>
    <row r="98" spans="1:13" s="41" customFormat="1" ht="15" hidden="1" outlineLevel="1" x14ac:dyDescent="0.25">
      <c r="A98" s="42" t="s">
        <v>105</v>
      </c>
      <c r="B98" s="19"/>
      <c r="C98" s="26"/>
      <c r="D98" s="26"/>
      <c r="E98" s="26"/>
      <c r="F98" s="20">
        <v>26033005.00000003</v>
      </c>
      <c r="G98" s="26"/>
      <c r="H98" s="19">
        <f t="shared" si="20"/>
        <v>26033005.00000003</v>
      </c>
      <c r="I98" s="26"/>
      <c r="J98" s="20">
        <f t="shared" si="21"/>
        <v>26033005.00000003</v>
      </c>
      <c r="K98" s="20">
        <v>24370472</v>
      </c>
      <c r="L98" s="20">
        <f t="shared" si="16"/>
        <v>-1662533.0000000298</v>
      </c>
      <c r="M98" s="21">
        <f t="shared" si="17"/>
        <v>0.93613749161881132</v>
      </c>
    </row>
    <row r="99" spans="1:13" s="41" customFormat="1" ht="15" hidden="1" outlineLevel="1" x14ac:dyDescent="0.25">
      <c r="A99" s="42" t="s">
        <v>106</v>
      </c>
      <c r="B99" s="19"/>
      <c r="C99" s="26"/>
      <c r="D99" s="26"/>
      <c r="E99" s="26"/>
      <c r="F99" s="20">
        <v>496480500.00000006</v>
      </c>
      <c r="G99" s="26"/>
      <c r="H99" s="19">
        <f t="shared" si="20"/>
        <v>496480500.00000006</v>
      </c>
      <c r="I99" s="26"/>
      <c r="J99" s="20">
        <f t="shared" si="21"/>
        <v>496480500.00000006</v>
      </c>
      <c r="K99" s="20">
        <v>494515918</v>
      </c>
      <c r="L99" s="20">
        <f t="shared" si="16"/>
        <v>-1964582.0000000596</v>
      </c>
      <c r="M99" s="21">
        <f t="shared" si="17"/>
        <v>0.99604298255419887</v>
      </c>
    </row>
    <row r="100" spans="1:13" s="41" customFormat="1" ht="15" hidden="1" outlineLevel="1" x14ac:dyDescent="0.25">
      <c r="A100" s="42" t="s">
        <v>107</v>
      </c>
      <c r="B100" s="19"/>
      <c r="C100" s="26"/>
      <c r="D100" s="26"/>
      <c r="E100" s="26"/>
      <c r="F100" s="20">
        <v>37562264.000000015</v>
      </c>
      <c r="G100" s="26"/>
      <c r="H100" s="19">
        <f t="shared" si="20"/>
        <v>37562264.000000015</v>
      </c>
      <c r="I100" s="26"/>
      <c r="J100" s="20">
        <f t="shared" si="21"/>
        <v>37562264.000000015</v>
      </c>
      <c r="K100" s="20">
        <v>35032000</v>
      </c>
      <c r="L100" s="20">
        <f t="shared" si="16"/>
        <v>-2530264.0000000149</v>
      </c>
      <c r="M100" s="21">
        <f t="shared" si="17"/>
        <v>0.93263813917073757</v>
      </c>
    </row>
    <row r="101" spans="1:13" s="41" customFormat="1" ht="15" collapsed="1" x14ac:dyDescent="0.25">
      <c r="A101" s="43" t="s">
        <v>108</v>
      </c>
      <c r="B101" s="19"/>
      <c r="C101" s="26"/>
      <c r="D101" s="26"/>
      <c r="E101" s="26"/>
      <c r="F101" s="26">
        <f>SUM(F102:F105)</f>
        <v>45574048</v>
      </c>
      <c r="G101" s="26"/>
      <c r="H101" s="26">
        <f>SUM(H102:H105)</f>
        <v>45574048</v>
      </c>
      <c r="I101" s="26"/>
      <c r="J101" s="26">
        <f>SUM(J102:J105)</f>
        <v>45574048</v>
      </c>
      <c r="K101" s="26">
        <f>SUM(K102:K105)</f>
        <v>25997309</v>
      </c>
      <c r="L101" s="26">
        <f t="shared" si="16"/>
        <v>-19576739</v>
      </c>
      <c r="M101" s="17">
        <f t="shared" si="17"/>
        <v>0.57044107646527253</v>
      </c>
    </row>
    <row r="102" spans="1:13" s="41" customFormat="1" ht="15" hidden="1" outlineLevel="1" x14ac:dyDescent="0.25">
      <c r="A102" s="42" t="s">
        <v>109</v>
      </c>
      <c r="B102" s="19"/>
      <c r="C102" s="26"/>
      <c r="D102" s="26"/>
      <c r="E102" s="26"/>
      <c r="F102" s="20">
        <v>24733323</v>
      </c>
      <c r="G102" s="26"/>
      <c r="H102" s="19">
        <f>+B102+C102+D102+G102+E102+F102</f>
        <v>24733323</v>
      </c>
      <c r="I102" s="26"/>
      <c r="J102" s="20">
        <f>+H102+I102</f>
        <v>24733323</v>
      </c>
      <c r="K102" s="20">
        <v>10997310</v>
      </c>
      <c r="L102" s="20">
        <f t="shared" si="16"/>
        <v>-13736013</v>
      </c>
      <c r="M102" s="21">
        <f t="shared" si="17"/>
        <v>0.44463536096625594</v>
      </c>
    </row>
    <row r="103" spans="1:13" s="41" customFormat="1" ht="15" hidden="1" outlineLevel="1" x14ac:dyDescent="0.25">
      <c r="A103" s="42" t="s">
        <v>110</v>
      </c>
      <c r="B103" s="19"/>
      <c r="C103" s="26"/>
      <c r="D103" s="26"/>
      <c r="E103" s="26"/>
      <c r="F103" s="20"/>
      <c r="G103" s="26"/>
      <c r="H103" s="19">
        <f>+B103+C103+D103+G103+E103+F103</f>
        <v>0</v>
      </c>
      <c r="I103" s="26"/>
      <c r="J103" s="20">
        <f>+H103+I103</f>
        <v>0</v>
      </c>
      <c r="K103" s="20"/>
      <c r="L103" s="20">
        <f t="shared" si="16"/>
        <v>0</v>
      </c>
      <c r="M103" s="21">
        <f t="shared" si="17"/>
        <v>0</v>
      </c>
    </row>
    <row r="104" spans="1:13" s="41" customFormat="1" ht="15" hidden="1" outlineLevel="1" x14ac:dyDescent="0.25">
      <c r="A104" s="42" t="s">
        <v>111</v>
      </c>
      <c r="B104" s="19"/>
      <c r="C104" s="26"/>
      <c r="D104" s="26"/>
      <c r="E104" s="26"/>
      <c r="F104" s="20">
        <v>20840725</v>
      </c>
      <c r="G104" s="26"/>
      <c r="H104" s="19">
        <f t="shared" ref="H104:H111" si="22">+B104+C104+D104+G104+E104+F104</f>
        <v>20840725</v>
      </c>
      <c r="I104" s="26"/>
      <c r="J104" s="20">
        <f t="shared" ref="J104:J111" si="23">+H104+I104</f>
        <v>20840725</v>
      </c>
      <c r="K104" s="20">
        <v>14999999</v>
      </c>
      <c r="L104" s="20">
        <f t="shared" si="16"/>
        <v>-5840726</v>
      </c>
      <c r="M104" s="21">
        <f t="shared" si="17"/>
        <v>0.71974458662066698</v>
      </c>
    </row>
    <row r="105" spans="1:13" s="41" customFormat="1" ht="15" hidden="1" outlineLevel="1" x14ac:dyDescent="0.25">
      <c r="A105" s="42" t="s">
        <v>112</v>
      </c>
      <c r="B105" s="19"/>
      <c r="C105" s="26"/>
      <c r="D105" s="26"/>
      <c r="E105" s="26"/>
      <c r="F105" s="20"/>
      <c r="G105" s="26"/>
      <c r="H105" s="19">
        <f t="shared" si="22"/>
        <v>0</v>
      </c>
      <c r="I105" s="26"/>
      <c r="J105" s="20">
        <f t="shared" si="23"/>
        <v>0</v>
      </c>
      <c r="K105" s="20"/>
      <c r="L105" s="20">
        <f t="shared" si="16"/>
        <v>0</v>
      </c>
      <c r="M105" s="21">
        <f t="shared" si="17"/>
        <v>0</v>
      </c>
    </row>
    <row r="106" spans="1:13" s="41" customFormat="1" ht="15" collapsed="1" x14ac:dyDescent="0.25">
      <c r="A106" s="43" t="s">
        <v>113</v>
      </c>
      <c r="B106" s="16"/>
      <c r="C106" s="16"/>
      <c r="D106" s="16"/>
      <c r="E106" s="16"/>
      <c r="F106" s="16">
        <f>SUM(F107:F111)</f>
        <v>237152766</v>
      </c>
      <c r="G106" s="16"/>
      <c r="H106" s="16">
        <f>+B106+C106+D106+G106+E106+F106</f>
        <v>237152766</v>
      </c>
      <c r="I106" s="16"/>
      <c r="J106" s="16">
        <f t="shared" si="23"/>
        <v>237152766</v>
      </c>
      <c r="K106" s="16">
        <f>SUM(K107:K111)</f>
        <v>216000211</v>
      </c>
      <c r="L106" s="16">
        <f t="shared" si="16"/>
        <v>-21152555</v>
      </c>
      <c r="M106" s="17">
        <f t="shared" si="17"/>
        <v>0.9108062058192482</v>
      </c>
    </row>
    <row r="107" spans="1:13" s="41" customFormat="1" ht="15" hidden="1" outlineLevel="1" x14ac:dyDescent="0.25">
      <c r="A107" s="42" t="s">
        <v>114</v>
      </c>
      <c r="B107" s="19"/>
      <c r="C107" s="26"/>
      <c r="D107" s="26"/>
      <c r="E107" s="26"/>
      <c r="F107" s="20">
        <v>22485834</v>
      </c>
      <c r="G107" s="26"/>
      <c r="H107" s="19">
        <f t="shared" si="22"/>
        <v>22485834</v>
      </c>
      <c r="I107" s="26"/>
      <c r="J107" s="20">
        <f t="shared" si="23"/>
        <v>22485834</v>
      </c>
      <c r="K107" s="20">
        <v>14587508</v>
      </c>
      <c r="L107" s="20">
        <f t="shared" si="16"/>
        <v>-7898326</v>
      </c>
      <c r="M107" s="21">
        <f t="shared" si="17"/>
        <v>0.64874213693830529</v>
      </c>
    </row>
    <row r="108" spans="1:13" s="41" customFormat="1" ht="15" hidden="1" outlineLevel="1" x14ac:dyDescent="0.25">
      <c r="A108" s="42" t="s">
        <v>115</v>
      </c>
      <c r="B108" s="19"/>
      <c r="C108" s="26"/>
      <c r="D108" s="26"/>
      <c r="E108" s="26"/>
      <c r="F108" s="20">
        <v>14848615</v>
      </c>
      <c r="G108" s="26"/>
      <c r="H108" s="19">
        <f t="shared" si="22"/>
        <v>14848615</v>
      </c>
      <c r="I108" s="26"/>
      <c r="J108" s="20">
        <f t="shared" si="23"/>
        <v>14848615</v>
      </c>
      <c r="K108" s="20">
        <v>13504531</v>
      </c>
      <c r="L108" s="20">
        <f t="shared" si="16"/>
        <v>-1344084</v>
      </c>
      <c r="M108" s="21">
        <f t="shared" si="17"/>
        <v>0.90948085057091188</v>
      </c>
    </row>
    <row r="109" spans="1:13" s="41" customFormat="1" ht="15" hidden="1" outlineLevel="1" x14ac:dyDescent="0.25">
      <c r="A109" s="42" t="s">
        <v>116</v>
      </c>
      <c r="B109" s="19"/>
      <c r="C109" s="26"/>
      <c r="D109" s="26"/>
      <c r="E109" s="26"/>
      <c r="F109" s="20">
        <v>44737124</v>
      </c>
      <c r="G109" s="26"/>
      <c r="H109" s="19">
        <f t="shared" si="22"/>
        <v>44737124</v>
      </c>
      <c r="I109" s="26"/>
      <c r="J109" s="20">
        <f t="shared" si="23"/>
        <v>44737124</v>
      </c>
      <c r="K109" s="20">
        <v>44644020</v>
      </c>
      <c r="L109" s="20">
        <f t="shared" si="16"/>
        <v>-93104</v>
      </c>
      <c r="M109" s="21">
        <f t="shared" si="17"/>
        <v>0.9979188648783055</v>
      </c>
    </row>
    <row r="110" spans="1:13" s="41" customFormat="1" ht="15" hidden="1" outlineLevel="1" x14ac:dyDescent="0.25">
      <c r="A110" s="42" t="s">
        <v>117</v>
      </c>
      <c r="B110" s="19"/>
      <c r="C110" s="26"/>
      <c r="D110" s="26"/>
      <c r="E110" s="26"/>
      <c r="F110" s="20">
        <v>111091953</v>
      </c>
      <c r="G110" s="26"/>
      <c r="H110" s="19">
        <f t="shared" si="22"/>
        <v>111091953</v>
      </c>
      <c r="I110" s="26"/>
      <c r="J110" s="20">
        <f t="shared" si="23"/>
        <v>111091953</v>
      </c>
      <c r="K110" s="20">
        <v>111091953</v>
      </c>
      <c r="L110" s="20">
        <f t="shared" si="16"/>
        <v>0</v>
      </c>
      <c r="M110" s="21">
        <f t="shared" si="17"/>
        <v>1</v>
      </c>
    </row>
    <row r="111" spans="1:13" s="41" customFormat="1" ht="15" hidden="1" outlineLevel="1" x14ac:dyDescent="0.25">
      <c r="A111" s="42" t="s">
        <v>118</v>
      </c>
      <c r="B111" s="19"/>
      <c r="C111" s="26"/>
      <c r="D111" s="26"/>
      <c r="E111" s="26"/>
      <c r="F111" s="20">
        <v>43989240</v>
      </c>
      <c r="G111" s="26"/>
      <c r="H111" s="19">
        <f t="shared" si="22"/>
        <v>43989240</v>
      </c>
      <c r="I111" s="26"/>
      <c r="J111" s="20">
        <f t="shared" si="23"/>
        <v>43989240</v>
      </c>
      <c r="K111" s="20">
        <v>32172199</v>
      </c>
      <c r="L111" s="20">
        <f t="shared" si="16"/>
        <v>-11817041</v>
      </c>
      <c r="M111" s="21">
        <f t="shared" si="17"/>
        <v>0.7313651929426378</v>
      </c>
    </row>
    <row r="112" spans="1:13" s="41" customFormat="1" ht="15" collapsed="1" x14ac:dyDescent="0.25">
      <c r="A112" s="42"/>
      <c r="B112" s="19"/>
      <c r="C112" s="26"/>
      <c r="D112" s="26"/>
      <c r="E112" s="26"/>
      <c r="F112" s="20"/>
      <c r="G112" s="26"/>
      <c r="H112" s="19"/>
      <c r="I112" s="26"/>
      <c r="J112" s="20"/>
      <c r="K112" s="20"/>
      <c r="L112" s="20"/>
      <c r="M112" s="21"/>
    </row>
    <row r="113" spans="1:13" s="41" customFormat="1" ht="15" x14ac:dyDescent="0.25">
      <c r="A113" s="43" t="s">
        <v>119</v>
      </c>
      <c r="B113" s="26"/>
      <c r="C113" s="26"/>
      <c r="D113" s="26"/>
      <c r="E113" s="26"/>
      <c r="F113" s="26"/>
      <c r="G113" s="26">
        <f>+G114+G119+G122+G129+G132</f>
        <v>4230736945.7302003</v>
      </c>
      <c r="H113" s="26">
        <f>+H114+H119+H122+H129+H132</f>
        <v>4230736945.7302003</v>
      </c>
      <c r="I113" s="26"/>
      <c r="J113" s="26">
        <f>+J114+J119+J122+J129+J132</f>
        <v>4230736945.7302003</v>
      </c>
      <c r="K113" s="26">
        <f>+K114+K119+K122+K129+K132</f>
        <v>3372552681</v>
      </c>
      <c r="L113" s="26">
        <f t="shared" ref="L113:L135" si="24">+K113-J113</f>
        <v>-858184264.73020029</v>
      </c>
      <c r="M113" s="17">
        <f t="shared" ref="M113:M135" si="25">IFERROR(K113/J113,0)</f>
        <v>0.79715489860547628</v>
      </c>
    </row>
    <row r="114" spans="1:13" s="41" customFormat="1" ht="15" x14ac:dyDescent="0.25">
      <c r="A114" s="43" t="s">
        <v>120</v>
      </c>
      <c r="B114" s="26"/>
      <c r="C114" s="26"/>
      <c r="D114" s="26"/>
      <c r="E114" s="16"/>
      <c r="F114" s="26"/>
      <c r="G114" s="16">
        <f>SUM(G115:G118)</f>
        <v>599849371.64120007</v>
      </c>
      <c r="H114" s="16">
        <f>SUM(H115:H118)</f>
        <v>599849371.64120007</v>
      </c>
      <c r="I114" s="26"/>
      <c r="J114" s="16">
        <f>SUM(J115:J118)</f>
        <v>599849371.64120007</v>
      </c>
      <c r="K114" s="16">
        <f>SUM(K115:K118)</f>
        <v>596664359</v>
      </c>
      <c r="L114" s="16">
        <f t="shared" si="24"/>
        <v>-3185012.6412000656</v>
      </c>
      <c r="M114" s="17">
        <f t="shared" si="25"/>
        <v>0.99469031261550578</v>
      </c>
    </row>
    <row r="115" spans="1:13" s="41" customFormat="1" ht="15" hidden="1" outlineLevel="1" x14ac:dyDescent="0.25">
      <c r="A115" s="42" t="s">
        <v>121</v>
      </c>
      <c r="B115" s="26"/>
      <c r="C115" s="26"/>
      <c r="D115" s="26"/>
      <c r="E115" s="19"/>
      <c r="F115" s="26"/>
      <c r="G115" s="19">
        <f>338250945.198+5900000</f>
        <v>344150945.19800001</v>
      </c>
      <c r="H115" s="19">
        <f>+B115+C115+D115+G115+E115+F115</f>
        <v>344150945.19800001</v>
      </c>
      <c r="I115" s="26"/>
      <c r="J115" s="20">
        <f>+H115+I115</f>
        <v>344150945.19800001</v>
      </c>
      <c r="K115" s="20">
        <v>344150945</v>
      </c>
      <c r="L115" s="20">
        <f t="shared" si="24"/>
        <v>-0.19800001382827759</v>
      </c>
      <c r="M115" s="21">
        <f t="shared" si="25"/>
        <v>0.99999999942467099</v>
      </c>
    </row>
    <row r="116" spans="1:13" s="41" customFormat="1" ht="15" hidden="1" outlineLevel="1" x14ac:dyDescent="0.25">
      <c r="A116" s="42" t="s">
        <v>122</v>
      </c>
      <c r="B116" s="26"/>
      <c r="C116" s="26"/>
      <c r="D116" s="26"/>
      <c r="E116" s="19"/>
      <c r="F116" s="26"/>
      <c r="G116" s="19">
        <f>82063301-1022547</f>
        <v>81040754</v>
      </c>
      <c r="H116" s="19">
        <f>+B116+C116+D116+G116+E116+F116</f>
        <v>81040754</v>
      </c>
      <c r="I116" s="26"/>
      <c r="J116" s="20">
        <f>+H116+I116</f>
        <v>81040754</v>
      </c>
      <c r="K116" s="20">
        <v>80044824</v>
      </c>
      <c r="L116" s="20">
        <f t="shared" si="24"/>
        <v>-995930</v>
      </c>
      <c r="M116" s="21">
        <f t="shared" si="25"/>
        <v>0.9877107510623605</v>
      </c>
    </row>
    <row r="117" spans="1:13" s="41" customFormat="1" ht="15" hidden="1" outlineLevel="1" x14ac:dyDescent="0.25">
      <c r="A117" s="42" t="s">
        <v>123</v>
      </c>
      <c r="B117" s="26"/>
      <c r="C117" s="26"/>
      <c r="D117" s="26"/>
      <c r="E117" s="19"/>
      <c r="F117" s="26"/>
      <c r="G117" s="19">
        <v>21579688.443200007</v>
      </c>
      <c r="H117" s="19">
        <f>+B117+C117+D117+G117+E117+F117</f>
        <v>21579688.443200007</v>
      </c>
      <c r="I117" s="26"/>
      <c r="J117" s="20">
        <f>+H117+I117</f>
        <v>21579688.443200007</v>
      </c>
      <c r="K117" s="20">
        <v>19390606</v>
      </c>
      <c r="L117" s="20">
        <f t="shared" si="24"/>
        <v>-2189082.4432000071</v>
      </c>
      <c r="M117" s="21">
        <f t="shared" si="25"/>
        <v>0.89855819981081286</v>
      </c>
    </row>
    <row r="118" spans="1:13" s="41" customFormat="1" ht="15" hidden="1" outlineLevel="1" x14ac:dyDescent="0.25">
      <c r="A118" s="42" t="s">
        <v>124</v>
      </c>
      <c r="B118" s="26"/>
      <c r="C118" s="26"/>
      <c r="D118" s="26"/>
      <c r="E118" s="19"/>
      <c r="F118" s="26"/>
      <c r="G118" s="19">
        <f>157955437+1022547-5900000</f>
        <v>153077984</v>
      </c>
      <c r="H118" s="19">
        <f>+B118+C118+D118+G118+E118+F118</f>
        <v>153077984</v>
      </c>
      <c r="I118" s="26"/>
      <c r="J118" s="20">
        <f>+H118+I118</f>
        <v>153077984</v>
      </c>
      <c r="K118" s="20">
        <v>153077984</v>
      </c>
      <c r="L118" s="20">
        <f t="shared" si="24"/>
        <v>0</v>
      </c>
      <c r="M118" s="21">
        <f t="shared" si="25"/>
        <v>1</v>
      </c>
    </row>
    <row r="119" spans="1:13" s="41" customFormat="1" ht="15" collapsed="1" x14ac:dyDescent="0.25">
      <c r="A119" s="43" t="s">
        <v>125</v>
      </c>
      <c r="B119" s="26"/>
      <c r="C119" s="26"/>
      <c r="D119" s="26"/>
      <c r="E119" s="16"/>
      <c r="F119" s="26"/>
      <c r="G119" s="16">
        <f>SUM(G120:G121)</f>
        <v>311180602.14999998</v>
      </c>
      <c r="H119" s="16">
        <f>SUM(H120:H121)</f>
        <v>311180602.14999998</v>
      </c>
      <c r="I119" s="26"/>
      <c r="J119" s="16">
        <f>SUM(J120:J121)</f>
        <v>311180602.14999998</v>
      </c>
      <c r="K119" s="16">
        <f>SUM(K120:K121)</f>
        <v>148360962</v>
      </c>
      <c r="L119" s="16">
        <f t="shared" si="24"/>
        <v>-162819640.14999998</v>
      </c>
      <c r="M119" s="17">
        <f t="shared" si="25"/>
        <v>0.47676802787496636</v>
      </c>
    </row>
    <row r="120" spans="1:13" s="41" customFormat="1" ht="15" hidden="1" outlineLevel="1" x14ac:dyDescent="0.25">
      <c r="A120" s="42" t="s">
        <v>126</v>
      </c>
      <c r="B120" s="26"/>
      <c r="C120" s="26"/>
      <c r="D120" s="26"/>
      <c r="E120" s="19"/>
      <c r="F120" s="26"/>
      <c r="G120" s="19">
        <v>125938663</v>
      </c>
      <c r="H120" s="19">
        <f>+B120+C120+D120+G120+E120+F120</f>
        <v>125938663</v>
      </c>
      <c r="I120" s="26"/>
      <c r="J120" s="20">
        <f>+H120+I120</f>
        <v>125938663</v>
      </c>
      <c r="K120" s="20">
        <v>118115122</v>
      </c>
      <c r="L120" s="20">
        <f t="shared" si="24"/>
        <v>-7823541</v>
      </c>
      <c r="M120" s="21">
        <f t="shared" si="25"/>
        <v>0.93787816375341382</v>
      </c>
    </row>
    <row r="121" spans="1:13" s="41" customFormat="1" ht="15" hidden="1" outlineLevel="1" x14ac:dyDescent="0.25">
      <c r="A121" s="42" t="s">
        <v>127</v>
      </c>
      <c r="B121" s="26"/>
      <c r="C121" s="26"/>
      <c r="D121" s="26"/>
      <c r="E121" s="19"/>
      <c r="F121" s="26"/>
      <c r="G121" s="19">
        <v>185241939.15000001</v>
      </c>
      <c r="H121" s="19">
        <f>+B121+C121+D121+G121+E121+F121</f>
        <v>185241939.15000001</v>
      </c>
      <c r="I121" s="26"/>
      <c r="J121" s="20">
        <f>+H121+I121</f>
        <v>185241939.15000001</v>
      </c>
      <c r="K121" s="20">
        <v>30245840</v>
      </c>
      <c r="L121" s="20">
        <f t="shared" si="24"/>
        <v>-154996099.15000001</v>
      </c>
      <c r="M121" s="21">
        <f t="shared" si="25"/>
        <v>0.16327749611554421</v>
      </c>
    </row>
    <row r="122" spans="1:13" s="41" customFormat="1" ht="15" collapsed="1" x14ac:dyDescent="0.25">
      <c r="A122" s="43" t="s">
        <v>128</v>
      </c>
      <c r="B122" s="26"/>
      <c r="C122" s="26"/>
      <c r="D122" s="26"/>
      <c r="E122" s="16"/>
      <c r="F122" s="26"/>
      <c r="G122" s="16">
        <f>SUM(G123:G128)</f>
        <v>1047095121</v>
      </c>
      <c r="H122" s="16">
        <f>SUM(H123:H128)</f>
        <v>1047095121</v>
      </c>
      <c r="I122" s="26"/>
      <c r="J122" s="16">
        <f>SUM(J123:J128)</f>
        <v>1047095121</v>
      </c>
      <c r="K122" s="16">
        <f>SUM(K123:K128)</f>
        <v>1037769476</v>
      </c>
      <c r="L122" s="16">
        <f t="shared" si="24"/>
        <v>-9325645</v>
      </c>
      <c r="M122" s="17">
        <f t="shared" si="25"/>
        <v>0.99109379385600249</v>
      </c>
    </row>
    <row r="123" spans="1:13" s="41" customFormat="1" ht="15" hidden="1" outlineLevel="1" x14ac:dyDescent="0.25">
      <c r="A123" s="42" t="s">
        <v>129</v>
      </c>
      <c r="B123" s="26"/>
      <c r="C123" s="26"/>
      <c r="D123" s="26"/>
      <c r="E123" s="19"/>
      <c r="F123" s="26"/>
      <c r="G123" s="19">
        <f>22000000-1150000</f>
        <v>20850000</v>
      </c>
      <c r="H123" s="19">
        <f t="shared" ref="H123:H128" si="26">+B123+C123+D123+G123+E123+F123</f>
        <v>20850000</v>
      </c>
      <c r="I123" s="26"/>
      <c r="J123" s="20">
        <f t="shared" ref="J123:J128" si="27">+H123+I123</f>
        <v>20850000</v>
      </c>
      <c r="K123" s="20">
        <v>20847360</v>
      </c>
      <c r="L123" s="20">
        <f t="shared" si="24"/>
        <v>-2640</v>
      </c>
      <c r="M123" s="21">
        <f t="shared" si="25"/>
        <v>0.99987338129496406</v>
      </c>
    </row>
    <row r="124" spans="1:13" s="41" customFormat="1" ht="15" hidden="1" outlineLevel="1" x14ac:dyDescent="0.25">
      <c r="A124" s="42" t="s">
        <v>128</v>
      </c>
      <c r="B124" s="26"/>
      <c r="C124" s="26"/>
      <c r="D124" s="26"/>
      <c r="E124" s="19"/>
      <c r="F124" s="26"/>
      <c r="G124" s="19">
        <f>851770522-9000000+94450000</f>
        <v>937220522</v>
      </c>
      <c r="H124" s="19">
        <f t="shared" si="26"/>
        <v>937220522</v>
      </c>
      <c r="I124" s="26"/>
      <c r="J124" s="20">
        <f t="shared" si="27"/>
        <v>937220522</v>
      </c>
      <c r="K124" s="20">
        <v>928247326</v>
      </c>
      <c r="L124" s="20">
        <f t="shared" si="24"/>
        <v>-8973196</v>
      </c>
      <c r="M124" s="21">
        <f t="shared" si="25"/>
        <v>0.99042573675099277</v>
      </c>
    </row>
    <row r="125" spans="1:13" s="41" customFormat="1" ht="15" hidden="1" outlineLevel="1" x14ac:dyDescent="0.25">
      <c r="A125" s="42" t="s">
        <v>130</v>
      </c>
      <c r="B125" s="26"/>
      <c r="C125" s="26"/>
      <c r="D125" s="26"/>
      <c r="E125" s="19"/>
      <c r="F125" s="26"/>
      <c r="G125" s="19">
        <f>28582911-9600000</f>
        <v>18982911</v>
      </c>
      <c r="H125" s="19">
        <f t="shared" si="26"/>
        <v>18982911</v>
      </c>
      <c r="I125" s="26"/>
      <c r="J125" s="20">
        <f t="shared" si="27"/>
        <v>18982911</v>
      </c>
      <c r="K125" s="20">
        <v>18955556</v>
      </c>
      <c r="L125" s="20">
        <f t="shared" si="24"/>
        <v>-27355</v>
      </c>
      <c r="M125" s="21">
        <f t="shared" si="25"/>
        <v>0.99855896706253322</v>
      </c>
    </row>
    <row r="126" spans="1:13" s="41" customFormat="1" ht="15" hidden="1" outlineLevel="1" x14ac:dyDescent="0.25">
      <c r="A126" s="42" t="s">
        <v>131</v>
      </c>
      <c r="B126" s="26"/>
      <c r="C126" s="26"/>
      <c r="D126" s="26"/>
      <c r="E126" s="19"/>
      <c r="F126" s="26"/>
      <c r="G126" s="19">
        <f>30702894-15400000</f>
        <v>15302894</v>
      </c>
      <c r="H126" s="19">
        <f t="shared" si="26"/>
        <v>15302894</v>
      </c>
      <c r="I126" s="26"/>
      <c r="J126" s="20">
        <f t="shared" si="27"/>
        <v>15302894</v>
      </c>
      <c r="K126" s="20">
        <v>15296423</v>
      </c>
      <c r="L126" s="20">
        <f t="shared" si="24"/>
        <v>-6471</v>
      </c>
      <c r="M126" s="21">
        <f t="shared" si="25"/>
        <v>0.99957713880786214</v>
      </c>
    </row>
    <row r="127" spans="1:13" s="41" customFormat="1" ht="15" hidden="1" outlineLevel="1" x14ac:dyDescent="0.25">
      <c r="A127" s="42" t="s">
        <v>132</v>
      </c>
      <c r="B127" s="26"/>
      <c r="C127" s="26"/>
      <c r="D127" s="26"/>
      <c r="E127" s="19"/>
      <c r="F127" s="26"/>
      <c r="G127" s="19">
        <f>116666011+648000+9000000-73400000</f>
        <v>52914011</v>
      </c>
      <c r="H127" s="19">
        <f t="shared" si="26"/>
        <v>52914011</v>
      </c>
      <c r="I127" s="26"/>
      <c r="J127" s="20">
        <f t="shared" si="27"/>
        <v>52914011</v>
      </c>
      <c r="K127" s="20">
        <v>52913912</v>
      </c>
      <c r="L127" s="20">
        <f t="shared" si="24"/>
        <v>-99</v>
      </c>
      <c r="M127" s="21">
        <f t="shared" si="25"/>
        <v>0.99999812903996255</v>
      </c>
    </row>
    <row r="128" spans="1:13" s="41" customFormat="1" ht="15" hidden="1" outlineLevel="1" x14ac:dyDescent="0.25">
      <c r="A128" s="42" t="s">
        <v>133</v>
      </c>
      <c r="B128" s="26"/>
      <c r="C128" s="26"/>
      <c r="D128" s="26"/>
      <c r="E128" s="19"/>
      <c r="F128" s="26"/>
      <c r="G128" s="19">
        <f>2472783-648000</f>
        <v>1824783</v>
      </c>
      <c r="H128" s="19">
        <f t="shared" si="26"/>
        <v>1824783</v>
      </c>
      <c r="I128" s="26"/>
      <c r="J128" s="20">
        <f t="shared" si="27"/>
        <v>1824783</v>
      </c>
      <c r="K128" s="20">
        <v>1508899</v>
      </c>
      <c r="L128" s="20">
        <f t="shared" si="24"/>
        <v>-315884</v>
      </c>
      <c r="M128" s="21">
        <f t="shared" si="25"/>
        <v>0.82689229349462379</v>
      </c>
    </row>
    <row r="129" spans="1:13" s="41" customFormat="1" ht="15" collapsed="1" x14ac:dyDescent="0.25">
      <c r="A129" s="43" t="s">
        <v>134</v>
      </c>
      <c r="B129" s="26"/>
      <c r="C129" s="26"/>
      <c r="D129" s="26"/>
      <c r="E129" s="16"/>
      <c r="F129" s="26"/>
      <c r="G129" s="16">
        <f>SUM(G130:G131)</f>
        <v>157822992</v>
      </c>
      <c r="H129" s="16">
        <f>SUM(H130:H131)</f>
        <v>157822992</v>
      </c>
      <c r="I129" s="26"/>
      <c r="J129" s="16">
        <f>SUM(J130:J131)</f>
        <v>157822992</v>
      </c>
      <c r="K129" s="16">
        <f>SUM(K130:K131)</f>
        <v>98278049</v>
      </c>
      <c r="L129" s="16">
        <f t="shared" si="24"/>
        <v>-59544943</v>
      </c>
      <c r="M129" s="17">
        <f t="shared" si="25"/>
        <v>0.6227105933969368</v>
      </c>
    </row>
    <row r="130" spans="1:13" s="41" customFormat="1" ht="15" hidden="1" outlineLevel="1" x14ac:dyDescent="0.25">
      <c r="A130" s="42" t="s">
        <v>135</v>
      </c>
      <c r="B130" s="26"/>
      <c r="C130" s="26"/>
      <c r="D130" s="26"/>
      <c r="E130" s="19"/>
      <c r="F130" s="26"/>
      <c r="G130" s="19">
        <v>106905851</v>
      </c>
      <c r="H130" s="19">
        <f>+B130+C130+D130+G130+E130+F130</f>
        <v>106905851</v>
      </c>
      <c r="I130" s="26"/>
      <c r="J130" s="20">
        <f>+H130+I130</f>
        <v>106905851</v>
      </c>
      <c r="K130" s="20">
        <v>49245400</v>
      </c>
      <c r="L130" s="20">
        <f t="shared" si="24"/>
        <v>-57660451</v>
      </c>
      <c r="M130" s="21">
        <f t="shared" si="25"/>
        <v>0.46064270139900948</v>
      </c>
    </row>
    <row r="131" spans="1:13" s="41" customFormat="1" ht="15" hidden="1" outlineLevel="1" x14ac:dyDescent="0.25">
      <c r="A131" s="42" t="s">
        <v>136</v>
      </c>
      <c r="B131" s="26"/>
      <c r="C131" s="26"/>
      <c r="D131" s="26"/>
      <c r="E131" s="19"/>
      <c r="F131" s="26"/>
      <c r="G131" s="19">
        <v>50917141</v>
      </c>
      <c r="H131" s="19">
        <f>+B131+C131+D131+G131+E131+F131</f>
        <v>50917141</v>
      </c>
      <c r="I131" s="26"/>
      <c r="J131" s="20">
        <f>+H131+I131</f>
        <v>50917141</v>
      </c>
      <c r="K131" s="20">
        <v>49032649</v>
      </c>
      <c r="L131" s="20">
        <f t="shared" si="24"/>
        <v>-1884492</v>
      </c>
      <c r="M131" s="21">
        <f t="shared" si="25"/>
        <v>0.96298904528044893</v>
      </c>
    </row>
    <row r="132" spans="1:13" s="41" customFormat="1" ht="15" collapsed="1" x14ac:dyDescent="0.25">
      <c r="A132" s="43" t="s">
        <v>137</v>
      </c>
      <c r="B132" s="26"/>
      <c r="C132" s="26"/>
      <c r="D132" s="26"/>
      <c r="E132" s="26"/>
      <c r="F132" s="26"/>
      <c r="G132" s="26">
        <f>SUM(G133:G135)</f>
        <v>2114788858.9390001</v>
      </c>
      <c r="H132" s="26">
        <f>SUM(H133:H135)</f>
        <v>2114788858.9390001</v>
      </c>
      <c r="I132" s="26"/>
      <c r="J132" s="26">
        <f>SUM(J133:J135)</f>
        <v>2114788858.9390001</v>
      </c>
      <c r="K132" s="26">
        <f>SUM(K133:K135)</f>
        <v>1491479835</v>
      </c>
      <c r="L132" s="26">
        <f t="shared" si="24"/>
        <v>-623309023.93900013</v>
      </c>
      <c r="M132" s="17">
        <f t="shared" si="25"/>
        <v>0.70526181783853481</v>
      </c>
    </row>
    <row r="133" spans="1:13" s="41" customFormat="1" ht="15" hidden="1" outlineLevel="1" x14ac:dyDescent="0.25">
      <c r="A133" s="42" t="s">
        <v>138</v>
      </c>
      <c r="B133" s="26"/>
      <c r="C133" s="26"/>
      <c r="D133" s="26"/>
      <c r="E133" s="20"/>
      <c r="F133" s="26"/>
      <c r="G133" s="20">
        <f>2055838536.16-3500000</f>
        <v>2052338536.1600001</v>
      </c>
      <c r="H133" s="19">
        <f>+B133+C133+D133+G133+E133+F133</f>
        <v>2052338536.1600001</v>
      </c>
      <c r="I133" s="26"/>
      <c r="J133" s="20">
        <f>+H133+I133</f>
        <v>2052338536.1600001</v>
      </c>
      <c r="K133" s="20">
        <v>1443020741</v>
      </c>
      <c r="L133" s="20">
        <f t="shared" si="24"/>
        <v>-609317795.16000009</v>
      </c>
      <c r="M133" s="21">
        <f t="shared" si="25"/>
        <v>0.70311048376061003</v>
      </c>
    </row>
    <row r="134" spans="1:13" s="41" customFormat="1" ht="15" hidden="1" outlineLevel="1" x14ac:dyDescent="0.25">
      <c r="A134" s="42" t="s">
        <v>139</v>
      </c>
      <c r="B134" s="26"/>
      <c r="C134" s="26"/>
      <c r="D134" s="26"/>
      <c r="E134" s="20"/>
      <c r="F134" s="26"/>
      <c r="G134" s="20">
        <f>24636319.6719999+3500000</f>
        <v>28136319.671999902</v>
      </c>
      <c r="H134" s="19">
        <f>+B134+C134+D134+G134+E134+F134</f>
        <v>28136319.671999902</v>
      </c>
      <c r="I134" s="26"/>
      <c r="J134" s="20">
        <f>+H134+I134</f>
        <v>28136319.671999902</v>
      </c>
      <c r="K134" s="20">
        <v>26140973</v>
      </c>
      <c r="L134" s="20">
        <f t="shared" si="24"/>
        <v>-1995346.6719999015</v>
      </c>
      <c r="M134" s="21">
        <f t="shared" si="25"/>
        <v>0.92908288307565723</v>
      </c>
    </row>
    <row r="135" spans="1:13" s="41" customFormat="1" ht="15" hidden="1" outlineLevel="1" x14ac:dyDescent="0.25">
      <c r="A135" s="42" t="s">
        <v>140</v>
      </c>
      <c r="B135" s="26"/>
      <c r="C135" s="26"/>
      <c r="D135" s="26"/>
      <c r="E135" s="20"/>
      <c r="F135" s="26"/>
      <c r="G135" s="20">
        <v>34314003.106999993</v>
      </c>
      <c r="H135" s="19">
        <f>+B135+C135+D135+G135+E135+F135</f>
        <v>34314003.106999993</v>
      </c>
      <c r="I135" s="26"/>
      <c r="J135" s="20">
        <f>+H135+I135</f>
        <v>34314003.106999993</v>
      </c>
      <c r="K135" s="20">
        <v>22318121</v>
      </c>
      <c r="L135" s="20">
        <f t="shared" si="24"/>
        <v>-11995882.106999993</v>
      </c>
      <c r="M135" s="21">
        <f t="shared" si="25"/>
        <v>0.65040854983915142</v>
      </c>
    </row>
    <row r="136" spans="1:13" s="41" customFormat="1" ht="15" collapsed="1" x14ac:dyDescent="0.25">
      <c r="A136" s="42"/>
      <c r="B136" s="26"/>
      <c r="C136" s="26"/>
      <c r="D136" s="26"/>
      <c r="E136" s="20"/>
      <c r="F136" s="26"/>
      <c r="G136" s="20"/>
      <c r="H136" s="19"/>
      <c r="I136" s="26"/>
      <c r="J136" s="20"/>
      <c r="K136" s="20"/>
      <c r="L136" s="20"/>
      <c r="M136" s="21"/>
    </row>
    <row r="137" spans="1:13" s="46" customFormat="1" ht="15" x14ac:dyDescent="0.25">
      <c r="A137" s="43" t="s">
        <v>141</v>
      </c>
      <c r="B137" s="44"/>
      <c r="C137" s="16">
        <f>+C138+C145+C153</f>
        <v>595784453</v>
      </c>
      <c r="D137" s="44"/>
      <c r="E137" s="45"/>
      <c r="F137" s="44"/>
      <c r="G137" s="45"/>
      <c r="H137" s="16">
        <f>+H138+H145+H153</f>
        <v>595784453</v>
      </c>
      <c r="I137" s="44"/>
      <c r="J137" s="16">
        <f>+H137+I137</f>
        <v>595784453</v>
      </c>
      <c r="K137" s="16">
        <f>+K138+K145+K153</f>
        <v>497576935</v>
      </c>
      <c r="L137" s="16">
        <f t="shared" ref="L137:L157" si="28">+K137-J137</f>
        <v>-98207518</v>
      </c>
      <c r="M137" s="17">
        <f t="shared" ref="M137:M157" si="29">IFERROR(K137/J137,0)</f>
        <v>0.83516267081913931</v>
      </c>
    </row>
    <row r="138" spans="1:13" s="41" customFormat="1" ht="15" x14ac:dyDescent="0.25">
      <c r="A138" s="43" t="s">
        <v>142</v>
      </c>
      <c r="B138" s="44"/>
      <c r="C138" s="26">
        <f>SUM(C139:C144)</f>
        <v>164425363</v>
      </c>
      <c r="D138" s="26"/>
      <c r="E138" s="26"/>
      <c r="F138" s="26"/>
      <c r="G138" s="26"/>
      <c r="H138" s="16">
        <f>+B138+C138+D138+G138+E138+F138</f>
        <v>164425363</v>
      </c>
      <c r="I138" s="16"/>
      <c r="J138" s="26">
        <f>SUM(J139:J144)</f>
        <v>164425363</v>
      </c>
      <c r="K138" s="26">
        <f>SUM(K139:K144)</f>
        <v>154136597</v>
      </c>
      <c r="L138" s="26">
        <f t="shared" si="28"/>
        <v>-10288766</v>
      </c>
      <c r="M138" s="17">
        <f t="shared" si="29"/>
        <v>0.93742591889549298</v>
      </c>
    </row>
    <row r="139" spans="1:13" s="41" customFormat="1" ht="15" hidden="1" outlineLevel="1" x14ac:dyDescent="0.25">
      <c r="A139" s="42" t="s">
        <v>143</v>
      </c>
      <c r="B139" s="44"/>
      <c r="C139" s="20"/>
      <c r="D139" s="26"/>
      <c r="E139" s="26"/>
      <c r="F139" s="26"/>
      <c r="G139" s="26"/>
      <c r="H139" s="20">
        <f>+B139+C139+D139+G139+E139+F139</f>
        <v>0</v>
      </c>
      <c r="I139" s="16"/>
      <c r="J139" s="20">
        <f t="shared" ref="J139:J157" si="30">+H139+I139</f>
        <v>0</v>
      </c>
      <c r="K139" s="20"/>
      <c r="L139" s="20">
        <f t="shared" si="28"/>
        <v>0</v>
      </c>
      <c r="M139" s="21">
        <f t="shared" si="29"/>
        <v>0</v>
      </c>
    </row>
    <row r="140" spans="1:13" s="41" customFormat="1" ht="15" hidden="1" outlineLevel="1" x14ac:dyDescent="0.25">
      <c r="A140" s="42" t="s">
        <v>144</v>
      </c>
      <c r="B140" s="44"/>
      <c r="C140" s="20">
        <f>76341416-18000000</f>
        <v>58341416</v>
      </c>
      <c r="D140" s="26"/>
      <c r="E140" s="26"/>
      <c r="F140" s="26"/>
      <c r="G140" s="26"/>
      <c r="H140" s="20">
        <f t="shared" ref="H140:H157" si="31">+B140+C140+D140+G140+E140+F140</f>
        <v>58341416</v>
      </c>
      <c r="I140" s="16"/>
      <c r="J140" s="20">
        <f t="shared" si="30"/>
        <v>58341416</v>
      </c>
      <c r="K140" s="20">
        <v>53260248</v>
      </c>
      <c r="L140" s="20">
        <f t="shared" si="28"/>
        <v>-5081168</v>
      </c>
      <c r="M140" s="21">
        <f t="shared" si="29"/>
        <v>0.91290633055598103</v>
      </c>
    </row>
    <row r="141" spans="1:13" s="41" customFormat="1" ht="15" hidden="1" outlineLevel="1" x14ac:dyDescent="0.25">
      <c r="A141" s="42" t="s">
        <v>145</v>
      </c>
      <c r="B141" s="44"/>
      <c r="C141" s="20">
        <f>46621748-16000000</f>
        <v>30621748</v>
      </c>
      <c r="D141" s="26"/>
      <c r="E141" s="26"/>
      <c r="F141" s="26"/>
      <c r="G141" s="26"/>
      <c r="H141" s="20">
        <f t="shared" si="31"/>
        <v>30621748</v>
      </c>
      <c r="I141" s="16"/>
      <c r="J141" s="20">
        <f t="shared" si="30"/>
        <v>30621748</v>
      </c>
      <c r="K141" s="20">
        <v>27639569</v>
      </c>
      <c r="L141" s="20">
        <f t="shared" si="28"/>
        <v>-2982179</v>
      </c>
      <c r="M141" s="21">
        <f t="shared" si="29"/>
        <v>0.90261238515841746</v>
      </c>
    </row>
    <row r="142" spans="1:13" s="41" customFormat="1" ht="15" hidden="1" outlineLevel="1" x14ac:dyDescent="0.25">
      <c r="A142" s="42" t="s">
        <v>146</v>
      </c>
      <c r="B142" s="44"/>
      <c r="C142" s="20">
        <f>19286933-10500000</f>
        <v>8786933</v>
      </c>
      <c r="D142" s="26"/>
      <c r="E142" s="26"/>
      <c r="F142" s="26"/>
      <c r="G142" s="26"/>
      <c r="H142" s="20">
        <f t="shared" si="31"/>
        <v>8786933</v>
      </c>
      <c r="I142" s="16"/>
      <c r="J142" s="20">
        <f t="shared" si="30"/>
        <v>8786933</v>
      </c>
      <c r="K142" s="20">
        <v>8161004</v>
      </c>
      <c r="L142" s="20">
        <f t="shared" si="28"/>
        <v>-625929</v>
      </c>
      <c r="M142" s="21">
        <f t="shared" si="29"/>
        <v>0.9287659300463541</v>
      </c>
    </row>
    <row r="143" spans="1:13" s="41" customFormat="1" ht="15" hidden="1" outlineLevel="1" x14ac:dyDescent="0.25">
      <c r="A143" s="42" t="s">
        <v>147</v>
      </c>
      <c r="B143" s="44"/>
      <c r="C143" s="20">
        <f>12575266+52500000</f>
        <v>65075266</v>
      </c>
      <c r="D143" s="26"/>
      <c r="E143" s="26"/>
      <c r="F143" s="26"/>
      <c r="G143" s="26"/>
      <c r="H143" s="20">
        <f t="shared" si="31"/>
        <v>65075266</v>
      </c>
      <c r="I143" s="16"/>
      <c r="J143" s="20">
        <f t="shared" si="30"/>
        <v>65075266</v>
      </c>
      <c r="K143" s="20">
        <v>63546636</v>
      </c>
      <c r="L143" s="20">
        <f t="shared" si="28"/>
        <v>-1528630</v>
      </c>
      <c r="M143" s="21">
        <f t="shared" si="29"/>
        <v>0.9765098155726325</v>
      </c>
    </row>
    <row r="144" spans="1:13" s="41" customFormat="1" ht="15" hidden="1" outlineLevel="1" x14ac:dyDescent="0.25">
      <c r="A144" s="42" t="s">
        <v>148</v>
      </c>
      <c r="B144" s="44"/>
      <c r="C144" s="20">
        <f>9600000-8000000</f>
        <v>1600000</v>
      </c>
      <c r="D144" s="26"/>
      <c r="E144" s="26"/>
      <c r="F144" s="26"/>
      <c r="G144" s="26"/>
      <c r="H144" s="20">
        <f t="shared" si="31"/>
        <v>1600000</v>
      </c>
      <c r="I144" s="16"/>
      <c r="J144" s="20">
        <f t="shared" si="30"/>
        <v>1600000</v>
      </c>
      <c r="K144" s="20">
        <v>1529140</v>
      </c>
      <c r="L144" s="20">
        <f t="shared" si="28"/>
        <v>-70860</v>
      </c>
      <c r="M144" s="21">
        <f t="shared" si="29"/>
        <v>0.95571249999999996</v>
      </c>
    </row>
    <row r="145" spans="1:13" s="41" customFormat="1" ht="15" collapsed="1" x14ac:dyDescent="0.25">
      <c r="A145" s="43" t="s">
        <v>149</v>
      </c>
      <c r="B145" s="44"/>
      <c r="C145" s="26">
        <f>SUM(C146:C152)</f>
        <v>395323188</v>
      </c>
      <c r="D145" s="26"/>
      <c r="E145" s="26"/>
      <c r="F145" s="26"/>
      <c r="G145" s="26"/>
      <c r="H145" s="26">
        <f>SUM(H146:H152)</f>
        <v>395323188</v>
      </c>
      <c r="I145" s="16"/>
      <c r="J145" s="26">
        <f>SUM(J146:J152)</f>
        <v>395323188</v>
      </c>
      <c r="K145" s="26">
        <f>SUM(K146:K152)</f>
        <v>317715918</v>
      </c>
      <c r="L145" s="26">
        <f t="shared" si="28"/>
        <v>-77607270</v>
      </c>
      <c r="M145" s="17">
        <f t="shared" si="29"/>
        <v>0.80368652192494205</v>
      </c>
    </row>
    <row r="146" spans="1:13" s="41" customFormat="1" ht="15" hidden="1" outlineLevel="1" x14ac:dyDescent="0.25">
      <c r="A146" s="42" t="s">
        <v>143</v>
      </c>
      <c r="B146" s="44"/>
      <c r="C146" s="20">
        <v>5750000</v>
      </c>
      <c r="D146" s="26"/>
      <c r="E146" s="26"/>
      <c r="F146" s="26"/>
      <c r="G146" s="26"/>
      <c r="H146" s="20">
        <f t="shared" si="31"/>
        <v>5750000</v>
      </c>
      <c r="I146" s="16"/>
      <c r="J146" s="20">
        <f>+H146+I146</f>
        <v>5750000</v>
      </c>
      <c r="K146" s="20">
        <v>4439200</v>
      </c>
      <c r="L146" s="20">
        <f t="shared" si="28"/>
        <v>-1310800</v>
      </c>
      <c r="M146" s="21">
        <f t="shared" si="29"/>
        <v>0.77203478260869562</v>
      </c>
    </row>
    <row r="147" spans="1:13" s="41" customFormat="1" ht="15" hidden="1" outlineLevel="1" x14ac:dyDescent="0.25">
      <c r="A147" s="42" t="s">
        <v>150</v>
      </c>
      <c r="B147" s="44"/>
      <c r="C147" s="20">
        <v>8000000</v>
      </c>
      <c r="D147" s="26"/>
      <c r="E147" s="26"/>
      <c r="F147" s="26"/>
      <c r="G147" s="26"/>
      <c r="H147" s="20">
        <f t="shared" si="31"/>
        <v>8000000</v>
      </c>
      <c r="I147" s="16"/>
      <c r="J147" s="20">
        <f t="shared" si="30"/>
        <v>8000000</v>
      </c>
      <c r="K147" s="20">
        <v>7027501</v>
      </c>
      <c r="L147" s="20">
        <f t="shared" si="28"/>
        <v>-972499</v>
      </c>
      <c r="M147" s="21">
        <f t="shared" si="29"/>
        <v>0.878437625</v>
      </c>
    </row>
    <row r="148" spans="1:13" s="41" customFormat="1" ht="15" hidden="1" outlineLevel="1" x14ac:dyDescent="0.25">
      <c r="A148" s="42" t="s">
        <v>151</v>
      </c>
      <c r="B148" s="44"/>
      <c r="C148" s="20">
        <v>176339018</v>
      </c>
      <c r="D148" s="26"/>
      <c r="E148" s="26"/>
      <c r="F148" s="26"/>
      <c r="G148" s="26"/>
      <c r="H148" s="20">
        <f t="shared" si="31"/>
        <v>176339018</v>
      </c>
      <c r="I148" s="16"/>
      <c r="J148" s="20">
        <f t="shared" si="30"/>
        <v>176339018</v>
      </c>
      <c r="K148" s="20">
        <v>157043694</v>
      </c>
      <c r="L148" s="20">
        <f t="shared" si="28"/>
        <v>-19295324</v>
      </c>
      <c r="M148" s="21">
        <f t="shared" si="29"/>
        <v>0.89057824967586019</v>
      </c>
    </row>
    <row r="149" spans="1:13" s="41" customFormat="1" ht="15" hidden="1" outlineLevel="1" x14ac:dyDescent="0.25">
      <c r="A149" s="42" t="s">
        <v>152</v>
      </c>
      <c r="B149" s="44"/>
      <c r="C149" s="20">
        <v>49157604</v>
      </c>
      <c r="D149" s="26"/>
      <c r="E149" s="26"/>
      <c r="F149" s="26"/>
      <c r="G149" s="26"/>
      <c r="H149" s="20">
        <f t="shared" si="31"/>
        <v>49157604</v>
      </c>
      <c r="I149" s="16"/>
      <c r="J149" s="20">
        <f t="shared" si="30"/>
        <v>49157604</v>
      </c>
      <c r="K149" s="20">
        <v>20453069</v>
      </c>
      <c r="L149" s="20">
        <f t="shared" si="28"/>
        <v>-28704535</v>
      </c>
      <c r="M149" s="21">
        <f t="shared" si="29"/>
        <v>0.41607131625048283</v>
      </c>
    </row>
    <row r="150" spans="1:13" s="41" customFormat="1" ht="15" hidden="1" outlineLevel="1" x14ac:dyDescent="0.25">
      <c r="A150" s="42" t="s">
        <v>153</v>
      </c>
      <c r="B150" s="44"/>
      <c r="C150" s="20">
        <v>50074210</v>
      </c>
      <c r="D150" s="26"/>
      <c r="E150" s="26"/>
      <c r="F150" s="26"/>
      <c r="G150" s="26"/>
      <c r="H150" s="20">
        <f t="shared" si="31"/>
        <v>50074210</v>
      </c>
      <c r="I150" s="16"/>
      <c r="J150" s="20">
        <f t="shared" si="30"/>
        <v>50074210</v>
      </c>
      <c r="K150" s="20">
        <v>28752454</v>
      </c>
      <c r="L150" s="20">
        <f t="shared" si="28"/>
        <v>-21321756</v>
      </c>
      <c r="M150" s="21">
        <f t="shared" si="29"/>
        <v>0.57419685702480383</v>
      </c>
    </row>
    <row r="151" spans="1:13" s="41" customFormat="1" ht="15" hidden="1" outlineLevel="1" x14ac:dyDescent="0.25">
      <c r="A151" s="42" t="s">
        <v>154</v>
      </c>
      <c r="B151" s="44"/>
      <c r="C151" s="20">
        <v>6002356</v>
      </c>
      <c r="D151" s="26"/>
      <c r="E151" s="26"/>
      <c r="F151" s="26"/>
      <c r="G151" s="26"/>
      <c r="H151" s="20">
        <f t="shared" si="31"/>
        <v>6002356</v>
      </c>
      <c r="I151" s="16"/>
      <c r="J151" s="20">
        <f t="shared" si="30"/>
        <v>6002356</v>
      </c>
      <c r="K151" s="20"/>
      <c r="L151" s="20">
        <f t="shared" si="28"/>
        <v>-6002356</v>
      </c>
      <c r="M151" s="21">
        <f t="shared" si="29"/>
        <v>0</v>
      </c>
    </row>
    <row r="152" spans="1:13" s="41" customFormat="1" ht="15" hidden="1" outlineLevel="1" x14ac:dyDescent="0.25">
      <c r="A152" s="42" t="s">
        <v>155</v>
      </c>
      <c r="B152" s="44"/>
      <c r="C152" s="20">
        <v>100000000</v>
      </c>
      <c r="D152" s="26"/>
      <c r="E152" s="26"/>
      <c r="F152" s="26"/>
      <c r="G152" s="26"/>
      <c r="H152" s="20">
        <f>+B152+C152+D152+G152+E152+F152</f>
        <v>100000000</v>
      </c>
      <c r="I152" s="16"/>
      <c r="J152" s="20">
        <f>+H152+I152</f>
        <v>100000000</v>
      </c>
      <c r="K152" s="20">
        <v>100000000</v>
      </c>
      <c r="L152" s="20">
        <f t="shared" si="28"/>
        <v>0</v>
      </c>
      <c r="M152" s="21">
        <f t="shared" si="29"/>
        <v>1</v>
      </c>
    </row>
    <row r="153" spans="1:13" s="41" customFormat="1" ht="15" collapsed="1" x14ac:dyDescent="0.25">
      <c r="A153" s="43" t="s">
        <v>156</v>
      </c>
      <c r="B153" s="44"/>
      <c r="C153" s="26">
        <f>SUM(C154:C157)</f>
        <v>36035902</v>
      </c>
      <c r="D153" s="26"/>
      <c r="E153" s="26"/>
      <c r="F153" s="26"/>
      <c r="G153" s="26"/>
      <c r="H153" s="16">
        <f>+B153+C153+D153+G153+E153+F153</f>
        <v>36035902</v>
      </c>
      <c r="I153" s="16"/>
      <c r="J153" s="26">
        <f>SUM(J154:J157)</f>
        <v>36035902</v>
      </c>
      <c r="K153" s="26">
        <f>SUM(K154:K157)</f>
        <v>25724420</v>
      </c>
      <c r="L153" s="26">
        <f t="shared" si="28"/>
        <v>-10311482</v>
      </c>
      <c r="M153" s="17">
        <f t="shared" si="29"/>
        <v>0.71385531018482629</v>
      </c>
    </row>
    <row r="154" spans="1:13" s="41" customFormat="1" ht="15" hidden="1" outlineLevel="1" x14ac:dyDescent="0.25">
      <c r="A154" s="42" t="s">
        <v>157</v>
      </c>
      <c r="B154" s="44"/>
      <c r="C154" s="20">
        <v>15836126</v>
      </c>
      <c r="D154" s="26"/>
      <c r="E154" s="26"/>
      <c r="F154" s="26"/>
      <c r="G154" s="26"/>
      <c r="H154" s="20">
        <f t="shared" si="31"/>
        <v>15836126</v>
      </c>
      <c r="I154" s="16"/>
      <c r="J154" s="20">
        <f t="shared" si="30"/>
        <v>15836126</v>
      </c>
      <c r="K154" s="20">
        <v>12170356</v>
      </c>
      <c r="L154" s="20">
        <f t="shared" si="28"/>
        <v>-3665770</v>
      </c>
      <c r="M154" s="21">
        <f t="shared" si="29"/>
        <v>0.76851851267159654</v>
      </c>
    </row>
    <row r="155" spans="1:13" s="41" customFormat="1" ht="15" hidden="1" outlineLevel="1" x14ac:dyDescent="0.25">
      <c r="A155" s="42" t="s">
        <v>158</v>
      </c>
      <c r="B155" s="44"/>
      <c r="C155" s="20">
        <v>0</v>
      </c>
      <c r="D155" s="26"/>
      <c r="E155" s="26"/>
      <c r="F155" s="26"/>
      <c r="G155" s="26"/>
      <c r="H155" s="20">
        <f t="shared" si="31"/>
        <v>0</v>
      </c>
      <c r="I155" s="16"/>
      <c r="J155" s="20">
        <f t="shared" si="30"/>
        <v>0</v>
      </c>
      <c r="K155" s="20"/>
      <c r="L155" s="20">
        <f t="shared" si="28"/>
        <v>0</v>
      </c>
      <c r="M155" s="21">
        <f t="shared" si="29"/>
        <v>0</v>
      </c>
    </row>
    <row r="156" spans="1:13" s="41" customFormat="1" ht="15" hidden="1" outlineLevel="1" x14ac:dyDescent="0.25">
      <c r="A156" s="42" t="s">
        <v>159</v>
      </c>
      <c r="B156" s="44"/>
      <c r="C156" s="20">
        <v>12969503</v>
      </c>
      <c r="D156" s="26"/>
      <c r="E156" s="26"/>
      <c r="F156" s="26"/>
      <c r="G156" s="26"/>
      <c r="H156" s="20">
        <f t="shared" si="31"/>
        <v>12969503</v>
      </c>
      <c r="I156" s="16"/>
      <c r="J156" s="20">
        <f t="shared" si="30"/>
        <v>12969503</v>
      </c>
      <c r="K156" s="20">
        <v>6363791</v>
      </c>
      <c r="L156" s="20">
        <f t="shared" si="28"/>
        <v>-6605712</v>
      </c>
      <c r="M156" s="21">
        <f t="shared" si="29"/>
        <v>0.49067346682444191</v>
      </c>
    </row>
    <row r="157" spans="1:13" s="41" customFormat="1" ht="15" hidden="1" outlineLevel="1" x14ac:dyDescent="0.25">
      <c r="A157" s="42" t="s">
        <v>160</v>
      </c>
      <c r="B157" s="44"/>
      <c r="C157" s="20">
        <v>7230273</v>
      </c>
      <c r="D157" s="26"/>
      <c r="E157" s="26"/>
      <c r="F157" s="26"/>
      <c r="G157" s="26"/>
      <c r="H157" s="20">
        <f t="shared" si="31"/>
        <v>7230273</v>
      </c>
      <c r="I157" s="16"/>
      <c r="J157" s="20">
        <f t="shared" si="30"/>
        <v>7230273</v>
      </c>
      <c r="K157" s="20">
        <v>7190273</v>
      </c>
      <c r="L157" s="20">
        <f t="shared" si="28"/>
        <v>-40000</v>
      </c>
      <c r="M157" s="21">
        <f t="shared" si="29"/>
        <v>0.99446770543795515</v>
      </c>
    </row>
    <row r="158" spans="1:13" s="41" customFormat="1" ht="15" collapsed="1" x14ac:dyDescent="0.25">
      <c r="A158" s="42"/>
      <c r="B158" s="44"/>
      <c r="C158" s="26"/>
      <c r="D158" s="26"/>
      <c r="E158" s="26"/>
      <c r="F158" s="26"/>
      <c r="G158" s="26"/>
      <c r="H158" s="20"/>
      <c r="I158" s="26"/>
      <c r="J158" s="20"/>
      <c r="K158" s="20"/>
      <c r="L158" s="20"/>
      <c r="M158" s="21"/>
    </row>
    <row r="159" spans="1:13" s="41" customFormat="1" ht="15" x14ac:dyDescent="0.25">
      <c r="A159" s="43" t="s">
        <v>161</v>
      </c>
      <c r="B159" s="44"/>
      <c r="C159" s="26"/>
      <c r="D159" s="26">
        <f>+D160+D167+D179</f>
        <v>675342208</v>
      </c>
      <c r="E159" s="26"/>
      <c r="F159" s="26"/>
      <c r="G159" s="26"/>
      <c r="H159" s="26">
        <f>+H160+H167+H179</f>
        <v>675342208</v>
      </c>
      <c r="I159" s="26"/>
      <c r="J159" s="16">
        <f>+H159+I159</f>
        <v>675342208</v>
      </c>
      <c r="K159" s="26">
        <f>+K160+K167+K179</f>
        <v>580898457</v>
      </c>
      <c r="L159" s="26">
        <f t="shared" ref="L159:L191" si="32">+K159-J159</f>
        <v>-94443751</v>
      </c>
      <c r="M159" s="17">
        <f t="shared" ref="M159:M191" si="33">IFERROR(K159/J159,0)</f>
        <v>0.8601542301351317</v>
      </c>
    </row>
    <row r="160" spans="1:13" s="41" customFormat="1" ht="15" x14ac:dyDescent="0.25">
      <c r="A160" s="43" t="s">
        <v>162</v>
      </c>
      <c r="B160" s="26"/>
      <c r="C160" s="26"/>
      <c r="D160" s="26">
        <f>SUM(D161:D166)</f>
        <v>258545462</v>
      </c>
      <c r="E160" s="26"/>
      <c r="F160" s="26"/>
      <c r="G160" s="26"/>
      <c r="H160" s="26">
        <f>SUM(H161:H166)</f>
        <v>258545462</v>
      </c>
      <c r="I160" s="26"/>
      <c r="J160" s="26">
        <f>SUM(J161:J166)</f>
        <v>258545462</v>
      </c>
      <c r="K160" s="26">
        <f>SUM(K161:K166)</f>
        <v>222495665</v>
      </c>
      <c r="L160" s="26">
        <f t="shared" si="32"/>
        <v>-36049797</v>
      </c>
      <c r="M160" s="17">
        <f t="shared" si="33"/>
        <v>0.86056689326072955</v>
      </c>
    </row>
    <row r="161" spans="1:13" s="41" customFormat="1" ht="15" hidden="1" outlineLevel="1" x14ac:dyDescent="0.25">
      <c r="A161" s="42" t="s">
        <v>163</v>
      </c>
      <c r="B161" s="26"/>
      <c r="C161" s="26"/>
      <c r="D161" s="20">
        <v>48964508</v>
      </c>
      <c r="E161" s="26"/>
      <c r="F161" s="26"/>
      <c r="G161" s="26"/>
      <c r="H161" s="19">
        <f t="shared" ref="H161:H166" si="34">+B161+C161+D161+G161+E161+F161</f>
        <v>48964508</v>
      </c>
      <c r="I161" s="26"/>
      <c r="J161" s="20">
        <f t="shared" ref="J161:J166" si="35">+H161+I161</f>
        <v>48964508</v>
      </c>
      <c r="K161" s="20">
        <v>29737322</v>
      </c>
      <c r="L161" s="20">
        <f t="shared" si="32"/>
        <v>-19227186</v>
      </c>
      <c r="M161" s="21">
        <f t="shared" si="33"/>
        <v>0.60732402335177149</v>
      </c>
    </row>
    <row r="162" spans="1:13" s="41" customFormat="1" ht="15" hidden="1" outlineLevel="1" x14ac:dyDescent="0.25">
      <c r="A162" s="42" t="s">
        <v>164</v>
      </c>
      <c r="B162" s="26"/>
      <c r="C162" s="26"/>
      <c r="D162" s="20"/>
      <c r="E162" s="26"/>
      <c r="F162" s="26"/>
      <c r="G162" s="26"/>
      <c r="H162" s="19">
        <f t="shared" si="34"/>
        <v>0</v>
      </c>
      <c r="I162" s="26"/>
      <c r="J162" s="20">
        <f t="shared" si="35"/>
        <v>0</v>
      </c>
      <c r="K162" s="20"/>
      <c r="L162" s="20">
        <f t="shared" si="32"/>
        <v>0</v>
      </c>
      <c r="M162" s="21">
        <f t="shared" si="33"/>
        <v>0</v>
      </c>
    </row>
    <row r="163" spans="1:13" s="41" customFormat="1" ht="15" hidden="1" outlineLevel="1" x14ac:dyDescent="0.25">
      <c r="A163" s="42" t="s">
        <v>165</v>
      </c>
      <c r="B163" s="26"/>
      <c r="C163" s="26"/>
      <c r="D163" s="20"/>
      <c r="E163" s="26"/>
      <c r="F163" s="26"/>
      <c r="G163" s="26"/>
      <c r="H163" s="19">
        <f t="shared" si="34"/>
        <v>0</v>
      </c>
      <c r="I163" s="26"/>
      <c r="J163" s="20">
        <f t="shared" si="35"/>
        <v>0</v>
      </c>
      <c r="K163" s="20"/>
      <c r="L163" s="20">
        <f t="shared" si="32"/>
        <v>0</v>
      </c>
      <c r="M163" s="21">
        <f t="shared" si="33"/>
        <v>0</v>
      </c>
    </row>
    <row r="164" spans="1:13" s="41" customFormat="1" ht="15" hidden="1" outlineLevel="1" x14ac:dyDescent="0.25">
      <c r="A164" s="42" t="s">
        <v>166</v>
      </c>
      <c r="B164" s="26"/>
      <c r="C164" s="26"/>
      <c r="D164" s="20">
        <v>4018397</v>
      </c>
      <c r="E164" s="26"/>
      <c r="F164" s="26"/>
      <c r="G164" s="26"/>
      <c r="H164" s="19">
        <f t="shared" si="34"/>
        <v>4018397</v>
      </c>
      <c r="I164" s="26"/>
      <c r="J164" s="20">
        <f t="shared" si="35"/>
        <v>4018397</v>
      </c>
      <c r="K164" s="20">
        <v>3380289</v>
      </c>
      <c r="L164" s="20">
        <f t="shared" si="32"/>
        <v>-638108</v>
      </c>
      <c r="M164" s="21">
        <f t="shared" si="33"/>
        <v>0.84120334551314868</v>
      </c>
    </row>
    <row r="165" spans="1:13" s="41" customFormat="1" ht="15" hidden="1" outlineLevel="1" x14ac:dyDescent="0.25">
      <c r="A165" s="42" t="s">
        <v>167</v>
      </c>
      <c r="B165" s="26"/>
      <c r="C165" s="26"/>
      <c r="D165" s="20">
        <v>100219276</v>
      </c>
      <c r="E165" s="26"/>
      <c r="F165" s="26"/>
      <c r="G165" s="26"/>
      <c r="H165" s="19">
        <f t="shared" si="34"/>
        <v>100219276</v>
      </c>
      <c r="I165" s="26"/>
      <c r="J165" s="20">
        <f t="shared" si="35"/>
        <v>100219276</v>
      </c>
      <c r="K165" s="20">
        <v>92138863</v>
      </c>
      <c r="L165" s="20">
        <f t="shared" si="32"/>
        <v>-8080413</v>
      </c>
      <c r="M165" s="21">
        <f t="shared" si="33"/>
        <v>0.91937266639204218</v>
      </c>
    </row>
    <row r="166" spans="1:13" s="41" customFormat="1" ht="15" hidden="1" outlineLevel="1" x14ac:dyDescent="0.25">
      <c r="A166" s="42" t="s">
        <v>168</v>
      </c>
      <c r="B166" s="26"/>
      <c r="C166" s="26"/>
      <c r="D166" s="20">
        <v>105343281</v>
      </c>
      <c r="E166" s="26"/>
      <c r="F166" s="26"/>
      <c r="G166" s="26"/>
      <c r="H166" s="19">
        <f t="shared" si="34"/>
        <v>105343281</v>
      </c>
      <c r="I166" s="26"/>
      <c r="J166" s="20">
        <f t="shared" si="35"/>
        <v>105343281</v>
      </c>
      <c r="K166" s="20">
        <v>97239191</v>
      </c>
      <c r="L166" s="20">
        <f t="shared" si="32"/>
        <v>-8104090</v>
      </c>
      <c r="M166" s="21">
        <f t="shared" si="33"/>
        <v>0.92306970199646621</v>
      </c>
    </row>
    <row r="167" spans="1:13" s="41" customFormat="1" ht="15" collapsed="1" x14ac:dyDescent="0.25">
      <c r="A167" s="43" t="s">
        <v>169</v>
      </c>
      <c r="B167" s="26"/>
      <c r="C167" s="26"/>
      <c r="D167" s="26">
        <f>+D168+D173</f>
        <v>224005295</v>
      </c>
      <c r="E167" s="26"/>
      <c r="F167" s="26"/>
      <c r="G167" s="26"/>
      <c r="H167" s="26">
        <f>+H168+H173</f>
        <v>224005295</v>
      </c>
      <c r="I167" s="26"/>
      <c r="J167" s="26">
        <f>+J168+J173</f>
        <v>224005295</v>
      </c>
      <c r="K167" s="26">
        <f>+K168+K173</f>
        <v>188795617</v>
      </c>
      <c r="L167" s="26">
        <f t="shared" si="32"/>
        <v>-35209678</v>
      </c>
      <c r="M167" s="17">
        <f t="shared" si="33"/>
        <v>0.84281765303806766</v>
      </c>
    </row>
    <row r="168" spans="1:13" s="41" customFormat="1" ht="15" hidden="1" outlineLevel="1" x14ac:dyDescent="0.25">
      <c r="A168" s="43" t="s">
        <v>170</v>
      </c>
      <c r="B168" s="26"/>
      <c r="C168" s="26"/>
      <c r="D168" s="26">
        <f>SUM(D169:D172)</f>
        <v>107447296</v>
      </c>
      <c r="E168" s="26"/>
      <c r="F168" s="26"/>
      <c r="G168" s="26"/>
      <c r="H168" s="26">
        <f>SUM(H169:H172)</f>
        <v>107447296</v>
      </c>
      <c r="I168" s="26"/>
      <c r="J168" s="26">
        <f>SUM(J169:J172)</f>
        <v>107447296</v>
      </c>
      <c r="K168" s="26">
        <f>SUM(K169:K172)</f>
        <v>85118399</v>
      </c>
      <c r="L168" s="26">
        <f t="shared" si="32"/>
        <v>-22328897</v>
      </c>
      <c r="M168" s="17">
        <f t="shared" si="33"/>
        <v>0.79218744602004687</v>
      </c>
    </row>
    <row r="169" spans="1:13" s="41" customFormat="1" ht="15" hidden="1" outlineLevel="2" x14ac:dyDescent="0.25">
      <c r="A169" s="42" t="s">
        <v>171</v>
      </c>
      <c r="B169" s="26"/>
      <c r="C169" s="26"/>
      <c r="D169" s="20">
        <v>53013139</v>
      </c>
      <c r="E169" s="26"/>
      <c r="F169" s="26"/>
      <c r="G169" s="26"/>
      <c r="H169" s="19">
        <f>+B169+C169+D169+G169+E169+F169</f>
        <v>53013139</v>
      </c>
      <c r="I169" s="26"/>
      <c r="J169" s="20">
        <f>+H169+I169</f>
        <v>53013139</v>
      </c>
      <c r="K169" s="20">
        <v>34347191</v>
      </c>
      <c r="L169" s="20">
        <f t="shared" si="32"/>
        <v>-18665948</v>
      </c>
      <c r="M169" s="21">
        <f t="shared" si="33"/>
        <v>0.64789958957155891</v>
      </c>
    </row>
    <row r="170" spans="1:13" s="41" customFormat="1" ht="15" hidden="1" outlineLevel="2" x14ac:dyDescent="0.25">
      <c r="A170" s="42" t="s">
        <v>172</v>
      </c>
      <c r="B170" s="26"/>
      <c r="C170" s="26"/>
      <c r="D170" s="20">
        <f>16656484-400000</f>
        <v>16256484</v>
      </c>
      <c r="E170" s="26"/>
      <c r="F170" s="26"/>
      <c r="G170" s="26"/>
      <c r="H170" s="19">
        <f>+B170+C170+D170+G170+E170+F170</f>
        <v>16256484</v>
      </c>
      <c r="I170" s="26"/>
      <c r="J170" s="20">
        <f>+H170+I170</f>
        <v>16256484</v>
      </c>
      <c r="K170" s="20">
        <v>15193208</v>
      </c>
      <c r="L170" s="20">
        <f t="shared" si="32"/>
        <v>-1063276</v>
      </c>
      <c r="M170" s="21">
        <f t="shared" si="33"/>
        <v>0.9345937288776589</v>
      </c>
    </row>
    <row r="171" spans="1:13" s="41" customFormat="1" ht="15" hidden="1" outlineLevel="2" x14ac:dyDescent="0.25">
      <c r="A171" s="42" t="s">
        <v>173</v>
      </c>
      <c r="B171" s="26"/>
      <c r="C171" s="26"/>
      <c r="D171" s="20">
        <f>9104843+400000</f>
        <v>9504843</v>
      </c>
      <c r="E171" s="26"/>
      <c r="F171" s="26"/>
      <c r="G171" s="26"/>
      <c r="H171" s="19">
        <f>+B171+C171+D171+G171+E171+F171</f>
        <v>9504843</v>
      </c>
      <c r="I171" s="26"/>
      <c r="J171" s="20">
        <f>+H171+I171</f>
        <v>9504843</v>
      </c>
      <c r="K171" s="20">
        <v>9485840</v>
      </c>
      <c r="L171" s="20">
        <f t="shared" si="32"/>
        <v>-19003</v>
      </c>
      <c r="M171" s="21">
        <f t="shared" si="33"/>
        <v>0.99800070343087199</v>
      </c>
    </row>
    <row r="172" spans="1:13" s="41" customFormat="1" ht="15" hidden="1" outlineLevel="2" x14ac:dyDescent="0.25">
      <c r="A172" s="42" t="s">
        <v>174</v>
      </c>
      <c r="B172" s="26"/>
      <c r="C172" s="26"/>
      <c r="D172" s="20">
        <v>28672830</v>
      </c>
      <c r="E172" s="26"/>
      <c r="F172" s="26"/>
      <c r="G172" s="26"/>
      <c r="H172" s="19">
        <f>+B172+C172+D172+G172+E172+F172</f>
        <v>28672830</v>
      </c>
      <c r="I172" s="26"/>
      <c r="J172" s="20">
        <f>+H172+I172</f>
        <v>28672830</v>
      </c>
      <c r="K172" s="20">
        <v>26092160</v>
      </c>
      <c r="L172" s="20">
        <f t="shared" si="32"/>
        <v>-2580670</v>
      </c>
      <c r="M172" s="21">
        <f t="shared" si="33"/>
        <v>0.90999597877154081</v>
      </c>
    </row>
    <row r="173" spans="1:13" s="41" customFormat="1" ht="15" hidden="1" outlineLevel="1" x14ac:dyDescent="0.25">
      <c r="A173" s="43" t="s">
        <v>175</v>
      </c>
      <c r="B173" s="26"/>
      <c r="C173" s="26"/>
      <c r="D173" s="26">
        <f>SUM(D174:D178)</f>
        <v>116557999</v>
      </c>
      <c r="E173" s="26"/>
      <c r="F173" s="26"/>
      <c r="G173" s="26"/>
      <c r="H173" s="26">
        <f>SUM(H174:H178)</f>
        <v>116557999</v>
      </c>
      <c r="I173" s="26"/>
      <c r="J173" s="26">
        <f>SUM(J174:J178)</f>
        <v>116557999</v>
      </c>
      <c r="K173" s="26">
        <f>SUM(K174:K178)</f>
        <v>103677218</v>
      </c>
      <c r="L173" s="26">
        <f t="shared" si="32"/>
        <v>-12880781</v>
      </c>
      <c r="M173" s="17">
        <f t="shared" si="33"/>
        <v>0.88949037294300148</v>
      </c>
    </row>
    <row r="174" spans="1:13" s="41" customFormat="1" ht="15" hidden="1" outlineLevel="2" x14ac:dyDescent="0.25">
      <c r="A174" s="42" t="s">
        <v>176</v>
      </c>
      <c r="B174" s="26"/>
      <c r="C174" s="26"/>
      <c r="D174" s="20">
        <f>65487479-10000000</f>
        <v>55487479</v>
      </c>
      <c r="E174" s="26"/>
      <c r="F174" s="26"/>
      <c r="G174" s="26"/>
      <c r="H174" s="19">
        <f>+B174+C174+D174+G174+E174+F174</f>
        <v>55487479</v>
      </c>
      <c r="I174" s="26"/>
      <c r="J174" s="20">
        <f>+H174+I174</f>
        <v>55487479</v>
      </c>
      <c r="K174" s="20">
        <v>49435833</v>
      </c>
      <c r="L174" s="20">
        <f t="shared" si="32"/>
        <v>-6051646</v>
      </c>
      <c r="M174" s="21">
        <f t="shared" si="33"/>
        <v>0.8909367282662094</v>
      </c>
    </row>
    <row r="175" spans="1:13" s="41" customFormat="1" ht="15" hidden="1" outlineLevel="2" x14ac:dyDescent="0.25">
      <c r="A175" s="42" t="s">
        <v>177</v>
      </c>
      <c r="B175" s="26"/>
      <c r="C175" s="26"/>
      <c r="D175" s="20">
        <v>1523338</v>
      </c>
      <c r="E175" s="26"/>
      <c r="F175" s="26"/>
      <c r="G175" s="26"/>
      <c r="H175" s="19">
        <f>+B175+C175+D175+G175+E175+F175</f>
        <v>1523338</v>
      </c>
      <c r="I175" s="26"/>
      <c r="J175" s="20">
        <f>+H175+I175</f>
        <v>1523338</v>
      </c>
      <c r="K175" s="20"/>
      <c r="L175" s="20">
        <f t="shared" si="32"/>
        <v>-1523338</v>
      </c>
      <c r="M175" s="21">
        <f t="shared" si="33"/>
        <v>0</v>
      </c>
    </row>
    <row r="176" spans="1:13" s="41" customFormat="1" ht="15" hidden="1" outlineLevel="2" x14ac:dyDescent="0.25">
      <c r="A176" s="42" t="s">
        <v>178</v>
      </c>
      <c r="B176" s="26"/>
      <c r="C176" s="26"/>
      <c r="D176" s="20">
        <v>74581</v>
      </c>
      <c r="E176" s="26"/>
      <c r="F176" s="26"/>
      <c r="G176" s="26"/>
      <c r="H176" s="19">
        <f>+B176+C176+D176+G176+E176+F176</f>
        <v>74581</v>
      </c>
      <c r="I176" s="26"/>
      <c r="J176" s="20">
        <f>+H176+I176</f>
        <v>74581</v>
      </c>
      <c r="K176" s="20">
        <v>-302709</v>
      </c>
      <c r="L176" s="20">
        <f t="shared" si="32"/>
        <v>-377290</v>
      </c>
      <c r="M176" s="21">
        <f t="shared" si="33"/>
        <v>-4.0587951354902723</v>
      </c>
    </row>
    <row r="177" spans="1:13" s="41" customFormat="1" ht="15" hidden="1" outlineLevel="2" x14ac:dyDescent="0.25">
      <c r="A177" s="42" t="s">
        <v>179</v>
      </c>
      <c r="B177" s="26"/>
      <c r="C177" s="26"/>
      <c r="D177" s="20">
        <v>33443572</v>
      </c>
      <c r="E177" s="26"/>
      <c r="F177" s="26"/>
      <c r="G177" s="26"/>
      <c r="H177" s="19">
        <f>+B177+C177+D177+G177+E177+F177</f>
        <v>33443572</v>
      </c>
      <c r="I177" s="26"/>
      <c r="J177" s="20">
        <f>+H177+I177</f>
        <v>33443572</v>
      </c>
      <c r="K177" s="20">
        <v>32426661</v>
      </c>
      <c r="L177" s="20">
        <f t="shared" si="32"/>
        <v>-1016911</v>
      </c>
      <c r="M177" s="21">
        <f t="shared" si="33"/>
        <v>0.9695932300532969</v>
      </c>
    </row>
    <row r="178" spans="1:13" s="41" customFormat="1" ht="15" hidden="1" outlineLevel="2" x14ac:dyDescent="0.25">
      <c r="A178" s="42" t="s">
        <v>180</v>
      </c>
      <c r="B178" s="26"/>
      <c r="C178" s="26"/>
      <c r="D178" s="20">
        <f>16029029+10000000</f>
        <v>26029029</v>
      </c>
      <c r="E178" s="26"/>
      <c r="F178" s="26"/>
      <c r="G178" s="26"/>
      <c r="H178" s="19">
        <f>+B178+C178+D178+G178+E178+F178</f>
        <v>26029029</v>
      </c>
      <c r="I178" s="26"/>
      <c r="J178" s="20">
        <f>+H178+I178</f>
        <v>26029029</v>
      </c>
      <c r="K178" s="20">
        <v>22117433</v>
      </c>
      <c r="L178" s="20">
        <f t="shared" si="32"/>
        <v>-3911596</v>
      </c>
      <c r="M178" s="21">
        <f t="shared" si="33"/>
        <v>0.84972178562634815</v>
      </c>
    </row>
    <row r="179" spans="1:13" s="41" customFormat="1" ht="15" collapsed="1" x14ac:dyDescent="0.25">
      <c r="A179" s="43" t="s">
        <v>181</v>
      </c>
      <c r="B179" s="26"/>
      <c r="C179" s="26"/>
      <c r="D179" s="26">
        <f>+D180+D186+D190+D191</f>
        <v>192791451</v>
      </c>
      <c r="E179" s="26"/>
      <c r="F179" s="26"/>
      <c r="G179" s="26"/>
      <c r="H179" s="26">
        <f>+H180+H186+H190+H191</f>
        <v>192791451</v>
      </c>
      <c r="I179" s="26"/>
      <c r="J179" s="26">
        <f>+J180+J186+J190+J191</f>
        <v>192791451</v>
      </c>
      <c r="K179" s="26">
        <f>+K180+K186+K190+K191</f>
        <v>169607175</v>
      </c>
      <c r="L179" s="26">
        <f t="shared" si="32"/>
        <v>-23184276</v>
      </c>
      <c r="M179" s="17">
        <f t="shared" si="33"/>
        <v>0.87974427351553053</v>
      </c>
    </row>
    <row r="180" spans="1:13" s="41" customFormat="1" ht="15" hidden="1" outlineLevel="1" x14ac:dyDescent="0.25">
      <c r="A180" s="43" t="s">
        <v>182</v>
      </c>
      <c r="B180" s="26"/>
      <c r="C180" s="26"/>
      <c r="D180" s="26">
        <f>SUM(D181:D185)</f>
        <v>59511657</v>
      </c>
      <c r="E180" s="26"/>
      <c r="F180" s="26"/>
      <c r="G180" s="26"/>
      <c r="H180" s="26">
        <f>SUM(H181:H185)</f>
        <v>59511657</v>
      </c>
      <c r="I180" s="26"/>
      <c r="J180" s="26">
        <f>SUM(J181:J185)</f>
        <v>59511657</v>
      </c>
      <c r="K180" s="26">
        <f>SUM(K181:K185)</f>
        <v>52116625</v>
      </c>
      <c r="L180" s="26">
        <f t="shared" si="32"/>
        <v>-7395032</v>
      </c>
      <c r="M180" s="17">
        <f t="shared" si="33"/>
        <v>0.87573809279079562</v>
      </c>
    </row>
    <row r="181" spans="1:13" s="41" customFormat="1" ht="15" hidden="1" outlineLevel="2" x14ac:dyDescent="0.25">
      <c r="A181" s="42" t="s">
        <v>183</v>
      </c>
      <c r="B181" s="26"/>
      <c r="C181" s="26"/>
      <c r="D181" s="19">
        <v>3256736</v>
      </c>
      <c r="E181" s="26"/>
      <c r="F181" s="26"/>
      <c r="G181" s="26"/>
      <c r="H181" s="19">
        <f>+B181+C181+D181+G181+E181+F181</f>
        <v>3256736</v>
      </c>
      <c r="I181" s="26"/>
      <c r="J181" s="20">
        <f>+H181+I181</f>
        <v>3256736</v>
      </c>
      <c r="K181" s="20">
        <v>2231225</v>
      </c>
      <c r="L181" s="20">
        <f t="shared" si="32"/>
        <v>-1025511</v>
      </c>
      <c r="M181" s="21">
        <f t="shared" si="33"/>
        <v>0.68511079805056352</v>
      </c>
    </row>
    <row r="182" spans="1:13" s="41" customFormat="1" ht="15" hidden="1" outlineLevel="2" x14ac:dyDescent="0.25">
      <c r="A182" s="42" t="s">
        <v>184</v>
      </c>
      <c r="B182" s="26"/>
      <c r="C182" s="26"/>
      <c r="D182" s="19">
        <f>6525623-3500000</f>
        <v>3025623</v>
      </c>
      <c r="E182" s="26"/>
      <c r="F182" s="26"/>
      <c r="G182" s="26"/>
      <c r="H182" s="19">
        <f>+B182+C182+D182+G182+E182+F182</f>
        <v>3025623</v>
      </c>
      <c r="I182" s="26"/>
      <c r="J182" s="20">
        <f>+H182+I182</f>
        <v>3025623</v>
      </c>
      <c r="K182" s="20">
        <v>1188000</v>
      </c>
      <c r="L182" s="20">
        <f t="shared" si="32"/>
        <v>-1837623</v>
      </c>
      <c r="M182" s="21">
        <f t="shared" si="33"/>
        <v>0.39264640703749276</v>
      </c>
    </row>
    <row r="183" spans="1:13" s="41" customFormat="1" ht="15" hidden="1" outlineLevel="2" x14ac:dyDescent="0.25">
      <c r="A183" s="42" t="s">
        <v>185</v>
      </c>
      <c r="B183" s="26"/>
      <c r="C183" s="26"/>
      <c r="D183" s="19">
        <f>9430200-6200000</f>
        <v>3230200</v>
      </c>
      <c r="E183" s="26"/>
      <c r="F183" s="26"/>
      <c r="G183" s="26"/>
      <c r="H183" s="19">
        <f>+B183+C183+D183+G183+E183+F183</f>
        <v>3230200</v>
      </c>
      <c r="I183" s="26"/>
      <c r="J183" s="20">
        <f>+H183+I183</f>
        <v>3230200</v>
      </c>
      <c r="K183" s="20">
        <v>2693400</v>
      </c>
      <c r="L183" s="20">
        <f t="shared" si="32"/>
        <v>-536800</v>
      </c>
      <c r="M183" s="21">
        <f t="shared" si="33"/>
        <v>0.83381833942170769</v>
      </c>
    </row>
    <row r="184" spans="1:13" s="41" customFormat="1" ht="15" hidden="1" outlineLevel="2" x14ac:dyDescent="0.25">
      <c r="A184" s="42" t="s">
        <v>186</v>
      </c>
      <c r="B184" s="26"/>
      <c r="C184" s="26"/>
      <c r="D184" s="19">
        <v>34105252</v>
      </c>
      <c r="E184" s="26"/>
      <c r="F184" s="26"/>
      <c r="G184" s="26"/>
      <c r="H184" s="19">
        <f>+B184+C184+D184+G184+E184+F184</f>
        <v>34105252</v>
      </c>
      <c r="I184" s="26"/>
      <c r="J184" s="20">
        <f>+H184+I184</f>
        <v>34105252</v>
      </c>
      <c r="K184" s="20">
        <v>30310000</v>
      </c>
      <c r="L184" s="20">
        <f t="shared" si="32"/>
        <v>-3795252</v>
      </c>
      <c r="M184" s="21">
        <f t="shared" si="33"/>
        <v>0.88871942655635561</v>
      </c>
    </row>
    <row r="185" spans="1:13" s="41" customFormat="1" ht="15" hidden="1" outlineLevel="2" x14ac:dyDescent="0.25">
      <c r="A185" s="42" t="s">
        <v>187</v>
      </c>
      <c r="B185" s="26"/>
      <c r="C185" s="26"/>
      <c r="D185" s="19">
        <f>6193846+9700000</f>
        <v>15893846</v>
      </c>
      <c r="E185" s="26"/>
      <c r="F185" s="26"/>
      <c r="G185" s="26"/>
      <c r="H185" s="19">
        <f>+B185+C185+D185+G185+E185+F185</f>
        <v>15893846</v>
      </c>
      <c r="I185" s="26"/>
      <c r="J185" s="20">
        <f>+H185+I185</f>
        <v>15893846</v>
      </c>
      <c r="K185" s="20">
        <v>15694000</v>
      </c>
      <c r="L185" s="20">
        <f t="shared" si="32"/>
        <v>-199846</v>
      </c>
      <c r="M185" s="21">
        <f t="shared" si="33"/>
        <v>0.98742620256922087</v>
      </c>
    </row>
    <row r="186" spans="1:13" s="41" customFormat="1" ht="15" hidden="1" outlineLevel="1" x14ac:dyDescent="0.25">
      <c r="A186" s="43" t="s">
        <v>188</v>
      </c>
      <c r="B186" s="26"/>
      <c r="C186" s="26"/>
      <c r="D186" s="26">
        <f>SUM(D187:D189)</f>
        <v>76866357</v>
      </c>
      <c r="E186" s="26"/>
      <c r="F186" s="26"/>
      <c r="G186" s="26"/>
      <c r="H186" s="26">
        <f>SUM(H187:H189)</f>
        <v>76866357</v>
      </c>
      <c r="I186" s="26"/>
      <c r="J186" s="26">
        <f>SUM(J187:J189)</f>
        <v>76866357</v>
      </c>
      <c r="K186" s="26">
        <f>SUM(K187:K189)</f>
        <v>63240056</v>
      </c>
      <c r="L186" s="26">
        <f t="shared" si="32"/>
        <v>-13626301</v>
      </c>
      <c r="M186" s="17">
        <f t="shared" si="33"/>
        <v>0.82272737343334745</v>
      </c>
    </row>
    <row r="187" spans="1:13" s="41" customFormat="1" ht="15" hidden="1" outlineLevel="2" x14ac:dyDescent="0.25">
      <c r="A187" s="42" t="s">
        <v>189</v>
      </c>
      <c r="B187" s="26"/>
      <c r="C187" s="26"/>
      <c r="D187" s="19">
        <v>21820664</v>
      </c>
      <c r="E187" s="26"/>
      <c r="F187" s="26"/>
      <c r="G187" s="26"/>
      <c r="H187" s="19">
        <f>+B187+C187+D187+G187+E187+F187</f>
        <v>21820664</v>
      </c>
      <c r="I187" s="26"/>
      <c r="J187" s="20">
        <f>+H187+I187</f>
        <v>21820664</v>
      </c>
      <c r="K187" s="20">
        <v>17370164</v>
      </c>
      <c r="L187" s="20">
        <f t="shared" si="32"/>
        <v>-4450500</v>
      </c>
      <c r="M187" s="21">
        <f t="shared" si="33"/>
        <v>0.79604195362707564</v>
      </c>
    </row>
    <row r="188" spans="1:13" s="41" customFormat="1" ht="15" hidden="1" outlineLevel="2" x14ac:dyDescent="0.25">
      <c r="A188" s="42" t="s">
        <v>190</v>
      </c>
      <c r="B188" s="26"/>
      <c r="C188" s="26"/>
      <c r="D188" s="19">
        <f>37315693-25000000</f>
        <v>12315693</v>
      </c>
      <c r="E188" s="26"/>
      <c r="F188" s="26"/>
      <c r="G188" s="26"/>
      <c r="H188" s="19">
        <f>+B188+C188+D188+G188+E188+F188</f>
        <v>12315693</v>
      </c>
      <c r="I188" s="26"/>
      <c r="J188" s="20">
        <f>+H188+I188</f>
        <v>12315693</v>
      </c>
      <c r="K188" s="20">
        <v>7483339</v>
      </c>
      <c r="L188" s="20">
        <f t="shared" si="32"/>
        <v>-4832354</v>
      </c>
      <c r="M188" s="21">
        <f t="shared" si="33"/>
        <v>0.60762630247441207</v>
      </c>
    </row>
    <row r="189" spans="1:13" s="41" customFormat="1" ht="15" hidden="1" outlineLevel="2" x14ac:dyDescent="0.25">
      <c r="A189" s="42" t="s">
        <v>191</v>
      </c>
      <c r="B189" s="26"/>
      <c r="C189" s="26"/>
      <c r="D189" s="19">
        <f>45230000-2500000</f>
        <v>42730000</v>
      </c>
      <c r="E189" s="26"/>
      <c r="F189" s="26"/>
      <c r="G189" s="26"/>
      <c r="H189" s="19">
        <f>+B189+C189+D189+G189+E189+F189</f>
        <v>42730000</v>
      </c>
      <c r="I189" s="26"/>
      <c r="J189" s="20">
        <f>+H189+I189</f>
        <v>42730000</v>
      </c>
      <c r="K189" s="20">
        <v>38386553</v>
      </c>
      <c r="L189" s="20">
        <f t="shared" si="32"/>
        <v>-4343447</v>
      </c>
      <c r="M189" s="21">
        <f t="shared" si="33"/>
        <v>0.89835134565878771</v>
      </c>
    </row>
    <row r="190" spans="1:13" s="41" customFormat="1" ht="15" hidden="1" outlineLevel="1" x14ac:dyDescent="0.25">
      <c r="A190" s="43" t="s">
        <v>192</v>
      </c>
      <c r="B190" s="26"/>
      <c r="C190" s="26"/>
      <c r="D190" s="26">
        <f>8137757+15000000</f>
        <v>23137757</v>
      </c>
      <c r="E190" s="26"/>
      <c r="F190" s="26"/>
      <c r="G190" s="26"/>
      <c r="H190" s="16">
        <f>+B190+C190+D190+G190+E190+F190</f>
        <v>23137757</v>
      </c>
      <c r="I190" s="16"/>
      <c r="J190" s="16">
        <f>+H190+I190</f>
        <v>23137757</v>
      </c>
      <c r="K190" s="16">
        <v>22156310</v>
      </c>
      <c r="L190" s="16">
        <f t="shared" si="32"/>
        <v>-981447</v>
      </c>
      <c r="M190" s="17">
        <f t="shared" si="33"/>
        <v>0.95758244846291718</v>
      </c>
    </row>
    <row r="191" spans="1:13" s="41" customFormat="1" ht="15" hidden="1" outlineLevel="1" x14ac:dyDescent="0.25">
      <c r="A191" s="43" t="s">
        <v>193</v>
      </c>
      <c r="B191" s="26"/>
      <c r="C191" s="26"/>
      <c r="D191" s="26">
        <f>20775680+12500000</f>
        <v>33275680</v>
      </c>
      <c r="E191" s="26"/>
      <c r="F191" s="26"/>
      <c r="G191" s="26"/>
      <c r="H191" s="16">
        <f>+B191+C191+D191+G191+E191+F191</f>
        <v>33275680</v>
      </c>
      <c r="I191" s="16"/>
      <c r="J191" s="16">
        <f>+H191+I191</f>
        <v>33275680</v>
      </c>
      <c r="K191" s="16">
        <v>32094184</v>
      </c>
      <c r="L191" s="16">
        <f t="shared" si="32"/>
        <v>-1181496</v>
      </c>
      <c r="M191" s="17">
        <f t="shared" si="33"/>
        <v>0.96449370831790671</v>
      </c>
    </row>
    <row r="192" spans="1:13" s="41" customFormat="1" ht="15" collapsed="1" x14ac:dyDescent="0.25">
      <c r="A192" s="42"/>
      <c r="B192" s="26"/>
      <c r="C192" s="26"/>
      <c r="D192" s="26"/>
      <c r="E192" s="26"/>
      <c r="F192" s="26"/>
      <c r="G192" s="26"/>
      <c r="H192" s="19"/>
      <c r="I192" s="26"/>
      <c r="J192" s="20"/>
      <c r="K192" s="20"/>
      <c r="L192" s="20"/>
      <c r="M192" s="21"/>
    </row>
    <row r="193" spans="1:13" s="41" customFormat="1" ht="15" x14ac:dyDescent="0.25">
      <c r="A193" s="43" t="s">
        <v>194</v>
      </c>
      <c r="B193" s="26"/>
      <c r="C193" s="26"/>
      <c r="D193" s="26"/>
      <c r="E193" s="16">
        <f>+E194</f>
        <v>65421993</v>
      </c>
      <c r="F193" s="16"/>
      <c r="G193" s="16"/>
      <c r="H193" s="16">
        <f>+H194</f>
        <v>65421993</v>
      </c>
      <c r="I193" s="16"/>
      <c r="J193" s="16">
        <f>+H193+I193</f>
        <v>65421993</v>
      </c>
      <c r="K193" s="16">
        <f>+K194</f>
        <v>62116648</v>
      </c>
      <c r="L193" s="16">
        <f>+K193-J193</f>
        <v>-3305345</v>
      </c>
      <c r="M193" s="17">
        <f>IFERROR(K193/J193,0)</f>
        <v>0.94947654682424609</v>
      </c>
    </row>
    <row r="194" spans="1:13" s="41" customFormat="1" ht="15" x14ac:dyDescent="0.25">
      <c r="A194" s="43" t="s">
        <v>195</v>
      </c>
      <c r="B194" s="26"/>
      <c r="C194" s="26"/>
      <c r="D194" s="26"/>
      <c r="E194" s="26">
        <f>SUM(E195:E197)</f>
        <v>65421993</v>
      </c>
      <c r="F194" s="26"/>
      <c r="G194" s="26"/>
      <c r="H194" s="26">
        <f>SUM(H195:H197)</f>
        <v>65421993</v>
      </c>
      <c r="I194" s="26"/>
      <c r="J194" s="26">
        <f>SUM(J195:J197)</f>
        <v>65421993</v>
      </c>
      <c r="K194" s="26">
        <f>SUM(K195:K197)</f>
        <v>62116648</v>
      </c>
      <c r="L194" s="26">
        <f>+K194-J194</f>
        <v>-3305345</v>
      </c>
      <c r="M194" s="17">
        <f>IFERROR(K194/J194,0)</f>
        <v>0.94947654682424609</v>
      </c>
    </row>
    <row r="195" spans="1:13" s="41" customFormat="1" ht="15" hidden="1" outlineLevel="1" x14ac:dyDescent="0.25">
      <c r="A195" s="42" t="s">
        <v>196</v>
      </c>
      <c r="B195" s="26"/>
      <c r="C195" s="26"/>
      <c r="D195" s="26"/>
      <c r="E195" s="20">
        <v>13533593</v>
      </c>
      <c r="F195" s="26"/>
      <c r="G195" s="26"/>
      <c r="H195" s="19">
        <f>+B195+C195+D195+G195+E195+F195</f>
        <v>13533593</v>
      </c>
      <c r="I195" s="26"/>
      <c r="J195" s="20">
        <f>+H195+I195</f>
        <v>13533593</v>
      </c>
      <c r="K195" s="20">
        <v>11075879</v>
      </c>
      <c r="L195" s="20">
        <f>+K195-J195</f>
        <v>-2457714</v>
      </c>
      <c r="M195" s="21">
        <f>IFERROR(K195/J195,0)</f>
        <v>0.81839900165462343</v>
      </c>
    </row>
    <row r="196" spans="1:13" s="41" customFormat="1" ht="15" hidden="1" outlineLevel="1" x14ac:dyDescent="0.25">
      <c r="A196" s="42" t="s">
        <v>197</v>
      </c>
      <c r="B196" s="26"/>
      <c r="C196" s="26"/>
      <c r="D196" s="26"/>
      <c r="E196" s="20">
        <v>48909224</v>
      </c>
      <c r="F196" s="26"/>
      <c r="G196" s="26"/>
      <c r="H196" s="19">
        <f>+B196+C196+D196+G196+E196+F196</f>
        <v>48909224</v>
      </c>
      <c r="I196" s="26"/>
      <c r="J196" s="20">
        <f>+H196+I196</f>
        <v>48909224</v>
      </c>
      <c r="K196" s="20">
        <v>48593924</v>
      </c>
      <c r="L196" s="20">
        <f>+K196-J196</f>
        <v>-315300</v>
      </c>
      <c r="M196" s="21">
        <f>IFERROR(K196/J196,0)</f>
        <v>0.99355336326742782</v>
      </c>
    </row>
    <row r="197" spans="1:13" s="41" customFormat="1" ht="15" hidden="1" outlineLevel="1" x14ac:dyDescent="0.25">
      <c r="A197" s="42" t="s">
        <v>198</v>
      </c>
      <c r="B197" s="26"/>
      <c r="C197" s="26"/>
      <c r="D197" s="26"/>
      <c r="E197" s="20">
        <v>2979176</v>
      </c>
      <c r="F197" s="26"/>
      <c r="G197" s="26"/>
      <c r="H197" s="19">
        <f>+B197+C197+D197+G197+E197+F197</f>
        <v>2979176</v>
      </c>
      <c r="I197" s="26"/>
      <c r="J197" s="20">
        <f>+H197+I197</f>
        <v>2979176</v>
      </c>
      <c r="K197" s="20">
        <v>2446845</v>
      </c>
      <c r="L197" s="20">
        <f>+K197-J197</f>
        <v>-532331</v>
      </c>
      <c r="M197" s="21">
        <f>IFERROR(K197/J197,0)</f>
        <v>0.82131602832461059</v>
      </c>
    </row>
    <row r="198" spans="1:13" s="41" customFormat="1" ht="15" collapsed="1" x14ac:dyDescent="0.25">
      <c r="A198" s="42"/>
      <c r="B198" s="19"/>
      <c r="C198" s="26"/>
      <c r="D198" s="26"/>
      <c r="E198" s="26"/>
      <c r="F198" s="26"/>
      <c r="G198" s="26"/>
      <c r="H198" s="19"/>
      <c r="I198" s="26"/>
      <c r="J198" s="20"/>
      <c r="K198" s="20"/>
      <c r="L198" s="20"/>
      <c r="M198" s="21"/>
    </row>
    <row r="199" spans="1:13" ht="15" x14ac:dyDescent="0.25">
      <c r="A199" s="40" t="s">
        <v>199</v>
      </c>
      <c r="B199" s="19"/>
      <c r="C199" s="19"/>
      <c r="D199" s="19"/>
      <c r="E199" s="19"/>
      <c r="F199" s="19"/>
      <c r="G199" s="19"/>
      <c r="H199" s="19"/>
      <c r="I199" s="26">
        <f>+I200+I201</f>
        <v>850471000.697258</v>
      </c>
      <c r="J199" s="26">
        <f>+I199+H199</f>
        <v>850471000.697258</v>
      </c>
      <c r="K199" s="26">
        <f>+K200+K201</f>
        <v>803896320</v>
      </c>
      <c r="L199" s="26">
        <f>+K199-J199</f>
        <v>-46574680.697257996</v>
      </c>
      <c r="M199" s="17">
        <f>IFERROR(K199/J199,0)</f>
        <v>0.9452366034126104</v>
      </c>
    </row>
    <row r="200" spans="1:13" ht="14.25" hidden="1" outlineLevel="1" x14ac:dyDescent="0.2">
      <c r="A200" s="47" t="s">
        <v>200</v>
      </c>
      <c r="B200" s="19"/>
      <c r="C200" s="19"/>
      <c r="D200" s="19"/>
      <c r="E200" s="19"/>
      <c r="F200" s="19"/>
      <c r="G200" s="19"/>
      <c r="H200" s="19"/>
      <c r="I200" s="20">
        <v>531544374.54516125</v>
      </c>
      <c r="J200" s="20">
        <f>+I200+H200</f>
        <v>531544374.54516125</v>
      </c>
      <c r="K200" s="20">
        <v>502435200</v>
      </c>
      <c r="L200" s="20">
        <f>+K200-J200</f>
        <v>-29109174.545161247</v>
      </c>
      <c r="M200" s="21">
        <f>IFERROR(K200/J200,0)</f>
        <v>0.94523660499639417</v>
      </c>
    </row>
    <row r="201" spans="1:13" ht="14.25" hidden="1" outlineLevel="1" x14ac:dyDescent="0.2">
      <c r="A201" s="47" t="s">
        <v>201</v>
      </c>
      <c r="B201" s="19"/>
      <c r="C201" s="19"/>
      <c r="D201" s="19"/>
      <c r="E201" s="19"/>
      <c r="F201" s="19"/>
      <c r="G201" s="19"/>
      <c r="H201" s="19"/>
      <c r="I201" s="20">
        <v>318926626.15209675</v>
      </c>
      <c r="J201" s="20">
        <f>+I201+H201</f>
        <v>318926626.15209675</v>
      </c>
      <c r="K201" s="20">
        <v>301461120</v>
      </c>
      <c r="L201" s="20">
        <f>+K201-J201</f>
        <v>-17465506.152096748</v>
      </c>
      <c r="M201" s="21">
        <f>IFERROR(K201/J201,0)</f>
        <v>0.94523660077297089</v>
      </c>
    </row>
    <row r="202" spans="1:13" ht="15" collapsed="1" x14ac:dyDescent="0.25">
      <c r="A202" s="25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7"/>
    </row>
    <row r="203" spans="1:13" ht="15" x14ac:dyDescent="0.25">
      <c r="A203" s="48" t="s">
        <v>202</v>
      </c>
      <c r="B203" s="16"/>
      <c r="C203" s="16"/>
      <c r="D203" s="16"/>
      <c r="E203" s="16"/>
      <c r="F203" s="16"/>
      <c r="G203" s="16"/>
      <c r="H203" s="16">
        <f>+B203+C203+D203+G203+F203</f>
        <v>0</v>
      </c>
      <c r="I203" s="16"/>
      <c r="J203" s="49">
        <f>+I203+H203</f>
        <v>0</v>
      </c>
      <c r="K203" s="49">
        <f>+J203+I203</f>
        <v>0</v>
      </c>
      <c r="L203" s="49">
        <f>+K203-J203</f>
        <v>0</v>
      </c>
      <c r="M203" s="17">
        <f>IFERROR(K203/J203,0)</f>
        <v>0</v>
      </c>
    </row>
    <row r="204" spans="1:13" ht="15" x14ac:dyDescent="0.25">
      <c r="A204" s="25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7"/>
    </row>
    <row r="205" spans="1:13" ht="15" x14ac:dyDescent="0.25">
      <c r="A205" s="40" t="s">
        <v>203</v>
      </c>
      <c r="B205" s="19"/>
      <c r="C205" s="19"/>
      <c r="D205" s="19"/>
      <c r="E205" s="19"/>
      <c r="F205" s="19"/>
      <c r="G205" s="19"/>
      <c r="H205" s="26">
        <f>+B205+C205+G205+F205</f>
        <v>0</v>
      </c>
      <c r="I205" s="26">
        <f>+I206+I207</f>
        <v>0</v>
      </c>
      <c r="J205" s="26">
        <f t="shared" ref="J205:K207" si="36">+I205+H205</f>
        <v>0</v>
      </c>
      <c r="K205" s="26">
        <f t="shared" si="36"/>
        <v>0</v>
      </c>
      <c r="L205" s="26">
        <f>+K205-J205</f>
        <v>0</v>
      </c>
      <c r="M205" s="17">
        <f>IFERROR(K205/J205,0)</f>
        <v>0</v>
      </c>
    </row>
    <row r="206" spans="1:13" s="50" customFormat="1" ht="14.25" hidden="1" outlineLevel="1" x14ac:dyDescent="0.2">
      <c r="A206" s="27" t="s">
        <v>204</v>
      </c>
      <c r="B206" s="19"/>
      <c r="C206" s="19"/>
      <c r="D206" s="19"/>
      <c r="E206" s="19"/>
      <c r="F206" s="19"/>
      <c r="G206" s="19"/>
      <c r="H206" s="19">
        <f>+B206+C206+G206+F206</f>
        <v>0</v>
      </c>
      <c r="I206" s="19">
        <v>0</v>
      </c>
      <c r="J206" s="19">
        <f t="shared" si="36"/>
        <v>0</v>
      </c>
      <c r="K206" s="19">
        <f t="shared" si="36"/>
        <v>0</v>
      </c>
      <c r="L206" s="19">
        <f>+K206-J206</f>
        <v>0</v>
      </c>
      <c r="M206" s="21">
        <f>IFERROR(K206/J206,0)</f>
        <v>0</v>
      </c>
    </row>
    <row r="207" spans="1:13" s="50" customFormat="1" ht="14.25" hidden="1" outlineLevel="1" x14ac:dyDescent="0.2">
      <c r="A207" s="27" t="s">
        <v>205</v>
      </c>
      <c r="B207" s="19"/>
      <c r="C207" s="19"/>
      <c r="D207" s="19"/>
      <c r="E207" s="19"/>
      <c r="F207" s="19"/>
      <c r="G207" s="19"/>
      <c r="H207" s="19">
        <f>+B207+C207+G207+F207</f>
        <v>0</v>
      </c>
      <c r="I207" s="19">
        <v>0</v>
      </c>
      <c r="J207" s="19">
        <f t="shared" si="36"/>
        <v>0</v>
      </c>
      <c r="K207" s="19">
        <f t="shared" si="36"/>
        <v>0</v>
      </c>
      <c r="L207" s="19">
        <f>+K207-J207</f>
        <v>0</v>
      </c>
      <c r="M207" s="21">
        <f>IFERROR(K207/J207,0)</f>
        <v>0</v>
      </c>
    </row>
    <row r="208" spans="1:13" ht="15" collapsed="1" x14ac:dyDescent="0.25">
      <c r="A208" s="25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7"/>
    </row>
    <row r="209" spans="1:18" ht="15" x14ac:dyDescent="0.25">
      <c r="A209" s="25" t="s">
        <v>206</v>
      </c>
      <c r="B209" s="26">
        <f>+B40+B38</f>
        <v>1637362977.9917157</v>
      </c>
      <c r="C209" s="26">
        <f>+C38+C40</f>
        <v>716855339.01403308</v>
      </c>
      <c r="D209" s="26">
        <f>+D40+D38</f>
        <v>770014751.21487439</v>
      </c>
      <c r="E209" s="26">
        <f>+E40+E38</f>
        <v>85940136.364930511</v>
      </c>
      <c r="F209" s="26">
        <f>+F40+F38</f>
        <v>2363403875.6296625</v>
      </c>
      <c r="G209" s="26">
        <f>+G38+G40+G203</f>
        <v>4820376208.5715141</v>
      </c>
      <c r="H209" s="26">
        <f>+B209+C209+D209+G209+E209+F209</f>
        <v>10393953288.78673</v>
      </c>
      <c r="I209" s="26">
        <f>+I205+I199+I40+I38</f>
        <v>1143770428.994982</v>
      </c>
      <c r="J209" s="26">
        <f>+I209+H209</f>
        <v>11537723717.781712</v>
      </c>
      <c r="K209" s="26">
        <f>+K38+K40+K199+K203+K205</f>
        <v>9648736321.4699993</v>
      </c>
      <c r="L209" s="26">
        <f>+K209-J209</f>
        <v>-1888987396.3117123</v>
      </c>
      <c r="M209" s="17">
        <f>IFERROR(K209/J209,0)</f>
        <v>0.83627728982620353</v>
      </c>
    </row>
    <row r="210" spans="1:18" ht="15.75" thickBot="1" x14ac:dyDescent="0.3">
      <c r="A210" s="51"/>
      <c r="B210" s="52"/>
      <c r="C210" s="53"/>
      <c r="D210" s="53"/>
      <c r="E210" s="54"/>
      <c r="F210" s="53"/>
      <c r="G210" s="54"/>
      <c r="H210" s="53"/>
      <c r="I210" s="53"/>
      <c r="J210" s="53"/>
      <c r="K210" s="53"/>
      <c r="L210" s="53"/>
      <c r="M210" s="55"/>
      <c r="N210" s="56"/>
      <c r="O210" s="56"/>
      <c r="P210" s="56"/>
      <c r="Q210" s="56"/>
      <c r="R210" s="56"/>
    </row>
    <row r="211" spans="1:18" ht="13.5" thickTop="1" x14ac:dyDescent="0.2">
      <c r="A211" s="57"/>
      <c r="B211" s="58"/>
      <c r="C211" s="58"/>
      <c r="D211" s="58"/>
      <c r="E211" s="58"/>
      <c r="F211" s="58"/>
      <c r="G211" s="59"/>
      <c r="H211" s="60"/>
      <c r="I211" s="58"/>
      <c r="J211" s="58"/>
      <c r="K211" s="58"/>
      <c r="L211" s="58"/>
      <c r="M211" s="61"/>
    </row>
    <row r="212" spans="1:18" hidden="1" x14ac:dyDescent="0.2">
      <c r="A212" s="57"/>
      <c r="B212" s="58"/>
      <c r="C212" s="58"/>
      <c r="D212" s="58"/>
      <c r="E212" s="58"/>
      <c r="F212" s="58"/>
      <c r="G212" s="62"/>
      <c r="H212" s="58"/>
      <c r="I212" s="58"/>
      <c r="J212" s="63"/>
      <c r="K212" s="63"/>
      <c r="L212" s="63"/>
      <c r="M212" s="64"/>
    </row>
    <row r="213" spans="1:18" ht="15.75" hidden="1" x14ac:dyDescent="0.25">
      <c r="A213" s="57"/>
      <c r="C213" s="60"/>
      <c r="D213" s="60"/>
      <c r="E213" s="60"/>
      <c r="F213" s="60"/>
      <c r="G213" s="65"/>
      <c r="H213" s="66" t="s">
        <v>207</v>
      </c>
      <c r="I213" s="66" t="s">
        <v>208</v>
      </c>
      <c r="J213" s="67" t="s">
        <v>209</v>
      </c>
      <c r="K213" s="67" t="s">
        <v>209</v>
      </c>
      <c r="L213" s="67" t="s">
        <v>209</v>
      </c>
      <c r="M213" s="60"/>
    </row>
    <row r="214" spans="1:18" ht="15.75" hidden="1" x14ac:dyDescent="0.25">
      <c r="A214" s="68"/>
      <c r="B214" s="60"/>
      <c r="C214" s="60"/>
      <c r="D214" s="60"/>
      <c r="E214" s="60"/>
      <c r="F214" s="60"/>
      <c r="G214" s="65" t="s">
        <v>210</v>
      </c>
      <c r="H214" s="69">
        <f>+B209+C209+D209+F209+I38+I200+E209</f>
        <v>6398420883.0581007</v>
      </c>
      <c r="I214" s="70">
        <f>+'[1]Anexo 1 Minagricultura'!B41</f>
        <v>6398180882.7116127</v>
      </c>
      <c r="J214" s="70">
        <f t="shared" ref="J214:L215" si="37">+I214-H214</f>
        <v>-240000.34648799896</v>
      </c>
      <c r="K214" s="70">
        <f t="shared" si="37"/>
        <v>-6398420883.0581007</v>
      </c>
      <c r="L214" s="70">
        <f t="shared" si="37"/>
        <v>-6398180882.7116127</v>
      </c>
      <c r="M214" s="60"/>
    </row>
    <row r="215" spans="1:18" ht="16.5" hidden="1" thickBot="1" x14ac:dyDescent="0.3">
      <c r="A215" s="57"/>
      <c r="B215" s="60"/>
      <c r="C215" s="58"/>
      <c r="D215" s="71"/>
      <c r="E215" s="60"/>
      <c r="F215" s="60"/>
      <c r="G215" s="65" t="s">
        <v>211</v>
      </c>
      <c r="H215" s="72">
        <f>+G209+I201</f>
        <v>5139302834.7236109</v>
      </c>
      <c r="I215" s="73">
        <f>+'[1]Anexo 1 Minagricultura'!B45</f>
        <v>5139302835.0209675</v>
      </c>
      <c r="J215" s="73">
        <f t="shared" si="37"/>
        <v>0.29735660552978516</v>
      </c>
      <c r="K215" s="73">
        <f t="shared" si="37"/>
        <v>-5139302834.7236109</v>
      </c>
      <c r="L215" s="73">
        <f t="shared" si="37"/>
        <v>-5139302835.0209675</v>
      </c>
      <c r="M215" s="60"/>
    </row>
    <row r="216" spans="1:18" ht="15.75" hidden="1" x14ac:dyDescent="0.25">
      <c r="A216" s="57"/>
      <c r="B216" s="58"/>
      <c r="C216" s="58"/>
      <c r="D216" s="71"/>
      <c r="E216" s="60"/>
      <c r="F216" s="60"/>
      <c r="G216" s="65"/>
      <c r="H216" s="74">
        <f>+H214+H215</f>
        <v>11537723717.781712</v>
      </c>
      <c r="I216" s="75">
        <f>+I215+I214</f>
        <v>11537483717.73258</v>
      </c>
      <c r="J216" s="75">
        <f>+J215+J214</f>
        <v>-240000.04913139343</v>
      </c>
      <c r="K216" s="75">
        <f>+K215+K214</f>
        <v>-11537723717.781712</v>
      </c>
      <c r="L216" s="75">
        <f>+L215+L214</f>
        <v>-11537483717.73258</v>
      </c>
      <c r="M216" s="60"/>
    </row>
    <row r="217" spans="1:18" ht="15.75" hidden="1" x14ac:dyDescent="0.25">
      <c r="A217" s="57"/>
      <c r="B217" s="60"/>
      <c r="C217" s="60"/>
      <c r="D217" s="60"/>
      <c r="E217" s="60"/>
      <c r="F217" s="60"/>
      <c r="G217" s="65"/>
      <c r="H217" s="69"/>
      <c r="I217" s="65"/>
      <c r="J217" s="76"/>
      <c r="K217" s="76"/>
      <c r="L217" s="76"/>
      <c r="M217" s="60"/>
    </row>
    <row r="218" spans="1:18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3"/>
      <c r="K218" s="63"/>
      <c r="L218" s="63"/>
      <c r="M218" s="60"/>
    </row>
    <row r="219" spans="1:18" x14ac:dyDescent="0.2">
      <c r="A219" s="60"/>
      <c r="B219" s="60"/>
      <c r="C219" s="60"/>
      <c r="D219" s="60"/>
      <c r="E219" s="60"/>
      <c r="F219" s="60"/>
      <c r="G219" s="60"/>
      <c r="H219" s="58"/>
      <c r="I219" s="58"/>
      <c r="J219" s="60"/>
      <c r="K219" s="60"/>
      <c r="L219" s="60"/>
      <c r="M219" s="60"/>
    </row>
    <row r="220" spans="1:18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  <row r="221" spans="1:18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</row>
    <row r="222" spans="1:18" x14ac:dyDescent="0.2">
      <c r="A222" s="60"/>
      <c r="B222" s="60"/>
      <c r="C222" s="60"/>
      <c r="D222" s="60"/>
      <c r="E222" s="60"/>
      <c r="F222" s="60"/>
      <c r="G222" s="60"/>
      <c r="H222" s="60"/>
      <c r="I222" s="71"/>
      <c r="J222" s="60"/>
      <c r="K222" s="60"/>
      <c r="L222" s="60"/>
      <c r="M222" s="60"/>
    </row>
    <row r="223" spans="1:18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</row>
    <row r="224" spans="1:18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</row>
    <row r="225" spans="1:13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</row>
    <row r="226" spans="1:13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</row>
    <row r="227" spans="1:13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</row>
    <row r="228" spans="1:13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</row>
    <row r="229" spans="1:13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</row>
    <row r="230" spans="1:13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</row>
    <row r="231" spans="1:13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</row>
    <row r="232" spans="1:13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</row>
    <row r="233" spans="1:13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</row>
    <row r="235" spans="1:13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</row>
    <row r="236" spans="1:13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</row>
    <row r="238" spans="1:13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</row>
    <row r="239" spans="1:13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</row>
    <row r="240" spans="1:13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</row>
    <row r="241" spans="1:13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</row>
    <row r="242" spans="1:13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</row>
    <row r="243" spans="1:13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</row>
    <row r="244" spans="1:13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</row>
    <row r="245" spans="1:13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</row>
    <row r="246" spans="1:13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</row>
    <row r="247" spans="1:13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</row>
    <row r="248" spans="1:13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</row>
    <row r="249" spans="1:13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</row>
    <row r="250" spans="1:13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</row>
    <row r="251" spans="1:13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</row>
    <row r="252" spans="1:13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</row>
    <row r="253" spans="1:13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</row>
    <row r="254" spans="1:13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</row>
    <row r="255" spans="1:13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</row>
    <row r="256" spans="1:13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</row>
    <row r="257" spans="1:13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</row>
    <row r="258" spans="1:13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</row>
    <row r="259" spans="1:13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</row>
    <row r="260" spans="1:13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</row>
    <row r="261" spans="1:13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</row>
    <row r="262" spans="1:13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</row>
    <row r="263" spans="1:13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</row>
    <row r="264" spans="1:13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</row>
    <row r="265" spans="1:13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</row>
    <row r="266" spans="1:13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</row>
    <row r="267" spans="1:13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</row>
    <row r="268" spans="1:13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</row>
    <row r="269" spans="1:13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</row>
    <row r="270" spans="1:13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</row>
    <row r="271" spans="1:13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</row>
    <row r="272" spans="1:13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</row>
    <row r="273" spans="1:13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</row>
    <row r="274" spans="1:13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</row>
    <row r="275" spans="1:13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</row>
    <row r="276" spans="1:13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</row>
    <row r="277" spans="1:13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</row>
    <row r="278" spans="1:13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</row>
    <row r="279" spans="1:13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</row>
    <row r="280" spans="1:13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</row>
    <row r="281" spans="1:13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</row>
    <row r="282" spans="1:13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</row>
    <row r="283" spans="1:13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</row>
    <row r="284" spans="1:13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</row>
    <row r="285" spans="1:13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</row>
    <row r="286" spans="1:13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</row>
    <row r="287" spans="1:13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</row>
    <row r="288" spans="1:13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2019-10-16T17:40:12Z</dcterms:created>
  <dcterms:modified xsi:type="dcterms:W3CDTF">2019-10-16T17:41:33Z</dcterms:modified>
</cp:coreProperties>
</file>