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5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hidden="1">#REF!</definedName>
    <definedName name="ANEXO" hidden="1">'[2]Inversión total en programas'!$A$50:$IV$50,'[2]Inversión total en programas'!$A$60:$IV$63</definedName>
    <definedName name="_xlnm.Print_Area" localSheetId="0">'Anexo 2 '!$A$1:$M$202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'[4]Anexo 1 Minagricultura'!#REF!</definedName>
    <definedName name="CABEZAS_PROYEC">'[1]Anexo 1 Minagricultura'!#REF!</definedName>
    <definedName name="CUOTAPPC2005">'[1]Anexo 1 Minagricultura'!#REF!</definedName>
    <definedName name="CUOTAPPC2013">'[1]Anexo 1 Minagricultura'!#REF!</definedName>
    <definedName name="CUOTAPPC203">'[1]Anexo 1 Minagricultura'!#REF!</definedName>
    <definedName name="DIAG_PPC">#REF!</definedName>
    <definedName name="DISTRIBUIDOR">#REF!</definedName>
    <definedName name="Dólar">#REF!</definedName>
    <definedName name="eeeee">'[1]Ejecución ingresos 2014'!#REF!</definedName>
    <definedName name="EPPC">'[1]Anexo 1 Minagricultura'!#REF!</definedName>
    <definedName name="Euro">#REF!</definedName>
    <definedName name="FDGFDG">#REF!</definedName>
    <definedName name="FECHA_DE_RECIBIDO">[5]BASE!$E$3:$E$177</definedName>
    <definedName name="FOMENTO">'[1]Anexo 1 Minagricultura'!#REF!</definedName>
    <definedName name="FOMENTOS">'[8]Anexo 1 Minagricultura'!$C$51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LABORATORIOS">#REF!</definedName>
    <definedName name="NOMBDISTRI">#REF!</definedName>
    <definedName name="Pasajes">#REF!</definedName>
    <definedName name="ppc">'[9]Inversión total en programas'!$B$86</definedName>
    <definedName name="RESERV_FUTU">#REF!</definedName>
    <definedName name="saldo">'[1]Ejecución ingresos 2014'!#REF!</definedName>
    <definedName name="saldos">'[1]Ejecución ingresos 2014'!#REF!</definedName>
    <definedName name="SUPERA2004">'[1]Anexo 1 Minagricultura'!#REF!</definedName>
    <definedName name="SUPERA2005">'[1]Anexo 1 Minagricultura'!#REF!</definedName>
    <definedName name="SUPERA2010">'[9]Anexo 1 Minagricultura'!$C$21</definedName>
    <definedName name="SUPERA2012">'[1]Anexo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2 '!$1:$7</definedName>
    <definedName name="_xlnm.Print_Titles">#REF!</definedName>
    <definedName name="VTAS2005">'[1]Anexo 1 Minagricultura'!$B$32</definedName>
    <definedName name="xx">[10]Ingresos!$C$19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'[12]Ingresos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7" i="1" l="1"/>
  <c r="I206" i="1"/>
  <c r="H199" i="1"/>
  <c r="J199" i="1" s="1"/>
  <c r="K199" i="1" s="1"/>
  <c r="H198" i="1"/>
  <c r="J198" i="1" s="1"/>
  <c r="K198" i="1" s="1"/>
  <c r="I197" i="1"/>
  <c r="H197" i="1"/>
  <c r="M195" i="1"/>
  <c r="L195" i="1"/>
  <c r="J195" i="1"/>
  <c r="H195" i="1"/>
  <c r="I193" i="1"/>
  <c r="I191" i="1" s="1"/>
  <c r="J191" i="1" s="1"/>
  <c r="J192" i="1"/>
  <c r="M192" i="1" s="1"/>
  <c r="I192" i="1"/>
  <c r="K191" i="1"/>
  <c r="M189" i="1"/>
  <c r="L189" i="1"/>
  <c r="J189" i="1"/>
  <c r="H189" i="1"/>
  <c r="L188" i="1"/>
  <c r="J188" i="1"/>
  <c r="M188" i="1" s="1"/>
  <c r="H188" i="1"/>
  <c r="M187" i="1"/>
  <c r="L187" i="1"/>
  <c r="J187" i="1"/>
  <c r="H187" i="1"/>
  <c r="L186" i="1"/>
  <c r="K186" i="1"/>
  <c r="J186" i="1"/>
  <c r="H186" i="1"/>
  <c r="E186" i="1"/>
  <c r="H185" i="1"/>
  <c r="J185" i="1" s="1"/>
  <c r="E185" i="1"/>
  <c r="E40" i="1" s="1"/>
  <c r="M183" i="1"/>
  <c r="L183" i="1"/>
  <c r="J183" i="1"/>
  <c r="H183" i="1"/>
  <c r="H182" i="1"/>
  <c r="J182" i="1" s="1"/>
  <c r="M181" i="1"/>
  <c r="L181" i="1"/>
  <c r="J181" i="1"/>
  <c r="H181" i="1"/>
  <c r="H180" i="1"/>
  <c r="J180" i="1" s="1"/>
  <c r="M179" i="1"/>
  <c r="L179" i="1"/>
  <c r="J179" i="1"/>
  <c r="H179" i="1"/>
  <c r="H178" i="1"/>
  <c r="J178" i="1" s="1"/>
  <c r="M177" i="1"/>
  <c r="L177" i="1"/>
  <c r="J177" i="1"/>
  <c r="H177" i="1"/>
  <c r="J176" i="1"/>
  <c r="H176" i="1"/>
  <c r="K175" i="1"/>
  <c r="D175" i="1"/>
  <c r="M174" i="1"/>
  <c r="J174" i="1"/>
  <c r="L174" i="1" s="1"/>
  <c r="H174" i="1"/>
  <c r="H173" i="1"/>
  <c r="J173" i="1" s="1"/>
  <c r="J172" i="1"/>
  <c r="H172" i="1"/>
  <c r="H171" i="1" s="1"/>
  <c r="K171" i="1"/>
  <c r="D171" i="1"/>
  <c r="K170" i="1"/>
  <c r="D170" i="1"/>
  <c r="H169" i="1"/>
  <c r="J169" i="1" s="1"/>
  <c r="H168" i="1"/>
  <c r="J168" i="1" s="1"/>
  <c r="L167" i="1"/>
  <c r="J167" i="1"/>
  <c r="M167" i="1" s="1"/>
  <c r="H167" i="1"/>
  <c r="H166" i="1"/>
  <c r="J166" i="1" s="1"/>
  <c r="H165" i="1"/>
  <c r="J165" i="1" s="1"/>
  <c r="H164" i="1"/>
  <c r="K163" i="1"/>
  <c r="K156" i="1" s="1"/>
  <c r="K151" i="1" s="1"/>
  <c r="D163" i="1"/>
  <c r="H162" i="1"/>
  <c r="J162" i="1" s="1"/>
  <c r="M161" i="1"/>
  <c r="L161" i="1"/>
  <c r="J161" i="1"/>
  <c r="H161" i="1"/>
  <c r="H160" i="1"/>
  <c r="J160" i="1" s="1"/>
  <c r="M159" i="1"/>
  <c r="L159" i="1"/>
  <c r="J159" i="1"/>
  <c r="H159" i="1"/>
  <c r="D159" i="1"/>
  <c r="D158" i="1"/>
  <c r="D157" i="1" s="1"/>
  <c r="K157" i="1"/>
  <c r="D156" i="1"/>
  <c r="M155" i="1"/>
  <c r="J155" i="1"/>
  <c r="L155" i="1" s="1"/>
  <c r="H155" i="1"/>
  <c r="H154" i="1"/>
  <c r="J154" i="1" s="1"/>
  <c r="H153" i="1"/>
  <c r="H152" i="1" s="1"/>
  <c r="K152" i="1"/>
  <c r="D152" i="1"/>
  <c r="D151" i="1"/>
  <c r="D40" i="1" s="1"/>
  <c r="M149" i="1"/>
  <c r="J149" i="1"/>
  <c r="L149" i="1" s="1"/>
  <c r="H149" i="1"/>
  <c r="C149" i="1"/>
  <c r="C148" i="1"/>
  <c r="M147" i="1"/>
  <c r="L147" i="1"/>
  <c r="J147" i="1"/>
  <c r="H147" i="1"/>
  <c r="H146" i="1"/>
  <c r="J146" i="1" s="1"/>
  <c r="K145" i="1"/>
  <c r="H144" i="1"/>
  <c r="J144" i="1" s="1"/>
  <c r="H143" i="1"/>
  <c r="J143" i="1" s="1"/>
  <c r="M142" i="1"/>
  <c r="J142" i="1"/>
  <c r="L142" i="1" s="1"/>
  <c r="H142" i="1"/>
  <c r="H141" i="1"/>
  <c r="J141" i="1" s="1"/>
  <c r="H140" i="1"/>
  <c r="J140" i="1" s="1"/>
  <c r="H139" i="1"/>
  <c r="J139" i="1" s="1"/>
  <c r="H138" i="1"/>
  <c r="J138" i="1" s="1"/>
  <c r="K137" i="1"/>
  <c r="H137" i="1"/>
  <c r="C137" i="1"/>
  <c r="H136" i="1"/>
  <c r="J136" i="1" s="1"/>
  <c r="M136" i="1" s="1"/>
  <c r="H135" i="1"/>
  <c r="J135" i="1" s="1"/>
  <c r="M134" i="1"/>
  <c r="H134" i="1"/>
  <c r="J134" i="1" s="1"/>
  <c r="L134" i="1" s="1"/>
  <c r="H133" i="1"/>
  <c r="J133" i="1" s="1"/>
  <c r="H132" i="1"/>
  <c r="J132" i="1" s="1"/>
  <c r="M132" i="1" s="1"/>
  <c r="J131" i="1"/>
  <c r="H131" i="1"/>
  <c r="K130" i="1"/>
  <c r="C130" i="1"/>
  <c r="K129" i="1"/>
  <c r="H127" i="1"/>
  <c r="J127" i="1" s="1"/>
  <c r="M126" i="1"/>
  <c r="L126" i="1"/>
  <c r="H126" i="1"/>
  <c r="J126" i="1" s="1"/>
  <c r="G125" i="1"/>
  <c r="G124" i="1" s="1"/>
  <c r="K124" i="1"/>
  <c r="J123" i="1"/>
  <c r="M123" i="1" s="1"/>
  <c r="H123" i="1"/>
  <c r="H122" i="1"/>
  <c r="H121" i="1" s="1"/>
  <c r="K121" i="1"/>
  <c r="G121" i="1"/>
  <c r="J120" i="1"/>
  <c r="H120" i="1"/>
  <c r="M119" i="1"/>
  <c r="J119" i="1"/>
  <c r="L119" i="1" s="1"/>
  <c r="H119" i="1"/>
  <c r="H118" i="1"/>
  <c r="J118" i="1" s="1"/>
  <c r="M117" i="1"/>
  <c r="J117" i="1"/>
  <c r="L117" i="1" s="1"/>
  <c r="H117" i="1"/>
  <c r="H116" i="1"/>
  <c r="M115" i="1"/>
  <c r="J115" i="1"/>
  <c r="L115" i="1" s="1"/>
  <c r="H115" i="1"/>
  <c r="K114" i="1"/>
  <c r="G114" i="1"/>
  <c r="J113" i="1"/>
  <c r="H113" i="1"/>
  <c r="M112" i="1"/>
  <c r="L112" i="1"/>
  <c r="J112" i="1"/>
  <c r="H112" i="1"/>
  <c r="K111" i="1"/>
  <c r="J111" i="1"/>
  <c r="H111" i="1"/>
  <c r="G111" i="1"/>
  <c r="G110" i="1"/>
  <c r="H110" i="1" s="1"/>
  <c r="J110" i="1" s="1"/>
  <c r="L110" i="1" s="1"/>
  <c r="H109" i="1"/>
  <c r="G109" i="1"/>
  <c r="J108" i="1"/>
  <c r="H108" i="1"/>
  <c r="J107" i="1"/>
  <c r="H107" i="1"/>
  <c r="G107" i="1"/>
  <c r="K106" i="1"/>
  <c r="M103" i="1"/>
  <c r="L103" i="1"/>
  <c r="J103" i="1"/>
  <c r="H103" i="1"/>
  <c r="H102" i="1"/>
  <c r="H101" i="1" s="1"/>
  <c r="K101" i="1"/>
  <c r="F101" i="1"/>
  <c r="H100" i="1"/>
  <c r="J100" i="1" s="1"/>
  <c r="H99" i="1"/>
  <c r="K98" i="1"/>
  <c r="F98" i="1"/>
  <c r="F97" i="1"/>
  <c r="H97" i="1" s="1"/>
  <c r="J97" i="1" s="1"/>
  <c r="M96" i="1"/>
  <c r="F96" i="1"/>
  <c r="H96" i="1" s="1"/>
  <c r="J96" i="1" s="1"/>
  <c r="L96" i="1" s="1"/>
  <c r="H95" i="1"/>
  <c r="J95" i="1" s="1"/>
  <c r="F95" i="1"/>
  <c r="H94" i="1"/>
  <c r="F94" i="1"/>
  <c r="M93" i="1"/>
  <c r="L93" i="1"/>
  <c r="J93" i="1"/>
  <c r="H93" i="1"/>
  <c r="F93" i="1"/>
  <c r="K92" i="1"/>
  <c r="H91" i="1"/>
  <c r="J91" i="1" s="1"/>
  <c r="M90" i="1"/>
  <c r="L90" i="1"/>
  <c r="J90" i="1"/>
  <c r="H90" i="1"/>
  <c r="J89" i="1"/>
  <c r="H89" i="1"/>
  <c r="J88" i="1"/>
  <c r="H88" i="1"/>
  <c r="J87" i="1"/>
  <c r="H87" i="1"/>
  <c r="F87" i="1"/>
  <c r="M86" i="1"/>
  <c r="L86" i="1"/>
  <c r="J86" i="1"/>
  <c r="H86" i="1"/>
  <c r="J85" i="1"/>
  <c r="M85" i="1" s="1"/>
  <c r="H85" i="1"/>
  <c r="M84" i="1"/>
  <c r="L84" i="1"/>
  <c r="J84" i="1"/>
  <c r="H84" i="1"/>
  <c r="H83" i="1"/>
  <c r="H82" i="1" s="1"/>
  <c r="F83" i="1"/>
  <c r="K82" i="1"/>
  <c r="F82" i="1"/>
  <c r="J81" i="1"/>
  <c r="M81" i="1" s="1"/>
  <c r="H81" i="1"/>
  <c r="J80" i="1"/>
  <c r="H80" i="1"/>
  <c r="J79" i="1"/>
  <c r="H79" i="1"/>
  <c r="J78" i="1"/>
  <c r="H78" i="1"/>
  <c r="J77" i="1"/>
  <c r="M77" i="1" s="1"/>
  <c r="H77" i="1"/>
  <c r="K76" i="1"/>
  <c r="J76" i="1"/>
  <c r="H76" i="1"/>
  <c r="F76" i="1"/>
  <c r="J73" i="1"/>
  <c r="J71" i="1" s="1"/>
  <c r="H73" i="1"/>
  <c r="J72" i="1"/>
  <c r="H72" i="1"/>
  <c r="K71" i="1"/>
  <c r="B71" i="1"/>
  <c r="H70" i="1"/>
  <c r="J70" i="1" s="1"/>
  <c r="M69" i="1"/>
  <c r="L69" i="1"/>
  <c r="J69" i="1"/>
  <c r="H69" i="1"/>
  <c r="B68" i="1"/>
  <c r="H68" i="1" s="1"/>
  <c r="J68" i="1" s="1"/>
  <c r="B67" i="1"/>
  <c r="B66" i="1" s="1"/>
  <c r="K66" i="1"/>
  <c r="J65" i="1"/>
  <c r="L65" i="1" s="1"/>
  <c r="H65" i="1"/>
  <c r="J64" i="1"/>
  <c r="M64" i="1" s="1"/>
  <c r="H64" i="1"/>
  <c r="J63" i="1"/>
  <c r="H63" i="1"/>
  <c r="K62" i="1"/>
  <c r="H62" i="1"/>
  <c r="B62" i="1"/>
  <c r="M61" i="1"/>
  <c r="L61" i="1"/>
  <c r="J61" i="1"/>
  <c r="H61" i="1"/>
  <c r="B60" i="1"/>
  <c r="M59" i="1"/>
  <c r="L59" i="1"/>
  <c r="J59" i="1"/>
  <c r="H59" i="1"/>
  <c r="B59" i="1"/>
  <c r="K58" i="1"/>
  <c r="H57" i="1"/>
  <c r="J57" i="1" s="1"/>
  <c r="L56" i="1"/>
  <c r="J56" i="1"/>
  <c r="M56" i="1" s="1"/>
  <c r="H56" i="1"/>
  <c r="M55" i="1"/>
  <c r="J55" i="1"/>
  <c r="L55" i="1" s="1"/>
  <c r="H55" i="1"/>
  <c r="H54" i="1"/>
  <c r="J54" i="1" s="1"/>
  <c r="M53" i="1"/>
  <c r="K53" i="1"/>
  <c r="B53" i="1"/>
  <c r="H53" i="1" s="1"/>
  <c r="J53" i="1" s="1"/>
  <c r="J52" i="1"/>
  <c r="M52" i="1" s="1"/>
  <c r="H52" i="1"/>
  <c r="H51" i="1"/>
  <c r="J51" i="1" s="1"/>
  <c r="L50" i="1"/>
  <c r="K50" i="1"/>
  <c r="H50" i="1"/>
  <c r="J50" i="1" s="1"/>
  <c r="B50" i="1"/>
  <c r="M48" i="1"/>
  <c r="L48" i="1"/>
  <c r="J48" i="1"/>
  <c r="H48" i="1"/>
  <c r="M46" i="1"/>
  <c r="L46" i="1"/>
  <c r="J46" i="1"/>
  <c r="H46" i="1"/>
  <c r="H45" i="1"/>
  <c r="J45" i="1" s="1"/>
  <c r="M44" i="1"/>
  <c r="L44" i="1"/>
  <c r="J44" i="1"/>
  <c r="H44" i="1"/>
  <c r="K43" i="1"/>
  <c r="B43" i="1"/>
  <c r="G38" i="1"/>
  <c r="E38" i="1"/>
  <c r="D38" i="1"/>
  <c r="B38" i="1"/>
  <c r="K37" i="1"/>
  <c r="I37" i="1"/>
  <c r="G37" i="1"/>
  <c r="F37" i="1"/>
  <c r="F38" i="1" s="1"/>
  <c r="E37" i="1"/>
  <c r="D37" i="1"/>
  <c r="C37" i="1"/>
  <c r="B37" i="1"/>
  <c r="H36" i="1"/>
  <c r="J36" i="1" s="1"/>
  <c r="M36" i="1" s="1"/>
  <c r="M35" i="1"/>
  <c r="L35" i="1"/>
  <c r="J35" i="1"/>
  <c r="H35" i="1"/>
  <c r="H34" i="1"/>
  <c r="J34" i="1" s="1"/>
  <c r="M33" i="1"/>
  <c r="L33" i="1"/>
  <c r="J33" i="1"/>
  <c r="H33" i="1"/>
  <c r="H32" i="1"/>
  <c r="J32" i="1" s="1"/>
  <c r="M32" i="1" s="1"/>
  <c r="M31" i="1"/>
  <c r="L31" i="1"/>
  <c r="J31" i="1"/>
  <c r="H31" i="1"/>
  <c r="B31" i="1"/>
  <c r="H30" i="1"/>
  <c r="J30" i="1" s="1"/>
  <c r="J29" i="1"/>
  <c r="M29" i="1" s="1"/>
  <c r="H29" i="1"/>
  <c r="H28" i="1"/>
  <c r="J28" i="1" s="1"/>
  <c r="H27" i="1"/>
  <c r="J27" i="1" s="1"/>
  <c r="M26" i="1"/>
  <c r="J26" i="1"/>
  <c r="L26" i="1" s="1"/>
  <c r="H26" i="1"/>
  <c r="J25" i="1"/>
  <c r="H25" i="1"/>
  <c r="M24" i="1"/>
  <c r="J24" i="1"/>
  <c r="L24" i="1" s="1"/>
  <c r="H24" i="1"/>
  <c r="H23" i="1"/>
  <c r="J23" i="1" s="1"/>
  <c r="M22" i="1"/>
  <c r="L22" i="1"/>
  <c r="J22" i="1"/>
  <c r="H22" i="1"/>
  <c r="K20" i="1"/>
  <c r="I20" i="1"/>
  <c r="H20" i="1"/>
  <c r="G20" i="1"/>
  <c r="F20" i="1"/>
  <c r="E20" i="1"/>
  <c r="D20" i="1"/>
  <c r="C20" i="1"/>
  <c r="B20" i="1"/>
  <c r="M19" i="1"/>
  <c r="L19" i="1"/>
  <c r="J19" i="1"/>
  <c r="H19" i="1"/>
  <c r="H18" i="1"/>
  <c r="J18" i="1" s="1"/>
  <c r="M17" i="1"/>
  <c r="L17" i="1"/>
  <c r="J17" i="1"/>
  <c r="H17" i="1"/>
  <c r="H16" i="1"/>
  <c r="J16" i="1" s="1"/>
  <c r="M15" i="1"/>
  <c r="L15" i="1"/>
  <c r="J15" i="1"/>
  <c r="H15" i="1"/>
  <c r="H14" i="1"/>
  <c r="J14" i="1" s="1"/>
  <c r="M13" i="1"/>
  <c r="L13" i="1"/>
  <c r="J13" i="1"/>
  <c r="H13" i="1"/>
  <c r="H12" i="1"/>
  <c r="J12" i="1" s="1"/>
  <c r="M11" i="1"/>
  <c r="L11" i="1"/>
  <c r="J11" i="1"/>
  <c r="H11" i="1"/>
  <c r="H10" i="1"/>
  <c r="K9" i="1"/>
  <c r="I9" i="1"/>
  <c r="G9" i="1"/>
  <c r="F9" i="1"/>
  <c r="E9" i="1"/>
  <c r="D9" i="1"/>
  <c r="C9" i="1"/>
  <c r="B9" i="1"/>
  <c r="M27" i="1" l="1"/>
  <c r="L27" i="1"/>
  <c r="M140" i="1"/>
  <c r="L140" i="1"/>
  <c r="L199" i="1"/>
  <c r="M199" i="1"/>
  <c r="M97" i="1"/>
  <c r="L97" i="1"/>
  <c r="L54" i="1"/>
  <c r="M54" i="1"/>
  <c r="M135" i="1"/>
  <c r="L135" i="1"/>
  <c r="M18" i="1"/>
  <c r="L18" i="1"/>
  <c r="H98" i="1"/>
  <c r="H75" i="1" s="1"/>
  <c r="J75" i="1" s="1"/>
  <c r="J99" i="1"/>
  <c r="H130" i="1"/>
  <c r="J171" i="1"/>
  <c r="M172" i="1"/>
  <c r="L172" i="1"/>
  <c r="L45" i="1"/>
  <c r="M45" i="1"/>
  <c r="J43" i="1"/>
  <c r="L43" i="1" s="1"/>
  <c r="B58" i="1"/>
  <c r="H60" i="1"/>
  <c r="M76" i="1"/>
  <c r="K75" i="1"/>
  <c r="L76" i="1"/>
  <c r="L118" i="1"/>
  <c r="M118" i="1"/>
  <c r="M138" i="1"/>
  <c r="L138" i="1"/>
  <c r="L192" i="1"/>
  <c r="J62" i="1"/>
  <c r="L85" i="1"/>
  <c r="L144" i="1"/>
  <c r="M144" i="1"/>
  <c r="M180" i="1"/>
  <c r="L180" i="1"/>
  <c r="L23" i="1"/>
  <c r="M23" i="1"/>
  <c r="J37" i="1"/>
  <c r="L88" i="1"/>
  <c r="M88" i="1"/>
  <c r="C145" i="1"/>
  <c r="H145" i="1" s="1"/>
  <c r="H148" i="1"/>
  <c r="J148" i="1" s="1"/>
  <c r="H163" i="1"/>
  <c r="J164" i="1"/>
  <c r="L30" i="1"/>
  <c r="M30" i="1"/>
  <c r="H37" i="1"/>
  <c r="L52" i="1"/>
  <c r="M63" i="1"/>
  <c r="L73" i="1"/>
  <c r="L81" i="1"/>
  <c r="H92" i="1"/>
  <c r="K105" i="1"/>
  <c r="J109" i="1"/>
  <c r="H106" i="1"/>
  <c r="J153" i="1"/>
  <c r="H158" i="1"/>
  <c r="L165" i="1"/>
  <c r="M165" i="1"/>
  <c r="E201" i="1"/>
  <c r="L36" i="1"/>
  <c r="I38" i="1"/>
  <c r="I201" i="1" s="1"/>
  <c r="H67" i="1"/>
  <c r="M73" i="1"/>
  <c r="M78" i="1"/>
  <c r="L78" i="1"/>
  <c r="J94" i="1"/>
  <c r="H114" i="1"/>
  <c r="M127" i="1"/>
  <c r="L127" i="1"/>
  <c r="L132" i="1"/>
  <c r="M178" i="1"/>
  <c r="L178" i="1"/>
  <c r="M25" i="1"/>
  <c r="L25" i="1"/>
  <c r="D201" i="1"/>
  <c r="L12" i="1"/>
  <c r="M12" i="1"/>
  <c r="M87" i="1"/>
  <c r="L87" i="1"/>
  <c r="M100" i="1"/>
  <c r="L100" i="1"/>
  <c r="M143" i="1"/>
  <c r="L143" i="1"/>
  <c r="L29" i="1"/>
  <c r="M65" i="1"/>
  <c r="M91" i="1"/>
  <c r="L91" i="1"/>
  <c r="M160" i="1"/>
  <c r="L160" i="1"/>
  <c r="H43" i="1"/>
  <c r="L63" i="1"/>
  <c r="J122" i="1"/>
  <c r="H9" i="1"/>
  <c r="J10" i="1"/>
  <c r="M70" i="1"/>
  <c r="L70" i="1"/>
  <c r="M14" i="1"/>
  <c r="L14" i="1"/>
  <c r="L120" i="1"/>
  <c r="M120" i="1"/>
  <c r="M146" i="1"/>
  <c r="L146" i="1"/>
  <c r="L57" i="1"/>
  <c r="M57" i="1"/>
  <c r="M62" i="1"/>
  <c r="J106" i="1"/>
  <c r="M51" i="1"/>
  <c r="L51" i="1"/>
  <c r="M198" i="1"/>
  <c r="L198" i="1"/>
  <c r="J83" i="1"/>
  <c r="M108" i="1"/>
  <c r="L108" i="1"/>
  <c r="M169" i="1"/>
  <c r="L169" i="1"/>
  <c r="L16" i="1"/>
  <c r="M16" i="1"/>
  <c r="L28" i="1"/>
  <c r="M28" i="1"/>
  <c r="L34" i="1"/>
  <c r="M34" i="1"/>
  <c r="H38" i="1"/>
  <c r="K49" i="1"/>
  <c r="M50" i="1"/>
  <c r="M68" i="1"/>
  <c r="L68" i="1"/>
  <c r="M71" i="1"/>
  <c r="L71" i="1"/>
  <c r="M79" i="1"/>
  <c r="L79" i="1"/>
  <c r="M95" i="1"/>
  <c r="L95" i="1"/>
  <c r="M113" i="1"/>
  <c r="L113" i="1"/>
  <c r="M133" i="1"/>
  <c r="L133" i="1"/>
  <c r="J137" i="1"/>
  <c r="M162" i="1"/>
  <c r="L162" i="1"/>
  <c r="M182" i="1"/>
  <c r="L182" i="1"/>
  <c r="L32" i="1"/>
  <c r="J102" i="1"/>
  <c r="M141" i="1"/>
  <c r="L141" i="1"/>
  <c r="M173" i="1"/>
  <c r="L173" i="1"/>
  <c r="J193" i="1"/>
  <c r="C38" i="1"/>
  <c r="K38" i="1"/>
  <c r="L62" i="1"/>
  <c r="L64" i="1"/>
  <c r="H71" i="1"/>
  <c r="L77" i="1"/>
  <c r="G106" i="1"/>
  <c r="G105" i="1" s="1"/>
  <c r="G40" i="1" s="1"/>
  <c r="G201" i="1" s="1"/>
  <c r="H207" i="1" s="1"/>
  <c r="J207" i="1" s="1"/>
  <c r="L107" i="1"/>
  <c r="L123" i="1"/>
  <c r="L136" i="1"/>
  <c r="H175" i="1"/>
  <c r="H170" i="1" s="1"/>
  <c r="J197" i="1"/>
  <c r="K197" i="1" s="1"/>
  <c r="M111" i="1"/>
  <c r="L111" i="1"/>
  <c r="M168" i="1"/>
  <c r="L168" i="1"/>
  <c r="J116" i="1"/>
  <c r="M154" i="1"/>
  <c r="L154" i="1"/>
  <c r="M72" i="1"/>
  <c r="L72" i="1"/>
  <c r="M80" i="1"/>
  <c r="L80" i="1"/>
  <c r="M89" i="1"/>
  <c r="L89" i="1"/>
  <c r="M107" i="1"/>
  <c r="J130" i="1"/>
  <c r="M131" i="1"/>
  <c r="M166" i="1"/>
  <c r="L166" i="1"/>
  <c r="J175" i="1"/>
  <c r="M176" i="1"/>
  <c r="M191" i="1"/>
  <c r="L191" i="1"/>
  <c r="I208" i="1"/>
  <c r="H125" i="1"/>
  <c r="B49" i="1"/>
  <c r="L53" i="1"/>
  <c r="F92" i="1"/>
  <c r="F75" i="1" s="1"/>
  <c r="F40" i="1" s="1"/>
  <c r="F201" i="1" s="1"/>
  <c r="M110" i="1"/>
  <c r="L131" i="1"/>
  <c r="M139" i="1"/>
  <c r="L139" i="1"/>
  <c r="L176" i="1"/>
  <c r="M186" i="1"/>
  <c r="K185" i="1"/>
  <c r="M148" i="1" l="1"/>
  <c r="L148" i="1"/>
  <c r="M137" i="1"/>
  <c r="L137" i="1"/>
  <c r="M38" i="1"/>
  <c r="L38" i="1"/>
  <c r="L10" i="1"/>
  <c r="J9" i="1"/>
  <c r="M10" i="1"/>
  <c r="J20" i="1"/>
  <c r="L109" i="1"/>
  <c r="M109" i="1"/>
  <c r="M130" i="1"/>
  <c r="L130" i="1"/>
  <c r="J67" i="1"/>
  <c r="H66" i="1"/>
  <c r="K47" i="1"/>
  <c r="H105" i="1"/>
  <c r="M185" i="1"/>
  <c r="L185" i="1"/>
  <c r="M116" i="1"/>
  <c r="L116" i="1"/>
  <c r="J114" i="1"/>
  <c r="L106" i="1"/>
  <c r="L175" i="1"/>
  <c r="M175" i="1"/>
  <c r="M94" i="1"/>
  <c r="L94" i="1"/>
  <c r="J92" i="1"/>
  <c r="M106" i="1"/>
  <c r="M193" i="1"/>
  <c r="L193" i="1"/>
  <c r="M83" i="1"/>
  <c r="J82" i="1"/>
  <c r="L83" i="1"/>
  <c r="J121" i="1"/>
  <c r="M122" i="1"/>
  <c r="L122" i="1"/>
  <c r="M171" i="1"/>
  <c r="L171" i="1"/>
  <c r="J170" i="1"/>
  <c r="M99" i="1"/>
  <c r="L99" i="1"/>
  <c r="J98" i="1"/>
  <c r="M43" i="1"/>
  <c r="J145" i="1"/>
  <c r="J38" i="1"/>
  <c r="M37" i="1"/>
  <c r="L37" i="1"/>
  <c r="M75" i="1"/>
  <c r="L75" i="1"/>
  <c r="J125" i="1"/>
  <c r="H124" i="1"/>
  <c r="M164" i="1"/>
  <c r="L164" i="1"/>
  <c r="J163" i="1"/>
  <c r="J60" i="1"/>
  <c r="H58" i="1"/>
  <c r="H129" i="1"/>
  <c r="J129" i="1" s="1"/>
  <c r="L153" i="1"/>
  <c r="J152" i="1"/>
  <c r="M153" i="1"/>
  <c r="J101" i="1"/>
  <c r="M102" i="1"/>
  <c r="L102" i="1"/>
  <c r="B47" i="1"/>
  <c r="B42" i="1" s="1"/>
  <c r="B40" i="1" s="1"/>
  <c r="H49" i="1"/>
  <c r="L197" i="1"/>
  <c r="M197" i="1"/>
  <c r="H157" i="1"/>
  <c r="H156" i="1" s="1"/>
  <c r="H151" i="1" s="1"/>
  <c r="J151" i="1" s="1"/>
  <c r="J158" i="1"/>
  <c r="C129" i="1"/>
  <c r="C40" i="1" s="1"/>
  <c r="C201" i="1" s="1"/>
  <c r="M151" i="1" l="1"/>
  <c r="L151" i="1"/>
  <c r="K42" i="1"/>
  <c r="M20" i="1"/>
  <c r="L20" i="1"/>
  <c r="L60" i="1"/>
  <c r="M60" i="1"/>
  <c r="J58" i="1"/>
  <c r="M163" i="1"/>
  <c r="L163" i="1"/>
  <c r="L82" i="1"/>
  <c r="M82" i="1"/>
  <c r="L170" i="1"/>
  <c r="M170" i="1"/>
  <c r="J49" i="1"/>
  <c r="H47" i="1"/>
  <c r="H42" i="1" s="1"/>
  <c r="J42" i="1" s="1"/>
  <c r="M152" i="1"/>
  <c r="L152" i="1"/>
  <c r="M114" i="1"/>
  <c r="L114" i="1"/>
  <c r="M145" i="1"/>
  <c r="L145" i="1"/>
  <c r="L9" i="1"/>
  <c r="M9" i="1"/>
  <c r="M129" i="1"/>
  <c r="L129" i="1"/>
  <c r="L92" i="1"/>
  <c r="M92" i="1"/>
  <c r="L67" i="1"/>
  <c r="J66" i="1"/>
  <c r="M67" i="1"/>
  <c r="L158" i="1"/>
  <c r="J157" i="1"/>
  <c r="M158" i="1"/>
  <c r="M101" i="1"/>
  <c r="L101" i="1"/>
  <c r="H40" i="1"/>
  <c r="J40" i="1" s="1"/>
  <c r="B201" i="1"/>
  <c r="M125" i="1"/>
  <c r="J124" i="1"/>
  <c r="J105" i="1" s="1"/>
  <c r="L125" i="1"/>
  <c r="M98" i="1"/>
  <c r="L98" i="1"/>
  <c r="M121" i="1"/>
  <c r="L121" i="1"/>
  <c r="M105" i="1" l="1"/>
  <c r="L105" i="1"/>
  <c r="M66" i="1"/>
  <c r="L66" i="1"/>
  <c r="L42" i="1"/>
  <c r="K40" i="1"/>
  <c r="M42" i="1"/>
  <c r="M124" i="1"/>
  <c r="L124" i="1"/>
  <c r="M58" i="1"/>
  <c r="L58" i="1"/>
  <c r="H206" i="1"/>
  <c r="H201" i="1"/>
  <c r="J201" i="1" s="1"/>
  <c r="M157" i="1"/>
  <c r="L157" i="1"/>
  <c r="J156" i="1"/>
  <c r="J47" i="1"/>
  <c r="M49" i="1"/>
  <c r="L49" i="1"/>
  <c r="M156" i="1" l="1"/>
  <c r="L156" i="1"/>
  <c r="M40" i="1"/>
  <c r="K201" i="1"/>
  <c r="M201" i="1" s="1"/>
  <c r="L40" i="1"/>
  <c r="L201" i="1" s="1"/>
  <c r="H208" i="1"/>
  <c r="J206" i="1"/>
  <c r="J208" i="1" s="1"/>
  <c r="L47" i="1"/>
  <c r="M47" i="1"/>
</calcChain>
</file>

<file path=xl/sharedStrings.xml><?xml version="1.0" encoding="utf-8"?>
<sst xmlns="http://schemas.openxmlformats.org/spreadsheetml/2006/main" count="206" uniqueCount="204">
  <si>
    <t>MINISTERIO DE AGRICULTURA  Y DESARROLLO RURAL</t>
  </si>
  <si>
    <t>DIRECCIÓN DE PLANEACIÓN Y SEGUIMIENTO PRESUPUESTAL</t>
  </si>
  <si>
    <t>PRESUPUESTO DE GASTOS DE FUNCIONAMIENTO E INVERSIÓN 2.015</t>
  </si>
  <si>
    <t>EJECUCIÓN TRIMESTRE OCTUBRE-DICIEMBRE 2015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</si>
  <si>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</si>
  <si>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</si>
  <si>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</si>
  <si>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</si>
  <si>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</si>
  <si>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</si>
  <si>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</si>
  <si>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</si>
  <si>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</si>
  <si>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</si>
  <si>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</si>
  <si>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TOTAL EJECUTADO</t>
  </si>
  <si>
    <t>ACUERDO 3/16</t>
  </si>
  <si>
    <t>% EJECU-CIÓN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</si>
  <si>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</si>
  <si>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</si>
  <si>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</si>
  <si>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</si>
  <si>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</si>
  <si>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</si>
  <si>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</si>
  <si>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</si>
  <si>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</si>
  <si>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</si>
  <si>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</si>
  <si>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</si>
  <si>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</si>
  <si>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</si>
  <si>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</si>
  <si>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</si>
  <si>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</si>
  <si>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</si>
  <si>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</si>
  <si>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</si>
  <si>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</si>
  <si>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</si>
  <si>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</si>
  <si>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</si>
  <si>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</si>
  <si>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</si>
  <si>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</si>
  <si>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</si>
  <si>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</si>
  <si>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</si>
  <si>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</si>
  <si>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</si>
  <si>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</si>
  <si>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</si>
  <si>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Comsac</t>
  </si>
  <si>
    <t>Acuerdos de Libre Comercio</t>
  </si>
  <si>
    <t xml:space="preserve">Cadena Carnica Porcína </t>
  </si>
  <si>
    <t>Centro de servicios técnicos y financieros</t>
  </si>
  <si>
    <t>Atención de Solicitudes (Asistencia a Productores)</t>
  </si>
  <si>
    <t>Convenios</t>
  </si>
  <si>
    <t xml:space="preserve">   Contrapartidas Gobernaciones y/o Alcaldias</t>
  </si>
  <si>
    <t xml:space="preserve">     Convenio Gobernacion de Cundinamarca</t>
  </si>
  <si>
    <t xml:space="preserve">     Convenio Pereira</t>
  </si>
  <si>
    <t xml:space="preserve">   Contrapartidas FNP</t>
  </si>
  <si>
    <t xml:space="preserve">     Convenio Gobernacion de Cundinamarca FNP</t>
  </si>
  <si>
    <t xml:space="preserve">     Convenio Pereira FNP</t>
  </si>
  <si>
    <t xml:space="preserve">  Seguimiento a convenios</t>
  </si>
  <si>
    <t>Divulgación Resolución 2640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</si>
  <si>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</si>
  <si>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</si>
  <si>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</si>
  <si>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</si>
  <si>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</si>
  <si>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</si>
  <si>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</si>
  <si>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</si>
  <si>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Promoción del sacrificio formal</t>
  </si>
  <si>
    <t>Movilización Jefe Coordinadores de recaudo</t>
  </si>
  <si>
    <t>Trabajo con autoridades</t>
  </si>
  <si>
    <t>Jornadas de trabajo con los coordinadores regionales(trabajo con autoridades)</t>
  </si>
  <si>
    <t>Fortalecimiento Infraestructura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</si>
  <si>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</si>
  <si>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</si>
  <si>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</si>
  <si>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</si>
  <si>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</si>
  <si>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>Home panel de Nilsen</t>
  </si>
  <si>
    <t>Brand equity tracking</t>
  </si>
  <si>
    <t>Eye Trancking</t>
  </si>
  <si>
    <t>Monitoreo de Medios</t>
  </si>
  <si>
    <t>Tracking publicitario ( Neuro nilsen)</t>
  </si>
  <si>
    <t>Sensibilización de las bondades gastronomicas y nutricionales de la carne de cerdo</t>
  </si>
  <si>
    <t>Seguimiento gestión al equipo incentivo y sensibilizacion de las bondades de la carne de cerdo</t>
  </si>
  <si>
    <t>Nutricionistas</t>
  </si>
  <si>
    <t>Asesores Gastronómicos</t>
  </si>
  <si>
    <t>Viajes regionales equipo incentivo y sensibilizacion de las bondades de la carne de cerdo</t>
  </si>
  <si>
    <t>Día de la Carne de Cerdo</t>
  </si>
  <si>
    <t>Capacitación anual contratistas</t>
  </si>
  <si>
    <t xml:space="preserve">Material Publicitario, Promoción y Divulgación para el Incentivo y sensibilizacion </t>
  </si>
  <si>
    <t>Eventos especializados (Sector, gastronomicos , varios)</t>
  </si>
  <si>
    <t xml:space="preserve">Conceptos y artes </t>
  </si>
  <si>
    <t>Campaña de fomento al consumo</t>
  </si>
  <si>
    <t>Campaña de publicidad</t>
  </si>
  <si>
    <t>Agencia Free Press</t>
  </si>
  <si>
    <t>Consultoría MESA</t>
  </si>
  <si>
    <t>Pauta institucional</t>
  </si>
  <si>
    <t>Kit Publicitario</t>
  </si>
  <si>
    <t>Estrategia digital</t>
  </si>
  <si>
    <t>Me encanta la carne de cerdo.com</t>
  </si>
  <si>
    <t>Concurso innovador carne de cerdo</t>
  </si>
  <si>
    <t>Eventos de incentivo al consumo</t>
  </si>
  <si>
    <t>Festival de la Carne de cerdo</t>
  </si>
  <si>
    <t xml:space="preserve">Agroexpo </t>
  </si>
  <si>
    <t>TOTAL ÁREA ERRADICACIÓN PPC</t>
  </si>
  <si>
    <t>Regionalización</t>
  </si>
  <si>
    <t>Compra de biológico, chapetas y tenazas</t>
  </si>
  <si>
    <t>Compra de materiales y dotaciones</t>
  </si>
  <si>
    <t>Pago de Axilios de frío, flete y movilización</t>
  </si>
  <si>
    <t>Gastos de brigada</t>
  </si>
  <si>
    <t>Capacitación y divulgación</t>
  </si>
  <si>
    <t>Capacitación</t>
  </si>
  <si>
    <t>Divulgación</t>
  </si>
  <si>
    <t>Vigilancia Epidemiológica</t>
  </si>
  <si>
    <t>Diagnóstico Rutinario</t>
  </si>
  <si>
    <t>Determinació de factores de riesgo</t>
  </si>
  <si>
    <t>Adminisbilidad y normatividad sanitaria</t>
  </si>
  <si>
    <t>Control al contrabando</t>
  </si>
  <si>
    <t>Equipos de comunicación puestos de control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</si>
  <si>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</si>
  <si>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</si>
  <si>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</si>
  <si>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</si>
  <si>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</si>
  <si>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>Auxilios comités</t>
  </si>
  <si>
    <t>Recolección de desechos biológicos</t>
  </si>
  <si>
    <t>TOTAL ÁREA TÉCNICA</t>
  </si>
  <si>
    <t>Programa nacional de bioseguridad, sanidad y productividad-PNBSP</t>
  </si>
  <si>
    <t>Capacitación y fortalecimiento de competencias</t>
  </si>
  <si>
    <t>Profesionales de acompañamiento    *(Sello de granja)</t>
  </si>
  <si>
    <t>Taller técnico de bioseguridad, sanidad y productividad</t>
  </si>
  <si>
    <t>Talleres de sensibilidad en bioseguridad, productividad  y economía de las enfermedades</t>
  </si>
  <si>
    <t>Benchmarking y análisis de productividad e impacto económico</t>
  </si>
  <si>
    <t>Reconocimiento a granjas categorizadas, medios</t>
  </si>
  <si>
    <t xml:space="preserve">Sostenibilidad y responsabilidad social empresarial en producción primaria </t>
  </si>
  <si>
    <t>Acompañamiento jurídico ambiental</t>
  </si>
  <si>
    <t xml:space="preserve">Profesionales de acompañamiento </t>
  </si>
  <si>
    <t xml:space="preserve">Granjas modelo y mesas de trabajo interinstitucionales </t>
  </si>
  <si>
    <t>Sensibilización y divulgación en P.I.G.A y R.S.E y Guía ambiental</t>
  </si>
  <si>
    <t>Estrategias de divulgación</t>
  </si>
  <si>
    <t>Determinación de la huella hídrica en el sector</t>
  </si>
  <si>
    <t>Inocuidad y bienestar animal en producción primaria y transporte</t>
  </si>
  <si>
    <t>Profesional de acompañamiento</t>
  </si>
  <si>
    <t>Fortalecimiento de competencias</t>
  </si>
  <si>
    <t xml:space="preserve">Implementación del programa de P.A.C.I.P - granja y transporte </t>
  </si>
  <si>
    <t>Bienestar Animal</t>
  </si>
  <si>
    <t>TOTAL ÁREA INVESTIGACIÓN Y TRANSFERENCIA</t>
  </si>
  <si>
    <t>Investigación y desarrollo</t>
  </si>
  <si>
    <t>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</si>
  <si>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</si>
  <si>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</si>
  <si>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</si>
  <si>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</si>
  <si>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>Curso Virtual. Montaje de puntos de venta de carne de cerdo</t>
  </si>
  <si>
    <t>Gira técnica</t>
  </si>
  <si>
    <t>Capacitación en desposte de carne de cerdo</t>
  </si>
  <si>
    <t>Capacitación para expendedores</t>
  </si>
  <si>
    <t>Convenio SENA</t>
  </si>
  <si>
    <t xml:space="preserve">  Talleres y seminarios</t>
  </si>
  <si>
    <t>Seminario Internacional</t>
  </si>
  <si>
    <t>Capacitación para operarios de granja</t>
  </si>
  <si>
    <t>Taller en manejo administrativo y financiero de las industrias de la cadena cárnica porcina</t>
  </si>
  <si>
    <t>Capacitación en manufactura de alimentos balanceados para porcinos</t>
  </si>
  <si>
    <t>Capacitación en Buenas Prácticas en la elaboración de alimentos balanceados para porcinos</t>
  </si>
  <si>
    <t>Material de apoyo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</si>
  <si>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</si>
  <si>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</si>
  <si>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</si>
  <si>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</si>
  <si>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</si>
  <si>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>Diagnostico rutinario con laboratorios privados</t>
  </si>
  <si>
    <t>Varias enfermedades</t>
  </si>
  <si>
    <t>PRRS</t>
  </si>
  <si>
    <t>Técnicas Moleculares (PCR - Secuenciación)</t>
  </si>
  <si>
    <t>Diagnosticos importados</t>
  </si>
  <si>
    <t>Promoción del diagnóstico</t>
  </si>
  <si>
    <t>Diagnóstico Inocuidad</t>
  </si>
  <si>
    <t>Diagnóstico Ambiental</t>
  </si>
  <si>
    <t>Diagnóstico MADR</t>
  </si>
  <si>
    <t>TOTAL ÁREA SANIDAD</t>
  </si>
  <si>
    <t>Control y monitoreo para la enfermedad de PRRS  en granjas de Colombia</t>
  </si>
  <si>
    <t>Apoyo programa PRRS</t>
  </si>
  <si>
    <t>Epidemiología de la enfermedad (Nacional)</t>
  </si>
  <si>
    <t>Sensibilización y divulgación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</si>
  <si>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</si>
  <si>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</si>
  <si>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</si>
  <si>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</si>
  <si>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</si>
  <si>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</si>
  <si>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</si>
  <si>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</si>
  <si>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GASTOS</t>
  </si>
  <si>
    <t>INGRESOS</t>
  </si>
  <si>
    <t>RESERVA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</si>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</sst>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-* #,##0\ _€_-;\-* #,##0\ _€_-;_-* &quot;-&quot;??\ _€_-;_-@_-"/>
  </numFmts>
  <fonts count="16" x14ac:knownFonts="1">
    <font>
      <sz val="10"/>
      <name val="Arial"/>
    </font>
    <font>
      <sz val="10"/>
      <name val="Arial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3" fontId="3" fillId="0" borderId="1" xfId="0" applyNumberFormat="1" applyFont="1" applyFill="1" applyBorder="1" applyAlignment="1">
      <alignment horizontal="centerContinuous"/>
    </xf>
    <xf numFmtId="3" fontId="2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/>
    <xf numFmtId="0" fontId="5" fillId="0" borderId="6" xfId="0" applyFont="1" applyFill="1" applyBorder="1"/>
    <xf numFmtId="0" fontId="5" fillId="0" borderId="7" xfId="0" applyFont="1" applyFill="1" applyBorder="1"/>
    <xf numFmtId="3" fontId="6" fillId="0" borderId="5" xfId="0" applyNumberFormat="1" applyFont="1" applyFill="1" applyBorder="1" applyAlignment="1"/>
    <xf numFmtId="3" fontId="6" fillId="0" borderId="6" xfId="0" applyNumberFormat="1" applyFont="1" applyFill="1" applyBorder="1"/>
    <xf numFmtId="10" fontId="6" fillId="0" borderId="7" xfId="2" applyNumberFormat="1" applyFont="1" applyFill="1" applyBorder="1"/>
    <xf numFmtId="0" fontId="7" fillId="0" borderId="0" xfId="0" applyFont="1" applyFill="1"/>
    <xf numFmtId="3" fontId="5" fillId="0" borderId="5" xfId="0" applyNumberFormat="1" applyFont="1" applyFill="1" applyBorder="1" applyAlignment="1"/>
    <xf numFmtId="3" fontId="5" fillId="0" borderId="6" xfId="0" applyNumberFormat="1" applyFont="1" applyFill="1" applyBorder="1"/>
    <xf numFmtId="3" fontId="8" fillId="0" borderId="6" xfId="0" applyNumberFormat="1" applyFont="1" applyFill="1" applyBorder="1"/>
    <xf numFmtId="10" fontId="8" fillId="0" borderId="7" xfId="2" applyNumberFormat="1" applyFont="1" applyFill="1" applyBorder="1"/>
    <xf numFmtId="0" fontId="0" fillId="0" borderId="0" xfId="0" applyFill="1" applyAlignment="1">
      <alignment horizontal="center"/>
    </xf>
    <xf numFmtId="10" fontId="0" fillId="0" borderId="0" xfId="2" applyNumberFormat="1" applyFont="1" applyFill="1"/>
    <xf numFmtId="3" fontId="9" fillId="0" borderId="6" xfId="0" applyNumberFormat="1" applyFont="1" applyFill="1" applyBorder="1"/>
    <xf numFmtId="3" fontId="0" fillId="0" borderId="0" xfId="0" applyNumberFormat="1" applyFill="1"/>
    <xf numFmtId="0" fontId="2" fillId="0" borderId="5" xfId="0" applyFont="1" applyFill="1" applyBorder="1" applyAlignment="1"/>
    <xf numFmtId="3" fontId="2" fillId="0" borderId="6" xfId="0" applyNumberFormat="1" applyFont="1" applyFill="1" applyBorder="1"/>
    <xf numFmtId="2" fontId="0" fillId="0" borderId="0" xfId="2" applyNumberFormat="1" applyFont="1" applyFill="1"/>
    <xf numFmtId="0" fontId="5" fillId="0" borderId="5" xfId="0" applyFont="1" applyFill="1" applyBorder="1" applyAlignment="1"/>
    <xf numFmtId="3" fontId="5" fillId="0" borderId="6" xfId="1" applyNumberFormat="1" applyFont="1" applyFill="1" applyBorder="1"/>
    <xf numFmtId="3" fontId="6" fillId="0" borderId="6" xfId="1" applyNumberFormat="1" applyFont="1" applyFill="1" applyBorder="1"/>
    <xf numFmtId="0" fontId="2" fillId="0" borderId="8" xfId="0" applyFont="1" applyFill="1" applyBorder="1" applyAlignment="1"/>
    <xf numFmtId="3" fontId="2" fillId="0" borderId="9" xfId="0" applyNumberFormat="1" applyFont="1" applyFill="1" applyBorder="1"/>
    <xf numFmtId="3" fontId="6" fillId="0" borderId="9" xfId="1" applyNumberFormat="1" applyFont="1" applyFill="1" applyBorder="1"/>
    <xf numFmtId="10" fontId="6" fillId="0" borderId="10" xfId="2" applyNumberFormat="1" applyFont="1" applyFill="1" applyBorder="1"/>
    <xf numFmtId="43" fontId="0" fillId="0" borderId="0" xfId="0" applyNumberFormat="1" applyFill="1"/>
    <xf numFmtId="0" fontId="5" fillId="0" borderId="11" xfId="0" applyFont="1" applyFill="1" applyBorder="1" applyAlignment="1"/>
    <xf numFmtId="3" fontId="5" fillId="0" borderId="12" xfId="0" applyNumberFormat="1" applyFont="1" applyFill="1" applyBorder="1"/>
    <xf numFmtId="10" fontId="6" fillId="0" borderId="13" xfId="2" applyNumberFormat="1" applyFont="1" applyFill="1" applyBorder="1"/>
    <xf numFmtId="0" fontId="2" fillId="0" borderId="14" xfId="0" applyFont="1" applyFill="1" applyBorder="1" applyAlignment="1"/>
    <xf numFmtId="3" fontId="2" fillId="0" borderId="15" xfId="0" applyNumberFormat="1" applyFont="1" applyFill="1" applyBorder="1"/>
    <xf numFmtId="10" fontId="6" fillId="0" borderId="16" xfId="2" applyNumberFormat="1" applyFont="1" applyFill="1" applyBorder="1"/>
    <xf numFmtId="37" fontId="2" fillId="0" borderId="5" xfId="0" applyNumberFormat="1" applyFont="1" applyFill="1" applyBorder="1" applyAlignment="1"/>
    <xf numFmtId="0" fontId="10" fillId="0" borderId="0" xfId="0" applyFont="1" applyFill="1"/>
    <xf numFmtId="37" fontId="8" fillId="0" borderId="5" xfId="0" applyNumberFormat="1" applyFont="1" applyFill="1" applyBorder="1" applyAlignment="1">
      <alignment horizontal="left"/>
    </xf>
    <xf numFmtId="37" fontId="6" fillId="0" borderId="5" xfId="0" applyNumberFormat="1" applyFont="1" applyFill="1" applyBorder="1" applyAlignment="1">
      <alignment horizontal="left"/>
    </xf>
    <xf numFmtId="164" fontId="2" fillId="0" borderId="6" xfId="1" applyFont="1" applyFill="1" applyBorder="1"/>
    <xf numFmtId="164" fontId="8" fillId="0" borderId="6" xfId="1" applyFont="1" applyFill="1" applyBorder="1"/>
    <xf numFmtId="164" fontId="10" fillId="0" borderId="0" xfId="1" applyFont="1" applyFill="1"/>
    <xf numFmtId="3" fontId="11" fillId="0" borderId="6" xfId="0" applyNumberFormat="1" applyFont="1" applyFill="1" applyBorder="1"/>
    <xf numFmtId="3" fontId="4" fillId="0" borderId="6" xfId="0" applyNumberFormat="1" applyFont="1" applyFill="1" applyBorder="1"/>
    <xf numFmtId="37" fontId="8" fillId="0" borderId="5" xfId="0" applyNumberFormat="1" applyFont="1" applyFill="1" applyBorder="1" applyAlignment="1"/>
    <xf numFmtId="37" fontId="6" fillId="0" borderId="5" xfId="0" applyNumberFormat="1" applyFont="1" applyFill="1" applyBorder="1" applyAlignment="1"/>
    <xf numFmtId="3" fontId="6" fillId="0" borderId="6" xfId="3" applyNumberFormat="1" applyFont="1" applyFill="1" applyBorder="1"/>
    <xf numFmtId="0" fontId="12" fillId="0" borderId="0" xfId="0" applyFont="1" applyFill="1"/>
    <xf numFmtId="0" fontId="5" fillId="0" borderId="17" xfId="0" applyFont="1" applyFill="1" applyBorder="1" applyAlignment="1"/>
    <xf numFmtId="3" fontId="2" fillId="0" borderId="18" xfId="0" applyNumberFormat="1" applyFont="1" applyFill="1" applyBorder="1"/>
    <xf numFmtId="0" fontId="5" fillId="0" borderId="18" xfId="0" applyFont="1" applyFill="1" applyBorder="1"/>
    <xf numFmtId="3" fontId="5" fillId="0" borderId="18" xfId="0" applyNumberFormat="1" applyFont="1" applyFill="1" applyBorder="1"/>
    <xf numFmtId="10" fontId="5" fillId="0" borderId="19" xfId="0" applyNumberFormat="1" applyFont="1" applyFill="1" applyBorder="1"/>
    <xf numFmtId="0" fontId="13" fillId="0" borderId="0" xfId="0" applyFont="1" applyFill="1" applyAlignment="1"/>
    <xf numFmtId="3" fontId="13" fillId="0" borderId="0" xfId="0" applyNumberFormat="1" applyFont="1" applyFill="1"/>
    <xf numFmtId="37" fontId="13" fillId="0" borderId="0" xfId="0" applyNumberFormat="1" applyFont="1" applyFill="1"/>
    <xf numFmtId="0" fontId="13" fillId="0" borderId="0" xfId="0" applyFont="1" applyFill="1"/>
    <xf numFmtId="10" fontId="13" fillId="0" borderId="0" xfId="0" applyNumberFormat="1" applyFont="1" applyFill="1"/>
    <xf numFmtId="37" fontId="0" fillId="0" borderId="0" xfId="0" applyNumberFormat="1" applyFill="1"/>
    <xf numFmtId="164" fontId="13" fillId="0" borderId="0" xfId="1" applyFont="1" applyFill="1"/>
    <xf numFmtId="9" fontId="13" fillId="0" borderId="0" xfId="2" applyFont="1" applyFill="1"/>
    <xf numFmtId="0" fontId="14" fillId="0" borderId="0" xfId="0" applyFont="1" applyFill="1"/>
    <xf numFmtId="0" fontId="15" fillId="0" borderId="0" xfId="0" applyFont="1" applyFill="1" applyAlignment="1">
      <alignment horizontal="center"/>
    </xf>
    <xf numFmtId="3" fontId="15" fillId="0" borderId="0" xfId="0" applyNumberFormat="1" applyFont="1" applyFill="1" applyAlignment="1">
      <alignment horizontal="center"/>
    </xf>
    <xf numFmtId="3" fontId="13" fillId="0" borderId="0" xfId="0" applyNumberFormat="1" applyFont="1" applyFill="1" applyAlignment="1"/>
    <xf numFmtId="3" fontId="14" fillId="0" borderId="0" xfId="0" applyNumberFormat="1" applyFont="1" applyFill="1"/>
    <xf numFmtId="165" fontId="14" fillId="0" borderId="0" xfId="1" applyNumberFormat="1" applyFont="1" applyFill="1"/>
    <xf numFmtId="10" fontId="13" fillId="0" borderId="0" xfId="2" applyNumberFormat="1" applyFont="1" applyFill="1"/>
    <xf numFmtId="3" fontId="14" fillId="0" borderId="1" xfId="0" applyNumberFormat="1" applyFont="1" applyFill="1" applyBorder="1"/>
    <xf numFmtId="165" fontId="14" fillId="0" borderId="1" xfId="1" applyNumberFormat="1" applyFont="1" applyFill="1" applyBorder="1"/>
    <xf numFmtId="165" fontId="14" fillId="0" borderId="0" xfId="1" applyNumberFormat="1" applyFont="1" applyFill="1" applyBorder="1"/>
    <xf numFmtId="3" fontId="15" fillId="0" borderId="0" xfId="0" applyNumberFormat="1" applyFont="1" applyFill="1" applyAlignment="1"/>
    <xf numFmtId="166" fontId="15" fillId="0" borderId="0" xfId="0" applyNumberFormat="1" applyFont="1" applyFill="1" applyAlignment="1"/>
    <xf numFmtId="164" fontId="14" fillId="0" borderId="0" xfId="1" applyFont="1" applyFill="1"/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5/CIERRE%20OCT-DIC%20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torppc/AppData/Local/Microsoft/Windows/Temporary%20Internet%20Files/Content.IE5/68SX2PI0/Desagregado%20&#193;rea%20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3"/>
      <sheetName val="Anexo 4"/>
      <sheetName val="Anexo 2 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14">
          <cell r="B14">
            <v>4391233168</v>
          </cell>
        </row>
        <row r="15">
          <cell r="B15">
            <v>2634739900</v>
          </cell>
        </row>
        <row r="32">
          <cell r="B32">
            <v>198112920.1164</v>
          </cell>
        </row>
        <row r="41">
          <cell r="B41">
            <v>6929201971.8415031</v>
          </cell>
        </row>
        <row r="45">
          <cell r="B45">
            <v>5239906210.7916718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0"/>
  <sheetViews>
    <sheetView tabSelected="1" showWhiteSpace="0" zoomScale="90" zoomScaleNormal="9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H201" sqref="H201"/>
    </sheetView>
  </sheetViews>
  <sheetFormatPr baseColWidth="10" defaultRowHeight="12.75" outlineLevelRow="2" x14ac:dyDescent="0.2"/>
  <cols>
    <col min="1" max="1" width="57.7109375" style="2" customWidth="1"/>
    <col min="2" max="2" width="14.5703125" style="2" customWidth="1"/>
    <col min="3" max="3" width="14.7109375" style="2" customWidth="1"/>
    <col min="4" max="4" width="18.42578125" style="2" customWidth="1"/>
    <col min="5" max="5" width="13.42578125" style="2" customWidth="1"/>
    <col min="6" max="7" width="15.42578125" style="2" customWidth="1"/>
    <col min="8" max="8" width="16.140625" style="2" customWidth="1"/>
    <col min="9" max="9" width="20" style="2" customWidth="1"/>
    <col min="10" max="11" width="18.140625" style="2" customWidth="1"/>
    <col min="12" max="12" width="15.7109375" style="2" customWidth="1"/>
    <col min="13" max="13" width="9.42578125" style="2" customWidth="1"/>
    <col min="14" max="14" width="17.85546875" style="2" bestFit="1" customWidth="1"/>
    <col min="15" max="17" width="14.5703125" style="2" customWidth="1"/>
    <col min="18" max="16384" width="11.42578125" style="2"/>
  </cols>
  <sheetData>
    <row r="1" spans="1:16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ht="1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ht="15.75" thickBot="1" x14ac:dyDescent="0.3">
      <c r="A6" s="3"/>
      <c r="B6" s="4"/>
      <c r="C6" s="5"/>
      <c r="D6" s="5"/>
      <c r="E6" s="6"/>
      <c r="F6" s="6"/>
      <c r="G6" s="6"/>
      <c r="H6" s="7"/>
      <c r="I6" s="6"/>
    </row>
    <row r="7" spans="1:16" ht="75.75" customHeight="1" thickTop="1" x14ac:dyDescent="0.2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10" t="s">
        <v>17</v>
      </c>
    </row>
    <row r="8" spans="1:16" ht="15" x14ac:dyDescent="0.25">
      <c r="A8" s="11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6" ht="15" x14ac:dyDescent="0.25">
      <c r="A9" s="14" t="s">
        <v>19</v>
      </c>
      <c r="B9" s="15">
        <f t="shared" ref="B9:J9" si="0">SUM(B10:B19)</f>
        <v>272062038.55935597</v>
      </c>
      <c r="C9" s="15">
        <f t="shared" si="0"/>
        <v>93754875.732015759</v>
      </c>
      <c r="D9" s="15">
        <f t="shared" si="0"/>
        <v>79051831.790504232</v>
      </c>
      <c r="E9" s="15">
        <f t="shared" si="0"/>
        <v>10355735.04644</v>
      </c>
      <c r="F9" s="15">
        <f t="shared" si="0"/>
        <v>85306872.323816895</v>
      </c>
      <c r="G9" s="15">
        <f t="shared" si="0"/>
        <v>268393440.78997922</v>
      </c>
      <c r="H9" s="15">
        <f t="shared" si="0"/>
        <v>808924794.24211216</v>
      </c>
      <c r="I9" s="15">
        <f>SUM(I10:I19)</f>
        <v>89981545.484800011</v>
      </c>
      <c r="J9" s="15">
        <f t="shared" si="0"/>
        <v>898906339.72691214</v>
      </c>
      <c r="K9" s="15">
        <f>SUM(K10:K19)</f>
        <v>831696338</v>
      </c>
      <c r="L9" s="15">
        <f>+K9-J9</f>
        <v>-67210001.726912141</v>
      </c>
      <c r="M9" s="16">
        <f>IFERROR(K9/J9,0)</f>
        <v>0.92523136309470178</v>
      </c>
      <c r="N9" s="17"/>
    </row>
    <row r="10" spans="1:16" ht="14.25" x14ac:dyDescent="0.2">
      <c r="A10" s="18" t="s">
        <v>20</v>
      </c>
      <c r="B10" s="19">
        <v>171002529.25824672</v>
      </c>
      <c r="C10" s="19">
        <v>66578015.957786679</v>
      </c>
      <c r="D10" s="19">
        <v>57190675.358659983</v>
      </c>
      <c r="E10" s="19">
        <v>6888266</v>
      </c>
      <c r="F10" s="19">
        <v>61451784.240759999</v>
      </c>
      <c r="G10" s="19">
        <v>178719567.21865299</v>
      </c>
      <c r="H10" s="20">
        <f t="shared" ref="H10:H19" si="1">+B10+C10+D10+G10+E10+F10</f>
        <v>541830838.03410637</v>
      </c>
      <c r="I10" s="19">
        <v>37543824.333333343</v>
      </c>
      <c r="J10" s="19">
        <f t="shared" ref="J10:J19" si="2">+H10+I10</f>
        <v>579374662.36743975</v>
      </c>
      <c r="K10" s="19">
        <v>537493612</v>
      </c>
      <c r="L10" s="19">
        <f t="shared" ref="L10:L20" si="3">+K10-J10</f>
        <v>-41881050.367439747</v>
      </c>
      <c r="M10" s="21">
        <f t="shared" ref="M10:M20" si="4">IFERROR(K10/J10,0)</f>
        <v>0.92771335529878807</v>
      </c>
      <c r="P10" s="22"/>
    </row>
    <row r="11" spans="1:16" ht="14.25" x14ac:dyDescent="0.2">
      <c r="A11" s="18" t="s">
        <v>21</v>
      </c>
      <c r="B11" s="19">
        <v>7376627.4877000004</v>
      </c>
      <c r="C11" s="19">
        <v>2709847.6508000009</v>
      </c>
      <c r="D11" s="19">
        <v>2322278.8169</v>
      </c>
      <c r="E11" s="19">
        <v>272103.5</v>
      </c>
      <c r="F11" s="19">
        <v>2525752.3254000004</v>
      </c>
      <c r="G11" s="19">
        <v>7731398.879800003</v>
      </c>
      <c r="H11" s="20">
        <f t="shared" si="1"/>
        <v>22938008.660600007</v>
      </c>
      <c r="I11" s="19">
        <v>1166175</v>
      </c>
      <c r="J11" s="19">
        <f t="shared" si="2"/>
        <v>24104183.660600007</v>
      </c>
      <c r="K11" s="19">
        <v>22791629</v>
      </c>
      <c r="L11" s="19">
        <f t="shared" si="3"/>
        <v>-1312554.6606000066</v>
      </c>
      <c r="M11" s="21">
        <f t="shared" si="4"/>
        <v>0.94554660389741929</v>
      </c>
      <c r="N11" s="23"/>
    </row>
    <row r="12" spans="1:16" ht="14.25" x14ac:dyDescent="0.2">
      <c r="A12" s="18" t="s">
        <v>22</v>
      </c>
      <c r="B12" s="19">
        <v>12428901.975400001</v>
      </c>
      <c r="C12" s="19">
        <v>3223644.3015999999</v>
      </c>
      <c r="D12" s="19">
        <v>2406777</v>
      </c>
      <c r="E12" s="19">
        <v>556309</v>
      </c>
      <c r="F12" s="19">
        <v>2813723.6508000009</v>
      </c>
      <c r="G12" s="19">
        <v>13078836.759600006</v>
      </c>
      <c r="H12" s="20">
        <f t="shared" si="1"/>
        <v>34508192.687400013</v>
      </c>
      <c r="I12" s="19">
        <v>2353082</v>
      </c>
      <c r="J12" s="19">
        <f t="shared" si="2"/>
        <v>36861274.687400013</v>
      </c>
      <c r="K12" s="19">
        <v>34326806</v>
      </c>
      <c r="L12" s="19">
        <f t="shared" si="3"/>
        <v>-2534468.6874000132</v>
      </c>
      <c r="M12" s="21">
        <f t="shared" si="4"/>
        <v>0.9312430536140317</v>
      </c>
      <c r="N12" s="23"/>
    </row>
    <row r="13" spans="1:16" ht="14.25" x14ac:dyDescent="0.2">
      <c r="A13" s="18" t="s">
        <v>23</v>
      </c>
      <c r="B13" s="24">
        <v>14943300</v>
      </c>
      <c r="C13" s="24"/>
      <c r="D13" s="24"/>
      <c r="E13" s="20"/>
      <c r="F13" s="20"/>
      <c r="G13" s="20"/>
      <c r="H13" s="20">
        <f t="shared" si="1"/>
        <v>14943300</v>
      </c>
      <c r="I13" s="19">
        <v>35000632.149599999</v>
      </c>
      <c r="J13" s="19">
        <f t="shared" si="2"/>
        <v>49943932.149599999</v>
      </c>
      <c r="K13" s="19">
        <v>45159250</v>
      </c>
      <c r="L13" s="19">
        <f t="shared" si="3"/>
        <v>-4784682.1495999992</v>
      </c>
      <c r="M13" s="21">
        <f t="shared" si="4"/>
        <v>0.90419892980656469</v>
      </c>
      <c r="N13" s="23"/>
    </row>
    <row r="14" spans="1:16" ht="14.25" x14ac:dyDescent="0.2">
      <c r="A14" s="18" t="s">
        <v>24</v>
      </c>
      <c r="B14" s="19">
        <v>800000</v>
      </c>
      <c r="C14" s="19">
        <v>200000</v>
      </c>
      <c r="D14" s="19">
        <v>200000</v>
      </c>
      <c r="E14" s="19"/>
      <c r="F14" s="19">
        <v>200000</v>
      </c>
      <c r="G14" s="19">
        <v>600000</v>
      </c>
      <c r="H14" s="20">
        <f t="shared" si="1"/>
        <v>2000000</v>
      </c>
      <c r="I14" s="19"/>
      <c r="J14" s="19">
        <f t="shared" si="2"/>
        <v>2000000</v>
      </c>
      <c r="K14" s="19">
        <v>1999600</v>
      </c>
      <c r="L14" s="19">
        <f t="shared" si="3"/>
        <v>-400</v>
      </c>
      <c r="M14" s="21">
        <f t="shared" si="4"/>
        <v>0.99980000000000002</v>
      </c>
      <c r="N14" s="23"/>
    </row>
    <row r="15" spans="1:16" ht="14.25" x14ac:dyDescent="0.2">
      <c r="A15" s="18" t="s">
        <v>25</v>
      </c>
      <c r="B15" s="19">
        <v>12428901.975400001</v>
      </c>
      <c r="C15" s="19">
        <v>3223644.3015999999</v>
      </c>
      <c r="D15" s="19">
        <v>2406777</v>
      </c>
      <c r="E15" s="19">
        <v>556309</v>
      </c>
      <c r="F15" s="19">
        <v>2813723.6508000009</v>
      </c>
      <c r="G15" s="19">
        <v>13078836.759600006</v>
      </c>
      <c r="H15" s="20">
        <f t="shared" si="1"/>
        <v>34508192.687400013</v>
      </c>
      <c r="I15" s="19">
        <v>2353082</v>
      </c>
      <c r="J15" s="19">
        <f t="shared" si="2"/>
        <v>36861274.687400013</v>
      </c>
      <c r="K15" s="19">
        <v>34326808</v>
      </c>
      <c r="L15" s="19">
        <f t="shared" si="3"/>
        <v>-2534466.6874000132</v>
      </c>
      <c r="M15" s="21">
        <f t="shared" si="4"/>
        <v>0.9312431078715151</v>
      </c>
      <c r="N15" s="23"/>
      <c r="O15" s="25"/>
      <c r="P15" s="25"/>
    </row>
    <row r="16" spans="1:16" ht="14.25" x14ac:dyDescent="0.2">
      <c r="A16" s="18" t="s">
        <v>26</v>
      </c>
      <c r="B16" s="19">
        <v>1481878.1970480001</v>
      </c>
      <c r="C16" s="19">
        <v>384052.47619199986</v>
      </c>
      <c r="D16" s="19">
        <v>288814.06704199989</v>
      </c>
      <c r="E16" s="19">
        <v>65304.799999999988</v>
      </c>
      <c r="F16" s="19">
        <v>337647.43809599988</v>
      </c>
      <c r="G16" s="19">
        <v>1569458.4911519997</v>
      </c>
      <c r="H16" s="20">
        <f t="shared" si="1"/>
        <v>4127155.4695299994</v>
      </c>
      <c r="I16" s="19">
        <v>279882</v>
      </c>
      <c r="J16" s="19">
        <f t="shared" si="2"/>
        <v>4407037.4695299994</v>
      </c>
      <c r="K16" s="19">
        <v>3691134</v>
      </c>
      <c r="L16" s="19">
        <f t="shared" si="3"/>
        <v>-715903.46952999942</v>
      </c>
      <c r="M16" s="21">
        <f t="shared" si="4"/>
        <v>0.83755448541572097</v>
      </c>
      <c r="N16" s="23"/>
      <c r="O16" s="25"/>
      <c r="P16" s="25"/>
    </row>
    <row r="17" spans="1:14" ht="14.25" x14ac:dyDescent="0.2">
      <c r="A17" s="18" t="s">
        <v>27</v>
      </c>
      <c r="B17" s="19">
        <v>36173433.046203017</v>
      </c>
      <c r="C17" s="19">
        <v>12004610.255404297</v>
      </c>
      <c r="D17" s="19">
        <v>9962784.4756088443</v>
      </c>
      <c r="E17" s="19">
        <v>1410055.5664400002</v>
      </c>
      <c r="F17" s="19">
        <v>10729746.195764482</v>
      </c>
      <c r="G17" s="19">
        <v>37818803.332527429</v>
      </c>
      <c r="H17" s="20">
        <f t="shared" si="1"/>
        <v>108099432.87194806</v>
      </c>
      <c r="I17" s="19">
        <v>8721719.8018666692</v>
      </c>
      <c r="J17" s="19">
        <f t="shared" si="2"/>
        <v>116821152.67381473</v>
      </c>
      <c r="K17" s="19">
        <v>106972257</v>
      </c>
      <c r="L17" s="19">
        <f t="shared" si="3"/>
        <v>-9848895.6738147289</v>
      </c>
      <c r="M17" s="21">
        <f t="shared" si="4"/>
        <v>0.91569253128913575</v>
      </c>
      <c r="N17" s="23"/>
    </row>
    <row r="18" spans="1:14" ht="14.25" x14ac:dyDescent="0.2">
      <c r="A18" s="18" t="s">
        <v>28</v>
      </c>
      <c r="B18" s="19">
        <v>6852085.1641591974</v>
      </c>
      <c r="C18" s="19">
        <v>2413493.683836801</v>
      </c>
      <c r="D18" s="19">
        <v>1898631.1476237355</v>
      </c>
      <c r="E18" s="19">
        <v>269772.08000000007</v>
      </c>
      <c r="F18" s="19">
        <v>1963245.8532517347</v>
      </c>
      <c r="G18" s="19">
        <v>7016817.1549541317</v>
      </c>
      <c r="H18" s="20">
        <f t="shared" si="1"/>
        <v>20414045.083825596</v>
      </c>
      <c r="I18" s="19">
        <v>1146646.2000000002</v>
      </c>
      <c r="J18" s="19">
        <f t="shared" si="2"/>
        <v>21560691.283825595</v>
      </c>
      <c r="K18" s="19">
        <v>19976629</v>
      </c>
      <c r="L18" s="19">
        <f t="shared" si="3"/>
        <v>-1584062.2838255949</v>
      </c>
      <c r="M18" s="21">
        <f t="shared" si="4"/>
        <v>0.92653007906968521</v>
      </c>
      <c r="N18" s="23"/>
    </row>
    <row r="19" spans="1:14" ht="14.25" x14ac:dyDescent="0.2">
      <c r="A19" s="18" t="s">
        <v>29</v>
      </c>
      <c r="B19" s="19">
        <v>8574381.4551990032</v>
      </c>
      <c r="C19" s="19">
        <v>3017567.1047959998</v>
      </c>
      <c r="D19" s="19">
        <v>2375093.9246696662</v>
      </c>
      <c r="E19" s="19">
        <v>337615.09999999986</v>
      </c>
      <c r="F19" s="19">
        <v>2471248.968944666</v>
      </c>
      <c r="G19" s="19">
        <v>8779722.1936926693</v>
      </c>
      <c r="H19" s="20">
        <f t="shared" si="1"/>
        <v>25555628.747302007</v>
      </c>
      <c r="I19" s="19">
        <v>1416502</v>
      </c>
      <c r="J19" s="19">
        <f t="shared" si="2"/>
        <v>26972130.747302007</v>
      </c>
      <c r="K19" s="19">
        <v>24958613</v>
      </c>
      <c r="L19" s="19">
        <f t="shared" si="3"/>
        <v>-2013517.7473020069</v>
      </c>
      <c r="M19" s="21">
        <f t="shared" si="4"/>
        <v>0.92534821345164153</v>
      </c>
      <c r="N19" s="23"/>
    </row>
    <row r="20" spans="1:14" ht="15" x14ac:dyDescent="0.25">
      <c r="A20" s="26" t="s">
        <v>30</v>
      </c>
      <c r="B20" s="27">
        <f t="shared" ref="B20:G20" si="5">SUM(B10:B19)</f>
        <v>272062038.55935597</v>
      </c>
      <c r="C20" s="27">
        <f t="shared" si="5"/>
        <v>93754875.732015759</v>
      </c>
      <c r="D20" s="27">
        <f t="shared" si="5"/>
        <v>79051831.790504232</v>
      </c>
      <c r="E20" s="27">
        <f t="shared" si="5"/>
        <v>10355735.04644</v>
      </c>
      <c r="F20" s="27">
        <f t="shared" si="5"/>
        <v>85306872.323816895</v>
      </c>
      <c r="G20" s="27">
        <f t="shared" si="5"/>
        <v>268393440.78997922</v>
      </c>
      <c r="H20" s="27">
        <f>+B20+C20+D20+G20+E20+F20</f>
        <v>808924794.24211204</v>
      </c>
      <c r="I20" s="27">
        <f>SUM(I10:I19)</f>
        <v>89981545.484800011</v>
      </c>
      <c r="J20" s="27">
        <f>SUM(J10:J19)</f>
        <v>898906339.72691214</v>
      </c>
      <c r="K20" s="27">
        <f>SUM(K10:K19)</f>
        <v>831696338</v>
      </c>
      <c r="L20" s="27">
        <f t="shared" si="3"/>
        <v>-67210001.726912141</v>
      </c>
      <c r="M20" s="16">
        <f t="shared" si="4"/>
        <v>0.92523136309470178</v>
      </c>
      <c r="N20" s="28"/>
    </row>
    <row r="21" spans="1:14" ht="15" x14ac:dyDescent="0.25">
      <c r="A21" s="11" t="s">
        <v>31</v>
      </c>
      <c r="B21" s="19"/>
      <c r="C21" s="19"/>
      <c r="D21" s="19"/>
      <c r="E21" s="19"/>
      <c r="F21" s="19"/>
      <c r="G21" s="19"/>
      <c r="H21" s="19"/>
      <c r="I21" s="27"/>
      <c r="J21" s="19"/>
      <c r="K21" s="19"/>
      <c r="L21" s="19"/>
      <c r="M21" s="16"/>
      <c r="N21" s="23"/>
    </row>
    <row r="22" spans="1:14" ht="14.25" x14ac:dyDescent="0.2">
      <c r="A22" s="29" t="s">
        <v>32</v>
      </c>
      <c r="B22" s="30">
        <v>20989000</v>
      </c>
      <c r="C22" s="30">
        <v>6670201</v>
      </c>
      <c r="D22" s="30">
        <v>308510</v>
      </c>
      <c r="E22" s="30"/>
      <c r="F22" s="30"/>
      <c r="G22" s="30">
        <v>13988281</v>
      </c>
      <c r="H22" s="30">
        <f t="shared" ref="H22:H36" si="6">+B22+C22+D22+G22+E22+F22</f>
        <v>41955992</v>
      </c>
      <c r="I22" s="19">
        <v>32670882.914000005</v>
      </c>
      <c r="J22" s="19">
        <f>+I22+H22</f>
        <v>74626874.914000005</v>
      </c>
      <c r="K22" s="19">
        <v>69453277</v>
      </c>
      <c r="L22" s="19">
        <f t="shared" ref="L22:L38" si="7">+K22-J22</f>
        <v>-5173597.9140000045</v>
      </c>
      <c r="M22" s="21">
        <f t="shared" ref="M22:M38" si="8">IFERROR(K22/J22,0)</f>
        <v>0.93067379653828386</v>
      </c>
      <c r="N22" s="23"/>
    </row>
    <row r="23" spans="1:14" ht="14.25" x14ac:dyDescent="0.2">
      <c r="A23" s="29" t="s">
        <v>33</v>
      </c>
      <c r="B23" s="19">
        <v>26984960.48</v>
      </c>
      <c r="C23" s="30">
        <v>3643521</v>
      </c>
      <c r="D23" s="30"/>
      <c r="E23" s="19">
        <v>3513792</v>
      </c>
      <c r="F23" s="30"/>
      <c r="G23" s="19">
        <v>9921938</v>
      </c>
      <c r="H23" s="30">
        <f t="shared" si="6"/>
        <v>44064211.480000004</v>
      </c>
      <c r="I23" s="19">
        <v>6255298.8513999991</v>
      </c>
      <c r="J23" s="19">
        <f t="shared" ref="J23:J36" si="9">+H23+I23</f>
        <v>50319510.331400007</v>
      </c>
      <c r="K23" s="19">
        <v>29428812</v>
      </c>
      <c r="L23" s="19">
        <f t="shared" si="7"/>
        <v>-20890698.331400007</v>
      </c>
      <c r="M23" s="21">
        <f t="shared" si="8"/>
        <v>0.58483899795892991</v>
      </c>
    </row>
    <row r="24" spans="1:14" ht="14.25" x14ac:dyDescent="0.2">
      <c r="A24" s="29" t="s">
        <v>34</v>
      </c>
      <c r="B24" s="30"/>
      <c r="C24" s="30"/>
      <c r="D24" s="30"/>
      <c r="E24" s="30"/>
      <c r="F24" s="30"/>
      <c r="G24" s="30">
        <v>4647744</v>
      </c>
      <c r="H24" s="30">
        <f t="shared" si="6"/>
        <v>4647744</v>
      </c>
      <c r="I24" s="19">
        <v>5674085.048299998</v>
      </c>
      <c r="J24" s="19">
        <f t="shared" si="9"/>
        <v>10321829.048299998</v>
      </c>
      <c r="K24" s="19">
        <v>6520396</v>
      </c>
      <c r="L24" s="19">
        <f t="shared" si="7"/>
        <v>-3801433.048299998</v>
      </c>
      <c r="M24" s="21">
        <f t="shared" si="8"/>
        <v>0.63170935785590321</v>
      </c>
      <c r="N24" s="23"/>
    </row>
    <row r="25" spans="1:14" ht="14.25" x14ac:dyDescent="0.2">
      <c r="A25" s="29" t="s">
        <v>35</v>
      </c>
      <c r="B25" s="19">
        <v>13976470.399999999</v>
      </c>
      <c r="C25" s="30">
        <v>4299153</v>
      </c>
      <c r="D25" s="30">
        <v>1976303</v>
      </c>
      <c r="E25" s="30">
        <v>3000000</v>
      </c>
      <c r="F25" s="30">
        <v>4388675.0695249997</v>
      </c>
      <c r="G25" s="30">
        <v>108595365</v>
      </c>
      <c r="H25" s="30">
        <f t="shared" si="6"/>
        <v>136235966.46952501</v>
      </c>
      <c r="I25" s="19">
        <v>22443897.25</v>
      </c>
      <c r="J25" s="19">
        <f t="shared" si="9"/>
        <v>158679863.71952501</v>
      </c>
      <c r="K25" s="19">
        <v>104609640</v>
      </c>
      <c r="L25" s="19">
        <f t="shared" si="7"/>
        <v>-54070223.719525009</v>
      </c>
      <c r="M25" s="21">
        <f t="shared" si="8"/>
        <v>0.65924962089016559</v>
      </c>
    </row>
    <row r="26" spans="1:14" ht="14.25" x14ac:dyDescent="0.2">
      <c r="A26" s="29" t="s">
        <v>36</v>
      </c>
      <c r="B26" s="30">
        <v>574300</v>
      </c>
      <c r="C26" s="30">
        <v>1736066</v>
      </c>
      <c r="D26" s="30">
        <v>1129050</v>
      </c>
      <c r="E26" s="30">
        <v>900000</v>
      </c>
      <c r="F26" s="30">
        <v>1143774.6000000001</v>
      </c>
      <c r="G26" s="30">
        <v>1242500</v>
      </c>
      <c r="H26" s="30">
        <f t="shared" si="6"/>
        <v>6725690.5999999996</v>
      </c>
      <c r="I26" s="19">
        <v>2907696.1147999996</v>
      </c>
      <c r="J26" s="19">
        <f t="shared" si="9"/>
        <v>9633386.7148000002</v>
      </c>
      <c r="K26" s="19">
        <v>2383045</v>
      </c>
      <c r="L26" s="19">
        <f t="shared" si="7"/>
        <v>-7250341.7148000002</v>
      </c>
      <c r="M26" s="21">
        <f t="shared" si="8"/>
        <v>0.24737354271669293</v>
      </c>
    </row>
    <row r="27" spans="1:14" ht="14.25" x14ac:dyDescent="0.2">
      <c r="A27" s="18" t="s">
        <v>37</v>
      </c>
      <c r="B27" s="30"/>
      <c r="C27" s="30"/>
      <c r="D27" s="30"/>
      <c r="E27" s="30"/>
      <c r="F27" s="30"/>
      <c r="G27" s="30"/>
      <c r="H27" s="30">
        <f t="shared" si="6"/>
        <v>0</v>
      </c>
      <c r="I27" s="19">
        <v>11254316</v>
      </c>
      <c r="J27" s="19">
        <f t="shared" si="9"/>
        <v>11254316</v>
      </c>
      <c r="K27" s="19">
        <v>11115000</v>
      </c>
      <c r="L27" s="19">
        <f t="shared" si="7"/>
        <v>-139316</v>
      </c>
      <c r="M27" s="21">
        <f t="shared" si="8"/>
        <v>0.98762110464998498</v>
      </c>
      <c r="N27" s="23"/>
    </row>
    <row r="28" spans="1:14" ht="14.25" x14ac:dyDescent="0.2">
      <c r="A28" s="29" t="s">
        <v>38</v>
      </c>
      <c r="B28" s="30">
        <v>1927689</v>
      </c>
      <c r="C28" s="30">
        <v>1927689</v>
      </c>
      <c r="D28" s="30">
        <v>1927692</v>
      </c>
      <c r="E28" s="30">
        <v>1927690</v>
      </c>
      <c r="F28" s="30">
        <v>1927689</v>
      </c>
      <c r="G28" s="30">
        <v>1927689</v>
      </c>
      <c r="H28" s="30">
        <f t="shared" si="6"/>
        <v>11566138</v>
      </c>
      <c r="I28" s="19">
        <v>10113700.01605</v>
      </c>
      <c r="J28" s="19">
        <f t="shared" si="9"/>
        <v>21679838.01605</v>
      </c>
      <c r="K28" s="19">
        <v>13203093</v>
      </c>
      <c r="L28" s="19">
        <f t="shared" si="7"/>
        <v>-8476745.0160499997</v>
      </c>
      <c r="M28" s="21">
        <f t="shared" si="8"/>
        <v>0.60900330483214393</v>
      </c>
    </row>
    <row r="29" spans="1:14" ht="14.25" x14ac:dyDescent="0.2">
      <c r="A29" s="29" t="s">
        <v>39</v>
      </c>
      <c r="B29" s="30">
        <v>144305</v>
      </c>
      <c r="C29" s="30"/>
      <c r="D29" s="30">
        <v>1000000</v>
      </c>
      <c r="E29" s="30">
        <v>1125000</v>
      </c>
      <c r="F29" s="30"/>
      <c r="G29" s="30">
        <v>16119689</v>
      </c>
      <c r="H29" s="30">
        <f t="shared" si="6"/>
        <v>18388994</v>
      </c>
      <c r="I29" s="19">
        <v>18052656</v>
      </c>
      <c r="J29" s="19">
        <f t="shared" si="9"/>
        <v>36441650</v>
      </c>
      <c r="K29" s="19">
        <v>22783316</v>
      </c>
      <c r="L29" s="19">
        <f t="shared" si="7"/>
        <v>-13658334</v>
      </c>
      <c r="M29" s="21">
        <f t="shared" si="8"/>
        <v>0.62519990176076001</v>
      </c>
    </row>
    <row r="30" spans="1:14" ht="14.25" x14ac:dyDescent="0.2">
      <c r="A30" s="29" t="s">
        <v>40</v>
      </c>
      <c r="B30" s="30"/>
      <c r="C30" s="30"/>
      <c r="D30" s="30"/>
      <c r="E30" s="30"/>
      <c r="F30" s="30"/>
      <c r="G30" s="30">
        <v>25184715</v>
      </c>
      <c r="H30" s="30">
        <f t="shared" si="6"/>
        <v>25184715</v>
      </c>
      <c r="I30" s="19">
        <v>29104155.25</v>
      </c>
      <c r="J30" s="19">
        <f t="shared" si="9"/>
        <v>54288870.25</v>
      </c>
      <c r="K30" s="19">
        <v>41172853</v>
      </c>
      <c r="L30" s="19">
        <f t="shared" si="7"/>
        <v>-13116017.25</v>
      </c>
      <c r="M30" s="21">
        <f t="shared" si="8"/>
        <v>0.75840320143703854</v>
      </c>
    </row>
    <row r="31" spans="1:14" ht="14.25" x14ac:dyDescent="0.2">
      <c r="A31" s="29" t="s">
        <v>41</v>
      </c>
      <c r="B31" s="19">
        <f>3383231+1161070</f>
        <v>4544301</v>
      </c>
      <c r="C31" s="19">
        <v>4646413.9700000007</v>
      </c>
      <c r="D31" s="19">
        <v>2227080</v>
      </c>
      <c r="E31" s="19"/>
      <c r="F31" s="30">
        <v>5250425</v>
      </c>
      <c r="G31" s="19">
        <v>86597832</v>
      </c>
      <c r="H31" s="30">
        <f t="shared" si="6"/>
        <v>103266051.97</v>
      </c>
      <c r="I31" s="19">
        <v>11139012</v>
      </c>
      <c r="J31" s="19">
        <f t="shared" si="9"/>
        <v>114405063.97</v>
      </c>
      <c r="K31" s="19">
        <v>84639303</v>
      </c>
      <c r="L31" s="19">
        <f t="shared" si="7"/>
        <v>-29765760.969999999</v>
      </c>
      <c r="M31" s="21">
        <f t="shared" si="8"/>
        <v>0.73982129866379553</v>
      </c>
    </row>
    <row r="32" spans="1:14" ht="14.25" x14ac:dyDescent="0.2">
      <c r="A32" s="29" t="s">
        <v>42</v>
      </c>
      <c r="B32" s="30"/>
      <c r="C32" s="30"/>
      <c r="D32" s="30"/>
      <c r="E32" s="30"/>
      <c r="F32" s="30"/>
      <c r="G32" s="30"/>
      <c r="H32" s="30">
        <f t="shared" si="6"/>
        <v>0</v>
      </c>
      <c r="I32" s="19">
        <v>1101153.8678000011</v>
      </c>
      <c r="J32" s="19">
        <f t="shared" si="9"/>
        <v>1101153.8678000011</v>
      </c>
      <c r="K32" s="19">
        <v>1030100</v>
      </c>
      <c r="L32" s="19">
        <f t="shared" si="7"/>
        <v>-71053.867800001055</v>
      </c>
      <c r="M32" s="21">
        <f t="shared" si="8"/>
        <v>0.93547326138720299</v>
      </c>
      <c r="N32" s="23"/>
    </row>
    <row r="33" spans="1:14" ht="14.25" x14ac:dyDescent="0.2">
      <c r="A33" s="29" t="s">
        <v>43</v>
      </c>
      <c r="B33" s="19">
        <v>3053254.909</v>
      </c>
      <c r="C33" s="19">
        <v>1001272.1065499997</v>
      </c>
      <c r="D33" s="19">
        <v>538378.15149999992</v>
      </c>
      <c r="E33" s="19"/>
      <c r="F33" s="19">
        <v>4150495.091</v>
      </c>
      <c r="G33" s="19">
        <v>3629115</v>
      </c>
      <c r="H33" s="30">
        <f t="shared" si="6"/>
        <v>12372515.258049998</v>
      </c>
      <c r="I33" s="19">
        <v>11845566.503950002</v>
      </c>
      <c r="J33" s="19">
        <f t="shared" si="9"/>
        <v>24218081.762000002</v>
      </c>
      <c r="K33" s="19">
        <v>14923032</v>
      </c>
      <c r="L33" s="19">
        <f t="shared" si="7"/>
        <v>-9295049.762000002</v>
      </c>
      <c r="M33" s="21">
        <f t="shared" si="8"/>
        <v>0.61619380703451765</v>
      </c>
    </row>
    <row r="34" spans="1:14" ht="14.25" x14ac:dyDescent="0.2">
      <c r="A34" s="29" t="s">
        <v>44</v>
      </c>
      <c r="B34" s="30">
        <v>901376</v>
      </c>
      <c r="C34" s="30"/>
      <c r="D34" s="30"/>
      <c r="E34" s="30"/>
      <c r="F34" s="30">
        <v>14313674</v>
      </c>
      <c r="G34" s="30">
        <v>2453298.08</v>
      </c>
      <c r="H34" s="30">
        <f t="shared" si="6"/>
        <v>17668348.079999998</v>
      </c>
      <c r="I34" s="19">
        <v>12264397.623299994</v>
      </c>
      <c r="J34" s="19">
        <f>+H34+I34</f>
        <v>29932745.703299992</v>
      </c>
      <c r="K34" s="19">
        <v>16755657</v>
      </c>
      <c r="L34" s="19">
        <f t="shared" si="7"/>
        <v>-13177088.703299992</v>
      </c>
      <c r="M34" s="21">
        <f t="shared" si="8"/>
        <v>0.55977681319601569</v>
      </c>
    </row>
    <row r="35" spans="1:14" ht="14.25" x14ac:dyDescent="0.2">
      <c r="A35" s="29" t="s">
        <v>45</v>
      </c>
      <c r="B35" s="30"/>
      <c r="C35" s="30"/>
      <c r="D35" s="30"/>
      <c r="E35" s="30"/>
      <c r="F35" s="30"/>
      <c r="G35" s="30"/>
      <c r="H35" s="30">
        <f t="shared" si="6"/>
        <v>0</v>
      </c>
      <c r="I35" s="19"/>
      <c r="J35" s="19">
        <f t="shared" si="9"/>
        <v>0</v>
      </c>
      <c r="K35" s="19">
        <v>0</v>
      </c>
      <c r="L35" s="19">
        <f t="shared" si="7"/>
        <v>0</v>
      </c>
      <c r="M35" s="21">
        <f t="shared" si="8"/>
        <v>0</v>
      </c>
    </row>
    <row r="36" spans="1:14" ht="14.25" x14ac:dyDescent="0.2">
      <c r="A36" s="29" t="s">
        <v>46</v>
      </c>
      <c r="B36" s="30"/>
      <c r="C36" s="30"/>
      <c r="D36" s="30"/>
      <c r="E36" s="30"/>
      <c r="F36" s="30"/>
      <c r="G36" s="30"/>
      <c r="H36" s="30">
        <f t="shared" si="6"/>
        <v>0</v>
      </c>
      <c r="I36" s="19">
        <v>4897192.834049996</v>
      </c>
      <c r="J36" s="19">
        <f t="shared" si="9"/>
        <v>4897192.834049996</v>
      </c>
      <c r="K36" s="19">
        <v>4775141</v>
      </c>
      <c r="L36" s="19">
        <f t="shared" si="7"/>
        <v>-122051.83404999599</v>
      </c>
      <c r="M36" s="21">
        <f t="shared" si="8"/>
        <v>0.97507718438175961</v>
      </c>
    </row>
    <row r="37" spans="1:14" ht="15" x14ac:dyDescent="0.25">
      <c r="A37" s="26" t="s">
        <v>47</v>
      </c>
      <c r="B37" s="27">
        <f t="shared" ref="B37:I37" si="10">SUM(B22:B36)</f>
        <v>73095656.78899999</v>
      </c>
      <c r="C37" s="27">
        <f>SUM(C22:C36)</f>
        <v>23924316.076549999</v>
      </c>
      <c r="D37" s="27">
        <f t="shared" si="10"/>
        <v>9107013.1514999997</v>
      </c>
      <c r="E37" s="27">
        <f t="shared" si="10"/>
        <v>10466482</v>
      </c>
      <c r="F37" s="27">
        <f t="shared" si="10"/>
        <v>31174732.760524999</v>
      </c>
      <c r="G37" s="27">
        <f t="shared" si="10"/>
        <v>274308166.07999998</v>
      </c>
      <c r="H37" s="31">
        <f t="shared" si="10"/>
        <v>422076366.85757506</v>
      </c>
      <c r="I37" s="27">
        <f t="shared" si="10"/>
        <v>179724010.27364999</v>
      </c>
      <c r="J37" s="27">
        <f>SUM(J22:J36)</f>
        <v>601800377.13122487</v>
      </c>
      <c r="K37" s="27">
        <f>SUM(K22:K36)</f>
        <v>422792665</v>
      </c>
      <c r="L37" s="27">
        <f t="shared" si="7"/>
        <v>-179007712.13122487</v>
      </c>
      <c r="M37" s="16">
        <f t="shared" si="8"/>
        <v>0.70254636099672707</v>
      </c>
    </row>
    <row r="38" spans="1:14" ht="15" x14ac:dyDescent="0.25">
      <c r="A38" s="32" t="s">
        <v>48</v>
      </c>
      <c r="B38" s="33">
        <f t="shared" ref="B38:G38" si="11">+B37+B20</f>
        <v>345157695.34835595</v>
      </c>
      <c r="C38" s="33">
        <f t="shared" si="11"/>
        <v>117679191.80856577</v>
      </c>
      <c r="D38" s="33">
        <f t="shared" si="11"/>
        <v>88158844.942004234</v>
      </c>
      <c r="E38" s="33">
        <f t="shared" si="11"/>
        <v>20822217.046439998</v>
      </c>
      <c r="F38" s="33">
        <f t="shared" si="11"/>
        <v>116481605.0843419</v>
      </c>
      <c r="G38" s="33">
        <f t="shared" si="11"/>
        <v>542701606.86997914</v>
      </c>
      <c r="H38" s="34">
        <f>+B38+C38+D38+G38+E38+F38</f>
        <v>1231001161.0996869</v>
      </c>
      <c r="I38" s="33">
        <f>+I37+I20</f>
        <v>269705555.75845003</v>
      </c>
      <c r="J38" s="33">
        <f>+J37+J20</f>
        <v>1500706716.8581371</v>
      </c>
      <c r="K38" s="33">
        <f>+K37+K20</f>
        <v>1254489003</v>
      </c>
      <c r="L38" s="33">
        <f t="shared" si="7"/>
        <v>-246217713.85813713</v>
      </c>
      <c r="M38" s="35">
        <f t="shared" si="8"/>
        <v>0.83593215710154489</v>
      </c>
      <c r="N38" s="36"/>
    </row>
    <row r="39" spans="1:14" ht="15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9"/>
    </row>
    <row r="40" spans="1:14" ht="15" x14ac:dyDescent="0.25">
      <c r="A40" s="40" t="s">
        <v>49</v>
      </c>
      <c r="B40" s="41">
        <f>+B42</f>
        <v>873383928.05500007</v>
      </c>
      <c r="C40" s="41">
        <f>+C129</f>
        <v>458319492</v>
      </c>
      <c r="D40" s="41">
        <f>+D151</f>
        <v>2445485998</v>
      </c>
      <c r="E40" s="41">
        <f>+E185</f>
        <v>116235428</v>
      </c>
      <c r="F40" s="41">
        <f>+F75</f>
        <v>1638648699.1297998</v>
      </c>
      <c r="G40" s="41">
        <f>+G105</f>
        <v>3978030613.9906001</v>
      </c>
      <c r="H40" s="41">
        <f>+B40+C40+D40+G40+E40+F40</f>
        <v>9510104159.1753998</v>
      </c>
      <c r="I40" s="41">
        <v>0</v>
      </c>
      <c r="J40" s="41">
        <f>+I40+H40</f>
        <v>9510104159.1753998</v>
      </c>
      <c r="K40" s="41">
        <f>+K42+K75+K105+K129+K151+K185</f>
        <v>7775897679</v>
      </c>
      <c r="L40" s="41">
        <f>+K40-J40</f>
        <v>-1734206480.1753998</v>
      </c>
      <c r="M40" s="42">
        <f>IFERROR(K40/J40,0)</f>
        <v>0.81764590049182295</v>
      </c>
    </row>
    <row r="41" spans="1:14" ht="15" x14ac:dyDescent="0.25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2"/>
    </row>
    <row r="42" spans="1:14" ht="15" x14ac:dyDescent="0.25">
      <c r="A42" s="40" t="s">
        <v>50</v>
      </c>
      <c r="B42" s="41">
        <f>+B43+B47+B58+B62+B66+B71</f>
        <v>873383928.05500007</v>
      </c>
      <c r="C42" s="41"/>
      <c r="D42" s="41"/>
      <c r="E42" s="41"/>
      <c r="F42" s="41"/>
      <c r="G42" s="41"/>
      <c r="H42" s="41">
        <f>+H43+H47+H58+H62+H66+H71</f>
        <v>873383928.05500007</v>
      </c>
      <c r="I42" s="41"/>
      <c r="J42" s="41">
        <f>+H42+I42</f>
        <v>873383928.05500007</v>
      </c>
      <c r="K42" s="41">
        <f>+K43+K47+K58+K62+K66+K71</f>
        <v>816050894</v>
      </c>
      <c r="L42" s="41">
        <f t="shared" ref="L42:L73" si="12">+K42-J42</f>
        <v>-57333034.055000067</v>
      </c>
      <c r="M42" s="16">
        <f t="shared" ref="M42:M73" si="13">IFERROR(K42/J42,0)</f>
        <v>0.93435529071083434</v>
      </c>
    </row>
    <row r="43" spans="1:14" s="44" customFormat="1" ht="15" x14ac:dyDescent="0.25">
      <c r="A43" s="43" t="s">
        <v>51</v>
      </c>
      <c r="B43" s="27">
        <f>+SUM(B44:B46)</f>
        <v>30648113.819999993</v>
      </c>
      <c r="C43" s="27"/>
      <c r="D43" s="27"/>
      <c r="E43" s="27"/>
      <c r="F43" s="27"/>
      <c r="G43" s="27"/>
      <c r="H43" s="27">
        <f>+SUM(H44:H46)</f>
        <v>30648113.819999993</v>
      </c>
      <c r="I43" s="27"/>
      <c r="J43" s="27">
        <f>+SUM(J44:J46)</f>
        <v>30648113.819999993</v>
      </c>
      <c r="K43" s="27">
        <f>+SUM(K44:K46)</f>
        <v>22541015</v>
      </c>
      <c r="L43" s="27">
        <f t="shared" si="12"/>
        <v>-8107098.8199999928</v>
      </c>
      <c r="M43" s="16">
        <f t="shared" si="13"/>
        <v>0.73547805037484704</v>
      </c>
    </row>
    <row r="44" spans="1:14" s="44" customFormat="1" ht="15" hidden="1" outlineLevel="1" x14ac:dyDescent="0.25">
      <c r="A44" s="45" t="s">
        <v>52</v>
      </c>
      <c r="B44" s="19">
        <v>9924543</v>
      </c>
      <c r="C44" s="27"/>
      <c r="D44" s="27"/>
      <c r="E44" s="27"/>
      <c r="F44" s="27"/>
      <c r="G44" s="27"/>
      <c r="H44" s="19">
        <f>+B44+C44+D44+G44+E44+F44</f>
        <v>9924543</v>
      </c>
      <c r="I44" s="27"/>
      <c r="J44" s="20">
        <f>+H44+I44</f>
        <v>9924543</v>
      </c>
      <c r="K44" s="20">
        <v>6615504</v>
      </c>
      <c r="L44" s="20">
        <f t="shared" si="12"/>
        <v>-3309039</v>
      </c>
      <c r="M44" s="21">
        <f t="shared" si="13"/>
        <v>0.66658021432321868</v>
      </c>
    </row>
    <row r="45" spans="1:14" s="44" customFormat="1" ht="15" hidden="1" outlineLevel="1" x14ac:dyDescent="0.25">
      <c r="A45" s="45" t="s">
        <v>53</v>
      </c>
      <c r="B45" s="19"/>
      <c r="C45" s="27"/>
      <c r="D45" s="27"/>
      <c r="E45" s="27"/>
      <c r="F45" s="27"/>
      <c r="G45" s="27"/>
      <c r="H45" s="19">
        <f>+B45+C45+D45+G45+E45+F45</f>
        <v>0</v>
      </c>
      <c r="I45" s="27"/>
      <c r="J45" s="20">
        <f>+H45+I45</f>
        <v>0</v>
      </c>
      <c r="K45" s="20"/>
      <c r="L45" s="20">
        <f t="shared" si="12"/>
        <v>0</v>
      </c>
      <c r="M45" s="21">
        <f t="shared" si="13"/>
        <v>0</v>
      </c>
    </row>
    <row r="46" spans="1:14" s="44" customFormat="1" ht="15" hidden="1" outlineLevel="1" x14ac:dyDescent="0.25">
      <c r="A46" s="45" t="s">
        <v>54</v>
      </c>
      <c r="B46" s="19">
        <v>20723570.819999993</v>
      </c>
      <c r="C46" s="27"/>
      <c r="D46" s="27"/>
      <c r="E46" s="27"/>
      <c r="F46" s="27"/>
      <c r="G46" s="27"/>
      <c r="H46" s="19">
        <f>+B46+C46+D46+G46+E46+F46</f>
        <v>20723570.819999993</v>
      </c>
      <c r="I46" s="27"/>
      <c r="J46" s="20">
        <f>+H46+I46</f>
        <v>20723570.819999993</v>
      </c>
      <c r="K46" s="20">
        <v>15925511</v>
      </c>
      <c r="L46" s="20">
        <f t="shared" si="12"/>
        <v>-4798059.8199999928</v>
      </c>
      <c r="M46" s="21">
        <f t="shared" si="13"/>
        <v>0.76847330695685612</v>
      </c>
    </row>
    <row r="47" spans="1:14" s="44" customFormat="1" ht="15" collapsed="1" x14ac:dyDescent="0.25">
      <c r="A47" s="46" t="s">
        <v>55</v>
      </c>
      <c r="B47" s="15">
        <f>+B48+B49+B57</f>
        <v>528830364.57000005</v>
      </c>
      <c r="C47" s="27"/>
      <c r="D47" s="27"/>
      <c r="E47" s="27"/>
      <c r="F47" s="27"/>
      <c r="G47" s="27"/>
      <c r="H47" s="15">
        <f>+H48+H49+H57</f>
        <v>528830364.57000005</v>
      </c>
      <c r="I47" s="27"/>
      <c r="J47" s="15">
        <f>+J48+J49+J57</f>
        <v>528830364.57000005</v>
      </c>
      <c r="K47" s="15">
        <f>+K48+K49+K57</f>
        <v>520541122</v>
      </c>
      <c r="L47" s="15">
        <f t="shared" si="12"/>
        <v>-8289242.5700000525</v>
      </c>
      <c r="M47" s="16">
        <f t="shared" si="13"/>
        <v>0.98432532788328042</v>
      </c>
    </row>
    <row r="48" spans="1:14" s="44" customFormat="1" ht="15" hidden="1" outlineLevel="1" x14ac:dyDescent="0.25">
      <c r="A48" s="45" t="s">
        <v>56</v>
      </c>
      <c r="B48" s="19">
        <v>75088406.969999999</v>
      </c>
      <c r="C48" s="27"/>
      <c r="D48" s="27"/>
      <c r="E48" s="27"/>
      <c r="F48" s="27"/>
      <c r="G48" s="27"/>
      <c r="H48" s="19">
        <f>+B48+C48+D48+G48+E48+F48</f>
        <v>75088406.969999999</v>
      </c>
      <c r="I48" s="27"/>
      <c r="J48" s="20">
        <f>+H48+I48</f>
        <v>75088406.969999999</v>
      </c>
      <c r="K48" s="20">
        <v>70334893</v>
      </c>
      <c r="L48" s="20">
        <f t="shared" si="12"/>
        <v>-4753513.9699999988</v>
      </c>
      <c r="M48" s="21">
        <f t="shared" si="13"/>
        <v>0.93669443577489708</v>
      </c>
    </row>
    <row r="49" spans="1:13" s="44" customFormat="1" ht="15" hidden="1" outlineLevel="1" x14ac:dyDescent="0.25">
      <c r="A49" s="45" t="s">
        <v>57</v>
      </c>
      <c r="B49" s="19">
        <f>+B50+B53+B56</f>
        <v>362361922</v>
      </c>
      <c r="C49" s="27"/>
      <c r="D49" s="27"/>
      <c r="E49" s="27"/>
      <c r="F49" s="27"/>
      <c r="G49" s="27"/>
      <c r="H49" s="19">
        <f>+B49+C49+D49+G49+E49+F49</f>
        <v>362361922</v>
      </c>
      <c r="I49" s="27"/>
      <c r="J49" s="20">
        <f t="shared" ref="J49:J57" si="14">+H49+I49</f>
        <v>362361922</v>
      </c>
      <c r="K49" s="19">
        <f>+K50+K53+K56</f>
        <v>362289561</v>
      </c>
      <c r="L49" s="20">
        <f t="shared" si="12"/>
        <v>-72361</v>
      </c>
      <c r="M49" s="21">
        <f t="shared" si="13"/>
        <v>0.99980030738439452</v>
      </c>
    </row>
    <row r="50" spans="1:13" s="44" customFormat="1" ht="15" hidden="1" outlineLevel="2" x14ac:dyDescent="0.25">
      <c r="A50" s="45" t="s">
        <v>58</v>
      </c>
      <c r="B50" s="15">
        <f>+B51+B52</f>
        <v>219886876</v>
      </c>
      <c r="C50" s="27"/>
      <c r="D50" s="27"/>
      <c r="E50" s="27"/>
      <c r="F50" s="27"/>
      <c r="G50" s="27"/>
      <c r="H50" s="19">
        <f t="shared" ref="H50:H56" si="15">+B50+C50+D50+G50+E50+F50</f>
        <v>219886876</v>
      </c>
      <c r="I50" s="27"/>
      <c r="J50" s="20">
        <f t="shared" si="14"/>
        <v>219886876</v>
      </c>
      <c r="K50" s="15">
        <f>+K51+K52</f>
        <v>219886876</v>
      </c>
      <c r="L50" s="20">
        <f t="shared" si="12"/>
        <v>0</v>
      </c>
      <c r="M50" s="21">
        <f t="shared" si="13"/>
        <v>1</v>
      </c>
    </row>
    <row r="51" spans="1:13" s="44" customFormat="1" ht="15" hidden="1" outlineLevel="2" x14ac:dyDescent="0.25">
      <c r="A51" s="45" t="s">
        <v>59</v>
      </c>
      <c r="B51" s="19">
        <v>70874290</v>
      </c>
      <c r="C51" s="27"/>
      <c r="D51" s="27"/>
      <c r="E51" s="27"/>
      <c r="F51" s="27"/>
      <c r="G51" s="27"/>
      <c r="H51" s="19">
        <f t="shared" si="15"/>
        <v>70874290</v>
      </c>
      <c r="I51" s="27"/>
      <c r="J51" s="20">
        <f t="shared" si="14"/>
        <v>70874290</v>
      </c>
      <c r="K51" s="20">
        <v>70874290</v>
      </c>
      <c r="L51" s="20">
        <f t="shared" si="12"/>
        <v>0</v>
      </c>
      <c r="M51" s="21">
        <f t="shared" si="13"/>
        <v>1</v>
      </c>
    </row>
    <row r="52" spans="1:13" s="44" customFormat="1" ht="15" hidden="1" outlineLevel="2" x14ac:dyDescent="0.25">
      <c r="A52" s="45" t="s">
        <v>60</v>
      </c>
      <c r="B52" s="19">
        <v>149012586</v>
      </c>
      <c r="C52" s="27"/>
      <c r="D52" s="27"/>
      <c r="E52" s="27"/>
      <c r="F52" s="27"/>
      <c r="G52" s="27"/>
      <c r="H52" s="19">
        <f t="shared" si="15"/>
        <v>149012586</v>
      </c>
      <c r="I52" s="27"/>
      <c r="J52" s="20">
        <f t="shared" si="14"/>
        <v>149012586</v>
      </c>
      <c r="K52" s="20">
        <v>149012586</v>
      </c>
      <c r="L52" s="20">
        <f t="shared" si="12"/>
        <v>0</v>
      </c>
      <c r="M52" s="21">
        <f t="shared" si="13"/>
        <v>1</v>
      </c>
    </row>
    <row r="53" spans="1:13" s="44" customFormat="1" ht="15" hidden="1" outlineLevel="2" x14ac:dyDescent="0.25">
      <c r="A53" s="45" t="s">
        <v>61</v>
      </c>
      <c r="B53" s="15">
        <f>+B54+B55</f>
        <v>134089668</v>
      </c>
      <c r="C53" s="27"/>
      <c r="D53" s="27"/>
      <c r="E53" s="27"/>
      <c r="F53" s="27"/>
      <c r="G53" s="27"/>
      <c r="H53" s="19">
        <f t="shared" si="15"/>
        <v>134089668</v>
      </c>
      <c r="I53" s="27"/>
      <c r="J53" s="20">
        <f t="shared" si="14"/>
        <v>134089668</v>
      </c>
      <c r="K53" s="15">
        <f>+K54+K55</f>
        <v>134089668</v>
      </c>
      <c r="L53" s="20">
        <f t="shared" si="12"/>
        <v>0</v>
      </c>
      <c r="M53" s="21">
        <f t="shared" si="13"/>
        <v>1</v>
      </c>
    </row>
    <row r="54" spans="1:13" s="44" customFormat="1" ht="15" hidden="1" outlineLevel="2" x14ac:dyDescent="0.25">
      <c r="A54" s="45" t="s">
        <v>62</v>
      </c>
      <c r="B54" s="19">
        <v>69799200</v>
      </c>
      <c r="C54" s="27"/>
      <c r="D54" s="27"/>
      <c r="E54" s="27"/>
      <c r="F54" s="27"/>
      <c r="G54" s="27"/>
      <c r="H54" s="19">
        <f t="shared" si="15"/>
        <v>69799200</v>
      </c>
      <c r="I54" s="27"/>
      <c r="J54" s="20">
        <f t="shared" si="14"/>
        <v>69799200</v>
      </c>
      <c r="K54" s="20">
        <v>69799200</v>
      </c>
      <c r="L54" s="20">
        <f t="shared" si="12"/>
        <v>0</v>
      </c>
      <c r="M54" s="21">
        <f t="shared" si="13"/>
        <v>1</v>
      </c>
    </row>
    <row r="55" spans="1:13" s="44" customFormat="1" ht="15" hidden="1" outlineLevel="2" x14ac:dyDescent="0.25">
      <c r="A55" s="45" t="s">
        <v>63</v>
      </c>
      <c r="B55" s="19">
        <v>64290468</v>
      </c>
      <c r="C55" s="27"/>
      <c r="D55" s="27"/>
      <c r="E55" s="27"/>
      <c r="F55" s="27"/>
      <c r="G55" s="27"/>
      <c r="H55" s="19">
        <f t="shared" si="15"/>
        <v>64290468</v>
      </c>
      <c r="I55" s="27"/>
      <c r="J55" s="20">
        <f t="shared" si="14"/>
        <v>64290468</v>
      </c>
      <c r="K55" s="20">
        <v>64290468</v>
      </c>
      <c r="L55" s="20">
        <f t="shared" si="12"/>
        <v>0</v>
      </c>
      <c r="M55" s="21">
        <f t="shared" si="13"/>
        <v>1</v>
      </c>
    </row>
    <row r="56" spans="1:13" s="44" customFormat="1" ht="15" hidden="1" outlineLevel="2" x14ac:dyDescent="0.25">
      <c r="A56" s="45" t="s">
        <v>64</v>
      </c>
      <c r="B56" s="19">
        <v>8385378</v>
      </c>
      <c r="C56" s="27"/>
      <c r="D56" s="27"/>
      <c r="E56" s="27"/>
      <c r="F56" s="27"/>
      <c r="G56" s="27"/>
      <c r="H56" s="19">
        <f t="shared" si="15"/>
        <v>8385378</v>
      </c>
      <c r="I56" s="27"/>
      <c r="J56" s="20">
        <f t="shared" si="14"/>
        <v>8385378</v>
      </c>
      <c r="K56" s="20">
        <v>8313017</v>
      </c>
      <c r="L56" s="20">
        <f t="shared" si="12"/>
        <v>-72361</v>
      </c>
      <c r="M56" s="21">
        <f t="shared" si="13"/>
        <v>0.99137057387275807</v>
      </c>
    </row>
    <row r="57" spans="1:13" s="44" customFormat="1" ht="15" hidden="1" outlineLevel="1" x14ac:dyDescent="0.25">
      <c r="A57" s="45" t="s">
        <v>65</v>
      </c>
      <c r="B57" s="19">
        <v>91380035.600000024</v>
      </c>
      <c r="C57" s="27"/>
      <c r="D57" s="27"/>
      <c r="E57" s="27"/>
      <c r="F57" s="27"/>
      <c r="G57" s="27"/>
      <c r="H57" s="19">
        <f>+B57+C57+D57+G57+E57+F57</f>
        <v>91380035.600000024</v>
      </c>
      <c r="I57" s="27"/>
      <c r="J57" s="20">
        <f t="shared" si="14"/>
        <v>91380035.600000024</v>
      </c>
      <c r="K57" s="20">
        <v>87916668</v>
      </c>
      <c r="L57" s="20">
        <f t="shared" si="12"/>
        <v>-3463367.6000000238</v>
      </c>
      <c r="M57" s="21">
        <f t="shared" si="13"/>
        <v>0.96209929688405571</v>
      </c>
    </row>
    <row r="58" spans="1:13" s="44" customFormat="1" ht="15" collapsed="1" x14ac:dyDescent="0.25">
      <c r="A58" s="46" t="s">
        <v>66</v>
      </c>
      <c r="B58" s="15">
        <f>SUM(B59:B61)</f>
        <v>72124084.844999999</v>
      </c>
      <c r="C58" s="27"/>
      <c r="D58" s="27"/>
      <c r="E58" s="27"/>
      <c r="F58" s="27"/>
      <c r="G58" s="27"/>
      <c r="H58" s="15">
        <f>SUM(H59:H61)</f>
        <v>72124084.844999999</v>
      </c>
      <c r="I58" s="27"/>
      <c r="J58" s="15">
        <f>SUM(J59:J61)</f>
        <v>72124084.844999999</v>
      </c>
      <c r="K58" s="15">
        <f>SUM(K59:K61)</f>
        <v>61137738</v>
      </c>
      <c r="L58" s="15">
        <f t="shared" si="12"/>
        <v>-10986346.844999999</v>
      </c>
      <c r="M58" s="16">
        <f t="shared" si="13"/>
        <v>0.84767436746531377</v>
      </c>
    </row>
    <row r="59" spans="1:13" s="44" customFormat="1" ht="15" hidden="1" outlineLevel="1" x14ac:dyDescent="0.25">
      <c r="A59" s="45" t="s">
        <v>67</v>
      </c>
      <c r="B59" s="19">
        <f>38338595.2+880000</f>
        <v>39218595.200000003</v>
      </c>
      <c r="C59" s="27"/>
      <c r="D59" s="27"/>
      <c r="E59" s="27"/>
      <c r="F59" s="27"/>
      <c r="G59" s="27"/>
      <c r="H59" s="19">
        <f>+B59+C59+D59+G59+E59+F59</f>
        <v>39218595.200000003</v>
      </c>
      <c r="I59" s="27"/>
      <c r="J59" s="20">
        <f>+H59+I59</f>
        <v>39218595.200000003</v>
      </c>
      <c r="K59" s="20">
        <v>38989566</v>
      </c>
      <c r="L59" s="20">
        <f t="shared" si="12"/>
        <v>-229029.20000000298</v>
      </c>
      <c r="M59" s="21">
        <f t="shared" si="13"/>
        <v>0.99416018858319533</v>
      </c>
    </row>
    <row r="60" spans="1:13" s="44" customFormat="1" ht="15" hidden="1" outlineLevel="1" x14ac:dyDescent="0.25">
      <c r="A60" s="45" t="s">
        <v>68</v>
      </c>
      <c r="B60" s="19">
        <f>7614307.645-880000</f>
        <v>6734307.6449999996</v>
      </c>
      <c r="C60" s="27"/>
      <c r="D60" s="27"/>
      <c r="E60" s="27"/>
      <c r="F60" s="27"/>
      <c r="G60" s="27"/>
      <c r="H60" s="19">
        <f>+B60+C60+D60+G60+E60+F60</f>
        <v>6734307.6449999996</v>
      </c>
      <c r="I60" s="27"/>
      <c r="J60" s="20">
        <f>+H60+I60</f>
        <v>6734307.6449999996</v>
      </c>
      <c r="K60" s="20">
        <v>6733117</v>
      </c>
      <c r="L60" s="20">
        <f t="shared" si="12"/>
        <v>-1190.644999999553</v>
      </c>
      <c r="M60" s="21">
        <f t="shared" si="13"/>
        <v>0.99982319711798684</v>
      </c>
    </row>
    <row r="61" spans="1:13" s="44" customFormat="1" ht="15" hidden="1" outlineLevel="1" x14ac:dyDescent="0.25">
      <c r="A61" s="45" t="s">
        <v>69</v>
      </c>
      <c r="B61" s="19">
        <v>26171182</v>
      </c>
      <c r="C61" s="27"/>
      <c r="D61" s="27"/>
      <c r="E61" s="27"/>
      <c r="F61" s="27"/>
      <c r="G61" s="27"/>
      <c r="H61" s="19">
        <f>+B61+C61+D61+G61+E61+F61</f>
        <v>26171182</v>
      </c>
      <c r="I61" s="27"/>
      <c r="J61" s="20">
        <f>+H61+I61</f>
        <v>26171182</v>
      </c>
      <c r="K61" s="20">
        <v>15415055</v>
      </c>
      <c r="L61" s="20">
        <f t="shared" si="12"/>
        <v>-10756127</v>
      </c>
      <c r="M61" s="21">
        <f t="shared" si="13"/>
        <v>0.58900874251686453</v>
      </c>
    </row>
    <row r="62" spans="1:13" s="44" customFormat="1" ht="15" collapsed="1" x14ac:dyDescent="0.25">
      <c r="A62" s="46" t="s">
        <v>70</v>
      </c>
      <c r="B62" s="15">
        <f>SUM(B63:B65)</f>
        <v>98056429</v>
      </c>
      <c r="C62" s="27"/>
      <c r="D62" s="27"/>
      <c r="E62" s="27"/>
      <c r="F62" s="27"/>
      <c r="G62" s="27"/>
      <c r="H62" s="15">
        <f>SUM(H63:H65)</f>
        <v>98056429</v>
      </c>
      <c r="I62" s="27"/>
      <c r="J62" s="15">
        <f>SUM(J63:J65)</f>
        <v>98056429</v>
      </c>
      <c r="K62" s="15">
        <f>SUM(K63:K65)</f>
        <v>95907162</v>
      </c>
      <c r="L62" s="15">
        <f t="shared" si="12"/>
        <v>-2149267</v>
      </c>
      <c r="M62" s="16">
        <f t="shared" si="13"/>
        <v>0.97808132498889999</v>
      </c>
    </row>
    <row r="63" spans="1:13" s="44" customFormat="1" ht="15" hidden="1" outlineLevel="1" x14ac:dyDescent="0.25">
      <c r="A63" s="45" t="s">
        <v>71</v>
      </c>
      <c r="B63" s="19">
        <v>44545520</v>
      </c>
      <c r="C63" s="27"/>
      <c r="D63" s="27"/>
      <c r="E63" s="27"/>
      <c r="F63" s="27"/>
      <c r="G63" s="27"/>
      <c r="H63" s="19">
        <f>+B63+C63+D63+G63+E63+F63</f>
        <v>44545520</v>
      </c>
      <c r="I63" s="27"/>
      <c r="J63" s="20">
        <f>+H63+I63</f>
        <v>44545520</v>
      </c>
      <c r="K63" s="20">
        <v>43566189</v>
      </c>
      <c r="L63" s="20">
        <f t="shared" si="12"/>
        <v>-979331</v>
      </c>
      <c r="M63" s="21">
        <f t="shared" si="13"/>
        <v>0.97801505067176231</v>
      </c>
    </row>
    <row r="64" spans="1:13" s="44" customFormat="1" ht="15" hidden="1" outlineLevel="1" x14ac:dyDescent="0.25">
      <c r="A64" s="45" t="s">
        <v>72</v>
      </c>
      <c r="B64" s="19">
        <v>46510909</v>
      </c>
      <c r="C64" s="27"/>
      <c r="D64" s="27"/>
      <c r="E64" s="27"/>
      <c r="F64" s="27"/>
      <c r="G64" s="27"/>
      <c r="H64" s="19">
        <f>+B64+C64+D64+G64+E64+F64</f>
        <v>46510909</v>
      </c>
      <c r="I64" s="27"/>
      <c r="J64" s="20">
        <f>+H64+I64</f>
        <v>46510909</v>
      </c>
      <c r="K64" s="20">
        <v>45684833</v>
      </c>
      <c r="L64" s="20">
        <f t="shared" si="12"/>
        <v>-826076</v>
      </c>
      <c r="M64" s="21">
        <f t="shared" si="13"/>
        <v>0.9822390914785174</v>
      </c>
    </row>
    <row r="65" spans="1:13" s="44" customFormat="1" ht="15" hidden="1" outlineLevel="1" x14ac:dyDescent="0.25">
      <c r="A65" s="45" t="s">
        <v>73</v>
      </c>
      <c r="B65" s="19">
        <v>7000000</v>
      </c>
      <c r="C65" s="27"/>
      <c r="D65" s="27"/>
      <c r="E65" s="27"/>
      <c r="F65" s="27"/>
      <c r="G65" s="27"/>
      <c r="H65" s="19">
        <f>+B65+C65+D65+G65+E65+F65</f>
        <v>7000000</v>
      </c>
      <c r="I65" s="27"/>
      <c r="J65" s="20">
        <f>+H65+I65</f>
        <v>7000000</v>
      </c>
      <c r="K65" s="20">
        <v>6656140</v>
      </c>
      <c r="L65" s="20">
        <f t="shared" si="12"/>
        <v>-343860</v>
      </c>
      <c r="M65" s="21">
        <f t="shared" si="13"/>
        <v>0.95087714285714287</v>
      </c>
    </row>
    <row r="66" spans="1:13" s="44" customFormat="1" ht="15" collapsed="1" x14ac:dyDescent="0.25">
      <c r="A66" s="46" t="s">
        <v>74</v>
      </c>
      <c r="B66" s="15">
        <f>SUM(B67:B70)</f>
        <v>69206946</v>
      </c>
      <c r="C66" s="27"/>
      <c r="D66" s="27"/>
      <c r="E66" s="27"/>
      <c r="F66" s="27"/>
      <c r="G66" s="27"/>
      <c r="H66" s="15">
        <f>SUM(H67:H70)</f>
        <v>69206946</v>
      </c>
      <c r="I66" s="27"/>
      <c r="J66" s="15">
        <f>SUM(J67:J70)</f>
        <v>69206946</v>
      </c>
      <c r="K66" s="15">
        <f>SUM(K67:K70)</f>
        <v>54572105</v>
      </c>
      <c r="L66" s="15">
        <f t="shared" si="12"/>
        <v>-14634841</v>
      </c>
      <c r="M66" s="16">
        <f t="shared" si="13"/>
        <v>0.78853508432520636</v>
      </c>
    </row>
    <row r="67" spans="1:13" s="44" customFormat="1" ht="15" hidden="1" outlineLevel="1" x14ac:dyDescent="0.25">
      <c r="A67" s="45" t="s">
        <v>75</v>
      </c>
      <c r="B67" s="19">
        <f>842051+3500000</f>
        <v>4342051</v>
      </c>
      <c r="C67" s="27"/>
      <c r="D67" s="27"/>
      <c r="E67" s="27"/>
      <c r="F67" s="27"/>
      <c r="G67" s="27"/>
      <c r="H67" s="19">
        <f>+B67+C67+D67+G67+E67+F67</f>
        <v>4342051</v>
      </c>
      <c r="I67" s="27"/>
      <c r="J67" s="20">
        <f>+H67+I67</f>
        <v>4342051</v>
      </c>
      <c r="K67" s="20">
        <v>4206903</v>
      </c>
      <c r="L67" s="20">
        <f t="shared" si="12"/>
        <v>-135148</v>
      </c>
      <c r="M67" s="21">
        <f t="shared" si="13"/>
        <v>0.968874617087639</v>
      </c>
    </row>
    <row r="68" spans="1:13" s="44" customFormat="1" ht="15" hidden="1" outlineLevel="1" x14ac:dyDescent="0.25">
      <c r="A68" s="45" t="s">
        <v>76</v>
      </c>
      <c r="B68" s="19">
        <f>40687864-3500000</f>
        <v>37187864</v>
      </c>
      <c r="C68" s="27"/>
      <c r="D68" s="27"/>
      <c r="E68" s="27"/>
      <c r="F68" s="27"/>
      <c r="G68" s="27"/>
      <c r="H68" s="19">
        <f>+B68+C68+D68+G68+E68+F68</f>
        <v>37187864</v>
      </c>
      <c r="I68" s="27"/>
      <c r="J68" s="20">
        <f>+H68+I68</f>
        <v>37187864</v>
      </c>
      <c r="K68" s="20">
        <v>30938173</v>
      </c>
      <c r="L68" s="20">
        <f t="shared" si="12"/>
        <v>-6249691</v>
      </c>
      <c r="M68" s="21">
        <f t="shared" si="13"/>
        <v>0.83194272733706887</v>
      </c>
    </row>
    <row r="69" spans="1:13" s="44" customFormat="1" ht="15" hidden="1" outlineLevel="1" x14ac:dyDescent="0.25">
      <c r="A69" s="45" t="s">
        <v>77</v>
      </c>
      <c r="B69" s="19">
        <v>478318</v>
      </c>
      <c r="C69" s="27"/>
      <c r="D69" s="27"/>
      <c r="E69" s="27"/>
      <c r="F69" s="27"/>
      <c r="G69" s="27"/>
      <c r="H69" s="19">
        <f>+B69+C69+D69+G69+E69+F69</f>
        <v>478318</v>
      </c>
      <c r="I69" s="27"/>
      <c r="J69" s="20">
        <f>+H69+I69</f>
        <v>478318</v>
      </c>
      <c r="K69" s="20">
        <v>258800</v>
      </c>
      <c r="L69" s="20">
        <f t="shared" si="12"/>
        <v>-219518</v>
      </c>
      <c r="M69" s="21">
        <f t="shared" si="13"/>
        <v>0.54106264033550899</v>
      </c>
    </row>
    <row r="70" spans="1:13" s="44" customFormat="1" ht="15" hidden="1" outlineLevel="1" x14ac:dyDescent="0.25">
      <c r="A70" s="45" t="s">
        <v>78</v>
      </c>
      <c r="B70" s="19">
        <v>27198713</v>
      </c>
      <c r="C70" s="27"/>
      <c r="D70" s="27"/>
      <c r="E70" s="27"/>
      <c r="F70" s="27"/>
      <c r="G70" s="27"/>
      <c r="H70" s="19">
        <f>+B70+C70+D70+G70+E70+F70</f>
        <v>27198713</v>
      </c>
      <c r="I70" s="27"/>
      <c r="J70" s="20">
        <f>+H70+I70</f>
        <v>27198713</v>
      </c>
      <c r="K70" s="20">
        <v>19168229</v>
      </c>
      <c r="L70" s="20">
        <f t="shared" si="12"/>
        <v>-8030484</v>
      </c>
      <c r="M70" s="21">
        <f t="shared" si="13"/>
        <v>0.70474764743464147</v>
      </c>
    </row>
    <row r="71" spans="1:13" s="44" customFormat="1" ht="15" collapsed="1" x14ac:dyDescent="0.25">
      <c r="A71" s="46" t="s">
        <v>79</v>
      </c>
      <c r="B71" s="15">
        <f>SUM(B72:B73)</f>
        <v>74517989.819999993</v>
      </c>
      <c r="C71" s="27"/>
      <c r="D71" s="27"/>
      <c r="E71" s="27"/>
      <c r="F71" s="27"/>
      <c r="G71" s="27"/>
      <c r="H71" s="15">
        <f>SUM(H72:H73)</f>
        <v>74517989.819999993</v>
      </c>
      <c r="I71" s="27"/>
      <c r="J71" s="15">
        <f>SUM(J72:J73)</f>
        <v>74517989.819999993</v>
      </c>
      <c r="K71" s="15">
        <f>SUM(K72:K73)</f>
        <v>61351752</v>
      </c>
      <c r="L71" s="15">
        <f t="shared" si="12"/>
        <v>-13166237.819999993</v>
      </c>
      <c r="M71" s="16">
        <f t="shared" si="13"/>
        <v>0.82331464050756931</v>
      </c>
    </row>
    <row r="72" spans="1:13" s="44" customFormat="1" ht="15" hidden="1" outlineLevel="1" x14ac:dyDescent="0.25">
      <c r="A72" s="45" t="s">
        <v>80</v>
      </c>
      <c r="B72" s="19">
        <v>49717989.819999993</v>
      </c>
      <c r="C72" s="27"/>
      <c r="D72" s="27"/>
      <c r="E72" s="27"/>
      <c r="F72" s="27"/>
      <c r="G72" s="27"/>
      <c r="H72" s="19">
        <f>+B72+C72+D72+G72+E72+F72</f>
        <v>49717989.819999993</v>
      </c>
      <c r="I72" s="27"/>
      <c r="J72" s="20">
        <f>+H72+I72</f>
        <v>49717989.819999993</v>
      </c>
      <c r="K72" s="20">
        <v>47980933</v>
      </c>
      <c r="L72" s="20">
        <f t="shared" si="12"/>
        <v>-1737056.8199999928</v>
      </c>
      <c r="M72" s="21">
        <f t="shared" si="13"/>
        <v>0.96506180506716244</v>
      </c>
    </row>
    <row r="73" spans="1:13" s="44" customFormat="1" ht="15" hidden="1" outlineLevel="1" x14ac:dyDescent="0.25">
      <c r="A73" s="45" t="s">
        <v>81</v>
      </c>
      <c r="B73" s="19">
        <v>24800000</v>
      </c>
      <c r="C73" s="27"/>
      <c r="D73" s="27"/>
      <c r="E73" s="27"/>
      <c r="F73" s="27"/>
      <c r="G73" s="27"/>
      <c r="H73" s="19">
        <f>+B73+C73+D73+G73+E73+F73</f>
        <v>24800000</v>
      </c>
      <c r="I73" s="27"/>
      <c r="J73" s="20">
        <f>+H73+I73</f>
        <v>24800000</v>
      </c>
      <c r="K73" s="20">
        <v>13370819</v>
      </c>
      <c r="L73" s="20">
        <f t="shared" si="12"/>
        <v>-11429181</v>
      </c>
      <c r="M73" s="21">
        <f t="shared" si="13"/>
        <v>0.53914592741935485</v>
      </c>
    </row>
    <row r="74" spans="1:13" s="44" customFormat="1" ht="15" collapsed="1" x14ac:dyDescent="0.25">
      <c r="A74" s="45"/>
      <c r="B74" s="19"/>
      <c r="C74" s="27"/>
      <c r="D74" s="27"/>
      <c r="E74" s="27"/>
      <c r="F74" s="27"/>
      <c r="G74" s="27"/>
      <c r="H74" s="19"/>
      <c r="I74" s="27"/>
      <c r="J74" s="20"/>
      <c r="K74" s="20"/>
      <c r="L74" s="20"/>
      <c r="M74" s="21"/>
    </row>
    <row r="75" spans="1:13" s="44" customFormat="1" ht="15" x14ac:dyDescent="0.25">
      <c r="A75" s="46" t="s">
        <v>82</v>
      </c>
      <c r="B75" s="19"/>
      <c r="C75" s="27"/>
      <c r="D75" s="27"/>
      <c r="E75" s="27"/>
      <c r="F75" s="27">
        <f>+F76+F82+F92+F98+F101</f>
        <v>1638648699.1297998</v>
      </c>
      <c r="G75" s="27"/>
      <c r="H75" s="27">
        <f>+H76+H82+H92+H98+H101</f>
        <v>1638648699.1297998</v>
      </c>
      <c r="I75" s="27"/>
      <c r="J75" s="15">
        <f>+H75+I75</f>
        <v>1638648699.1297998</v>
      </c>
      <c r="K75" s="27">
        <f>+K76+K82+K92+K98+K101</f>
        <v>1597955598</v>
      </c>
      <c r="L75" s="27">
        <f t="shared" ref="L75:L103" si="16">+K75-J75</f>
        <v>-40693101.129799843</v>
      </c>
      <c r="M75" s="16">
        <f t="shared" ref="M75:M103" si="17">IFERROR(K75/J75,0)</f>
        <v>0.97516667169027149</v>
      </c>
    </row>
    <row r="76" spans="1:13" s="44" customFormat="1" ht="15" x14ac:dyDescent="0.25">
      <c r="A76" s="46" t="s">
        <v>83</v>
      </c>
      <c r="B76" s="19"/>
      <c r="C76" s="27"/>
      <c r="D76" s="27"/>
      <c r="E76" s="27"/>
      <c r="F76" s="27">
        <f>SUM(F77:F81)</f>
        <v>69427474.5</v>
      </c>
      <c r="G76" s="27"/>
      <c r="H76" s="27">
        <f>SUM(H77:H81)</f>
        <v>69427474.5</v>
      </c>
      <c r="I76" s="27"/>
      <c r="J76" s="27">
        <f>SUM(J77:J81)</f>
        <v>69427474.5</v>
      </c>
      <c r="K76" s="27">
        <f>SUM(K77:K81)</f>
        <v>67325884</v>
      </c>
      <c r="L76" s="27">
        <f t="shared" si="16"/>
        <v>-2101590.5</v>
      </c>
      <c r="M76" s="16">
        <f t="shared" si="17"/>
        <v>0.96972969973148027</v>
      </c>
    </row>
    <row r="77" spans="1:13" s="44" customFormat="1" ht="15" hidden="1" outlineLevel="1" x14ac:dyDescent="0.25">
      <c r="A77" s="45" t="s">
        <v>84</v>
      </c>
      <c r="B77" s="19"/>
      <c r="C77" s="27"/>
      <c r="D77" s="27"/>
      <c r="E77" s="27"/>
      <c r="F77" s="20">
        <v>0</v>
      </c>
      <c r="G77" s="27"/>
      <c r="H77" s="19">
        <f>+B77+C77+D77+G77+E77+F77</f>
        <v>0</v>
      </c>
      <c r="I77" s="27"/>
      <c r="J77" s="20">
        <f>+H77+I77</f>
        <v>0</v>
      </c>
      <c r="K77" s="20">
        <v>0</v>
      </c>
      <c r="L77" s="20">
        <f t="shared" si="16"/>
        <v>0</v>
      </c>
      <c r="M77" s="21">
        <f t="shared" si="17"/>
        <v>0</v>
      </c>
    </row>
    <row r="78" spans="1:13" s="44" customFormat="1" ht="15" hidden="1" outlineLevel="1" x14ac:dyDescent="0.25">
      <c r="A78" s="45" t="s">
        <v>85</v>
      </c>
      <c r="B78" s="19"/>
      <c r="C78" s="27"/>
      <c r="D78" s="27"/>
      <c r="E78" s="27"/>
      <c r="F78" s="20">
        <v>39122234.5</v>
      </c>
      <c r="G78" s="27"/>
      <c r="H78" s="19">
        <f>+B78+C78+D78+G78+E78+F78</f>
        <v>39122234.5</v>
      </c>
      <c r="I78" s="27"/>
      <c r="J78" s="20">
        <f>+H78+I78</f>
        <v>39122234.5</v>
      </c>
      <c r="K78" s="20">
        <v>39122000</v>
      </c>
      <c r="L78" s="20">
        <f t="shared" si="16"/>
        <v>-234.5</v>
      </c>
      <c r="M78" s="21">
        <f t="shared" si="17"/>
        <v>0.99999400596609578</v>
      </c>
    </row>
    <row r="79" spans="1:13" s="44" customFormat="1" ht="15" hidden="1" outlineLevel="1" x14ac:dyDescent="0.25">
      <c r="A79" s="45" t="s">
        <v>86</v>
      </c>
      <c r="B79" s="19"/>
      <c r="C79" s="27"/>
      <c r="D79" s="27"/>
      <c r="E79" s="27"/>
      <c r="F79" s="20">
        <v>19484888</v>
      </c>
      <c r="G79" s="27"/>
      <c r="H79" s="19">
        <f>+B79+C79+D79+G79+E79+F79</f>
        <v>19484888</v>
      </c>
      <c r="I79" s="27"/>
      <c r="J79" s="20">
        <f>+H79+I79</f>
        <v>19484888</v>
      </c>
      <c r="K79" s="20">
        <v>19484888</v>
      </c>
      <c r="L79" s="20">
        <f t="shared" si="16"/>
        <v>0</v>
      </c>
      <c r="M79" s="21">
        <f t="shared" si="17"/>
        <v>1</v>
      </c>
    </row>
    <row r="80" spans="1:13" s="44" customFormat="1" ht="15" hidden="1" outlineLevel="1" x14ac:dyDescent="0.25">
      <c r="A80" s="45" t="s">
        <v>87</v>
      </c>
      <c r="B80" s="19"/>
      <c r="C80" s="27"/>
      <c r="D80" s="27"/>
      <c r="E80" s="27"/>
      <c r="F80" s="20">
        <v>10820352</v>
      </c>
      <c r="G80" s="27"/>
      <c r="H80" s="19">
        <f>+B80+C80+D80+G80+E80+F80</f>
        <v>10820352</v>
      </c>
      <c r="I80" s="27"/>
      <c r="J80" s="20">
        <f>+H80+I80</f>
        <v>10820352</v>
      </c>
      <c r="K80" s="20">
        <v>8718996</v>
      </c>
      <c r="L80" s="20">
        <f t="shared" si="16"/>
        <v>-2101356</v>
      </c>
      <c r="M80" s="21">
        <f t="shared" si="17"/>
        <v>0.80579596671161902</v>
      </c>
    </row>
    <row r="81" spans="1:13" s="44" customFormat="1" ht="15" hidden="1" outlineLevel="1" x14ac:dyDescent="0.25">
      <c r="A81" s="45" t="s">
        <v>88</v>
      </c>
      <c r="B81" s="19"/>
      <c r="C81" s="27"/>
      <c r="D81" s="27"/>
      <c r="E81" s="27"/>
      <c r="F81" s="20">
        <v>0</v>
      </c>
      <c r="G81" s="27"/>
      <c r="H81" s="19">
        <f>+B81+C81+D81+G81+E81+F81</f>
        <v>0</v>
      </c>
      <c r="I81" s="27"/>
      <c r="J81" s="20">
        <f>+H81+I81</f>
        <v>0</v>
      </c>
      <c r="K81" s="20"/>
      <c r="L81" s="20">
        <f t="shared" si="16"/>
        <v>0</v>
      </c>
      <c r="M81" s="21">
        <f t="shared" si="17"/>
        <v>0</v>
      </c>
    </row>
    <row r="82" spans="1:13" s="44" customFormat="1" ht="15" collapsed="1" x14ac:dyDescent="0.25">
      <c r="A82" s="46" t="s">
        <v>89</v>
      </c>
      <c r="B82" s="19"/>
      <c r="C82" s="27"/>
      <c r="D82" s="27"/>
      <c r="E82" s="27"/>
      <c r="F82" s="27">
        <f>SUM(F83:F91)</f>
        <v>257377503</v>
      </c>
      <c r="G82" s="27"/>
      <c r="H82" s="27">
        <f>SUM(H83:H91)</f>
        <v>257377503</v>
      </c>
      <c r="I82" s="27"/>
      <c r="J82" s="27">
        <f>SUM(J83:J91)</f>
        <v>257377503</v>
      </c>
      <c r="K82" s="27">
        <f>SUM(K83:K91)</f>
        <v>240907715</v>
      </c>
      <c r="L82" s="27">
        <f t="shared" si="16"/>
        <v>-16469788</v>
      </c>
      <c r="M82" s="16">
        <f t="shared" si="17"/>
        <v>0.93600921678069116</v>
      </c>
    </row>
    <row r="83" spans="1:13" s="44" customFormat="1" ht="15" hidden="1" outlineLevel="1" x14ac:dyDescent="0.25">
      <c r="A83" s="45" t="s">
        <v>90</v>
      </c>
      <c r="B83" s="19"/>
      <c r="C83" s="27"/>
      <c r="D83" s="27"/>
      <c r="E83" s="27"/>
      <c r="F83" s="20">
        <f>14713224+1110857</f>
        <v>15824081</v>
      </c>
      <c r="G83" s="27"/>
      <c r="H83" s="19">
        <f t="shared" ref="H83:H91" si="18">+B83+C83+D83+G83+E83+F83</f>
        <v>15824081</v>
      </c>
      <c r="I83" s="27"/>
      <c r="J83" s="20">
        <f t="shared" ref="J83:J91" si="19">+H83+I83</f>
        <v>15824081</v>
      </c>
      <c r="K83" s="20">
        <v>15618382</v>
      </c>
      <c r="L83" s="20">
        <f t="shared" si="16"/>
        <v>-205699</v>
      </c>
      <c r="M83" s="21">
        <f t="shared" si="17"/>
        <v>0.98700088807684949</v>
      </c>
    </row>
    <row r="84" spans="1:13" s="44" customFormat="1" ht="15" hidden="1" outlineLevel="1" x14ac:dyDescent="0.25">
      <c r="A84" s="45" t="s">
        <v>91</v>
      </c>
      <c r="B84" s="19"/>
      <c r="C84" s="27"/>
      <c r="D84" s="27"/>
      <c r="E84" s="27"/>
      <c r="F84" s="20">
        <v>54834287</v>
      </c>
      <c r="G84" s="27"/>
      <c r="H84" s="19">
        <f t="shared" si="18"/>
        <v>54834287</v>
      </c>
      <c r="I84" s="27"/>
      <c r="J84" s="20">
        <f t="shared" si="19"/>
        <v>54834287</v>
      </c>
      <c r="K84" s="20">
        <v>48000000</v>
      </c>
      <c r="L84" s="20">
        <f t="shared" si="16"/>
        <v>-6834287</v>
      </c>
      <c r="M84" s="21">
        <f t="shared" si="17"/>
        <v>0.87536471478146516</v>
      </c>
    </row>
    <row r="85" spans="1:13" s="44" customFormat="1" ht="15" hidden="1" outlineLevel="1" x14ac:dyDescent="0.25">
      <c r="A85" s="45" t="s">
        <v>92</v>
      </c>
      <c r="B85" s="19"/>
      <c r="C85" s="27"/>
      <c r="D85" s="27"/>
      <c r="E85" s="27"/>
      <c r="F85" s="20">
        <v>43041904</v>
      </c>
      <c r="G85" s="27"/>
      <c r="H85" s="19">
        <f t="shared" si="18"/>
        <v>43041904</v>
      </c>
      <c r="I85" s="27"/>
      <c r="J85" s="20">
        <f t="shared" si="19"/>
        <v>43041904</v>
      </c>
      <c r="K85" s="20">
        <v>38900000</v>
      </c>
      <c r="L85" s="20">
        <f t="shared" si="16"/>
        <v>-4141904</v>
      </c>
      <c r="M85" s="21">
        <f t="shared" si="17"/>
        <v>0.90377042799965357</v>
      </c>
    </row>
    <row r="86" spans="1:13" s="44" customFormat="1" ht="15" hidden="1" outlineLevel="1" x14ac:dyDescent="0.25">
      <c r="A86" s="45" t="s">
        <v>93</v>
      </c>
      <c r="B86" s="19"/>
      <c r="C86" s="27"/>
      <c r="D86" s="27"/>
      <c r="E86" s="27"/>
      <c r="F86" s="20">
        <v>17991067</v>
      </c>
      <c r="G86" s="27"/>
      <c r="H86" s="19">
        <f t="shared" si="18"/>
        <v>17991067</v>
      </c>
      <c r="I86" s="27"/>
      <c r="J86" s="20">
        <f t="shared" si="19"/>
        <v>17991067</v>
      </c>
      <c r="K86" s="20">
        <v>16997886</v>
      </c>
      <c r="L86" s="20">
        <f t="shared" si="16"/>
        <v>-993181</v>
      </c>
      <c r="M86" s="21">
        <f t="shared" si="17"/>
        <v>0.94479588120037572</v>
      </c>
    </row>
    <row r="87" spans="1:13" s="44" customFormat="1" ht="15" hidden="1" outlineLevel="1" x14ac:dyDescent="0.25">
      <c r="A87" s="45" t="s">
        <v>94</v>
      </c>
      <c r="B87" s="19"/>
      <c r="C87" s="27"/>
      <c r="D87" s="27"/>
      <c r="E87" s="27"/>
      <c r="F87" s="20">
        <f>73734824-1110857</f>
        <v>72623967</v>
      </c>
      <c r="G87" s="27"/>
      <c r="H87" s="19">
        <f t="shared" si="18"/>
        <v>72623967</v>
      </c>
      <c r="I87" s="27"/>
      <c r="J87" s="20">
        <f t="shared" si="19"/>
        <v>72623967</v>
      </c>
      <c r="K87" s="20">
        <v>68915766</v>
      </c>
      <c r="L87" s="20">
        <f t="shared" si="16"/>
        <v>-3708201</v>
      </c>
      <c r="M87" s="21">
        <f t="shared" si="17"/>
        <v>0.94893970746599399</v>
      </c>
    </row>
    <row r="88" spans="1:13" s="44" customFormat="1" ht="15" hidden="1" outlineLevel="1" x14ac:dyDescent="0.25">
      <c r="A88" s="45" t="s">
        <v>95</v>
      </c>
      <c r="B88" s="19"/>
      <c r="C88" s="27"/>
      <c r="D88" s="27"/>
      <c r="E88" s="27"/>
      <c r="F88" s="20">
        <v>0</v>
      </c>
      <c r="G88" s="27"/>
      <c r="H88" s="19">
        <f t="shared" si="18"/>
        <v>0</v>
      </c>
      <c r="I88" s="27"/>
      <c r="J88" s="20">
        <f t="shared" si="19"/>
        <v>0</v>
      </c>
      <c r="K88" s="20">
        <v>0</v>
      </c>
      <c r="L88" s="20">
        <f t="shared" si="16"/>
        <v>0</v>
      </c>
      <c r="M88" s="21">
        <f t="shared" si="17"/>
        <v>0</v>
      </c>
    </row>
    <row r="89" spans="1:13" s="44" customFormat="1" ht="15" hidden="1" outlineLevel="1" x14ac:dyDescent="0.25">
      <c r="A89" s="45" t="s">
        <v>96</v>
      </c>
      <c r="B89" s="19"/>
      <c r="C89" s="27"/>
      <c r="D89" s="27"/>
      <c r="E89" s="27"/>
      <c r="F89" s="20">
        <v>17929306</v>
      </c>
      <c r="G89" s="27"/>
      <c r="H89" s="19">
        <f t="shared" si="18"/>
        <v>17929306</v>
      </c>
      <c r="I89" s="27"/>
      <c r="J89" s="20">
        <f t="shared" si="19"/>
        <v>17929306</v>
      </c>
      <c r="K89" s="20">
        <v>17867352</v>
      </c>
      <c r="L89" s="20">
        <f t="shared" si="16"/>
        <v>-61954</v>
      </c>
      <c r="M89" s="21">
        <f t="shared" si="17"/>
        <v>0.99654453998386772</v>
      </c>
    </row>
    <row r="90" spans="1:13" s="44" customFormat="1" ht="15" hidden="1" outlineLevel="1" x14ac:dyDescent="0.25">
      <c r="A90" s="45" t="s">
        <v>97</v>
      </c>
      <c r="B90" s="19"/>
      <c r="C90" s="27"/>
      <c r="D90" s="27"/>
      <c r="E90" s="27"/>
      <c r="F90" s="20">
        <v>32227407</v>
      </c>
      <c r="G90" s="27"/>
      <c r="H90" s="19">
        <f t="shared" si="18"/>
        <v>32227407</v>
      </c>
      <c r="I90" s="27"/>
      <c r="J90" s="20">
        <f t="shared" si="19"/>
        <v>32227407</v>
      </c>
      <c r="K90" s="20">
        <v>31796129</v>
      </c>
      <c r="L90" s="20">
        <f t="shared" si="16"/>
        <v>-431278</v>
      </c>
      <c r="M90" s="21">
        <f t="shared" si="17"/>
        <v>0.98661766365503745</v>
      </c>
    </row>
    <row r="91" spans="1:13" s="44" customFormat="1" ht="15" hidden="1" outlineLevel="1" x14ac:dyDescent="0.25">
      <c r="A91" s="45" t="s">
        <v>98</v>
      </c>
      <c r="B91" s="19"/>
      <c r="C91" s="27"/>
      <c r="D91" s="27"/>
      <c r="E91" s="27"/>
      <c r="F91" s="20">
        <v>2905484</v>
      </c>
      <c r="G91" s="27"/>
      <c r="H91" s="19">
        <f t="shared" si="18"/>
        <v>2905484</v>
      </c>
      <c r="I91" s="27"/>
      <c r="J91" s="20">
        <f t="shared" si="19"/>
        <v>2905484</v>
      </c>
      <c r="K91" s="20">
        <v>2812200</v>
      </c>
      <c r="L91" s="20">
        <f t="shared" si="16"/>
        <v>-93284</v>
      </c>
      <c r="M91" s="21">
        <f t="shared" si="17"/>
        <v>0.96789381734678281</v>
      </c>
    </row>
    <row r="92" spans="1:13" s="44" customFormat="1" ht="15" collapsed="1" x14ac:dyDescent="0.25">
      <c r="A92" s="46" t="s">
        <v>99</v>
      </c>
      <c r="B92" s="19"/>
      <c r="C92" s="27"/>
      <c r="D92" s="27"/>
      <c r="E92" s="27"/>
      <c r="F92" s="27">
        <f>SUM(F93:F97)</f>
        <v>1082672295.6297998</v>
      </c>
      <c r="G92" s="27"/>
      <c r="H92" s="27">
        <f>SUM(H93:H97)</f>
        <v>1082672295.6297998</v>
      </c>
      <c r="I92" s="27"/>
      <c r="J92" s="27">
        <f>SUM(J93:J97)</f>
        <v>1082672295.6297998</v>
      </c>
      <c r="K92" s="27">
        <f>SUM(K93:K97)</f>
        <v>1080258877</v>
      </c>
      <c r="L92" s="27">
        <f t="shared" si="16"/>
        <v>-2413418.6297998428</v>
      </c>
      <c r="M92" s="16">
        <f t="shared" si="17"/>
        <v>0.99777086876653109</v>
      </c>
    </row>
    <row r="93" spans="1:13" s="44" customFormat="1" ht="15" hidden="1" outlineLevel="1" x14ac:dyDescent="0.25">
      <c r="A93" s="45" t="s">
        <v>100</v>
      </c>
      <c r="B93" s="19"/>
      <c r="C93" s="27"/>
      <c r="D93" s="27"/>
      <c r="E93" s="27"/>
      <c r="F93" s="20">
        <f>963353805+47170491</f>
        <v>1010524296</v>
      </c>
      <c r="G93" s="27"/>
      <c r="H93" s="19">
        <f>+B93+C93+D93+G93+E93+F93</f>
        <v>1010524296</v>
      </c>
      <c r="I93" s="27"/>
      <c r="J93" s="20">
        <f>+H93+I93</f>
        <v>1010524296</v>
      </c>
      <c r="K93" s="20">
        <v>1008112781</v>
      </c>
      <c r="L93" s="20">
        <f t="shared" si="16"/>
        <v>-2411515</v>
      </c>
      <c r="M93" s="21">
        <f t="shared" si="17"/>
        <v>0.99761360017809997</v>
      </c>
    </row>
    <row r="94" spans="1:13" s="44" customFormat="1" ht="15" hidden="1" outlineLevel="1" x14ac:dyDescent="0.25">
      <c r="A94" s="45" t="s">
        <v>101</v>
      </c>
      <c r="B94" s="19"/>
      <c r="C94" s="27"/>
      <c r="D94" s="27"/>
      <c r="E94" s="27"/>
      <c r="F94" s="20">
        <f>23166360-22885000+600000</f>
        <v>881360</v>
      </c>
      <c r="G94" s="27"/>
      <c r="H94" s="19">
        <f>+B94+C94+D94+G94+E94+F94</f>
        <v>881360</v>
      </c>
      <c r="I94" s="27"/>
      <c r="J94" s="20">
        <f>+H94+I94</f>
        <v>881360</v>
      </c>
      <c r="K94" s="20">
        <v>881280</v>
      </c>
      <c r="L94" s="20">
        <f t="shared" si="16"/>
        <v>-80</v>
      </c>
      <c r="M94" s="21">
        <f t="shared" si="17"/>
        <v>0.99990923118816377</v>
      </c>
    </row>
    <row r="95" spans="1:13" s="44" customFormat="1" ht="15" hidden="1" outlineLevel="1" x14ac:dyDescent="0.25">
      <c r="A95" s="45" t="s">
        <v>102</v>
      </c>
      <c r="B95" s="19"/>
      <c r="C95" s="27"/>
      <c r="D95" s="27"/>
      <c r="E95" s="27"/>
      <c r="F95" s="20">
        <f>20881820.6298-5174479-52012</f>
        <v>15655329.629799999</v>
      </c>
      <c r="G95" s="27"/>
      <c r="H95" s="19">
        <f>+B95+C95+D95+G95+E95+F95</f>
        <v>15655329.629799999</v>
      </c>
      <c r="I95" s="27"/>
      <c r="J95" s="20">
        <f>+H95+I95</f>
        <v>15655329.629799999</v>
      </c>
      <c r="K95" s="20">
        <v>15655330</v>
      </c>
      <c r="L95" s="20">
        <f t="shared" si="16"/>
        <v>0.37020000070333481</v>
      </c>
      <c r="M95" s="21">
        <f t="shared" si="17"/>
        <v>1.0000000236468991</v>
      </c>
    </row>
    <row r="96" spans="1:13" s="44" customFormat="1" ht="15" hidden="1" outlineLevel="1" x14ac:dyDescent="0.25">
      <c r="A96" s="45" t="s">
        <v>103</v>
      </c>
      <c r="B96" s="19"/>
      <c r="C96" s="27"/>
      <c r="D96" s="27"/>
      <c r="E96" s="27"/>
      <c r="F96" s="20">
        <f>20270310-9452012+52012</f>
        <v>10870310</v>
      </c>
      <c r="G96" s="27"/>
      <c r="H96" s="19">
        <f>+B96+C96+D96+G96+E96+F96</f>
        <v>10870310</v>
      </c>
      <c r="I96" s="27"/>
      <c r="J96" s="20">
        <f>+H96+I96</f>
        <v>10870310</v>
      </c>
      <c r="K96" s="20">
        <v>10868544</v>
      </c>
      <c r="L96" s="20">
        <f t="shared" si="16"/>
        <v>-1766</v>
      </c>
      <c r="M96" s="21">
        <f t="shared" si="17"/>
        <v>0.99983753913181872</v>
      </c>
    </row>
    <row r="97" spans="1:13" s="44" customFormat="1" ht="15" hidden="1" outlineLevel="1" x14ac:dyDescent="0.25">
      <c r="A97" s="45" t="s">
        <v>104</v>
      </c>
      <c r="B97" s="19"/>
      <c r="C97" s="27"/>
      <c r="D97" s="27"/>
      <c r="E97" s="27"/>
      <c r="F97" s="20">
        <f>55000000-10259000</f>
        <v>44741000</v>
      </c>
      <c r="G97" s="27"/>
      <c r="H97" s="19">
        <f>+B97+C97+D97+G97+E97+F97</f>
        <v>44741000</v>
      </c>
      <c r="I97" s="27"/>
      <c r="J97" s="20">
        <f>+H97+I97</f>
        <v>44741000</v>
      </c>
      <c r="K97" s="20">
        <v>44740942</v>
      </c>
      <c r="L97" s="20">
        <f t="shared" si="16"/>
        <v>-58</v>
      </c>
      <c r="M97" s="21">
        <f t="shared" si="17"/>
        <v>0.99999870364989607</v>
      </c>
    </row>
    <row r="98" spans="1:13" s="44" customFormat="1" ht="15" collapsed="1" x14ac:dyDescent="0.25">
      <c r="A98" s="46" t="s">
        <v>105</v>
      </c>
      <c r="B98" s="19"/>
      <c r="C98" s="27"/>
      <c r="D98" s="27"/>
      <c r="E98" s="27"/>
      <c r="F98" s="27">
        <f>SUM(F99:F100)</f>
        <v>119471033</v>
      </c>
      <c r="G98" s="27"/>
      <c r="H98" s="27">
        <f>SUM(H99:H100)</f>
        <v>119471033</v>
      </c>
      <c r="I98" s="27"/>
      <c r="J98" s="27">
        <f>SUM(J99:J100)</f>
        <v>119471033</v>
      </c>
      <c r="K98" s="27">
        <f>SUM(K99:K100)</f>
        <v>102604332</v>
      </c>
      <c r="L98" s="27">
        <f t="shared" si="16"/>
        <v>-16866701</v>
      </c>
      <c r="M98" s="16">
        <f t="shared" si="17"/>
        <v>0.85882183675435364</v>
      </c>
    </row>
    <row r="99" spans="1:13" s="44" customFormat="1" ht="15" hidden="1" outlineLevel="1" x14ac:dyDescent="0.25">
      <c r="A99" s="45" t="s">
        <v>106</v>
      </c>
      <c r="B99" s="19"/>
      <c r="C99" s="27"/>
      <c r="D99" s="27"/>
      <c r="E99" s="27"/>
      <c r="F99" s="20">
        <v>36771033</v>
      </c>
      <c r="G99" s="27"/>
      <c r="H99" s="19">
        <f>+B99+C99+D99+G99+E99+F99</f>
        <v>36771033</v>
      </c>
      <c r="I99" s="27"/>
      <c r="J99" s="20">
        <f>+H99+I99</f>
        <v>36771033</v>
      </c>
      <c r="K99" s="20">
        <v>23788681</v>
      </c>
      <c r="L99" s="20">
        <f t="shared" si="16"/>
        <v>-12982352</v>
      </c>
      <c r="M99" s="21">
        <f t="shared" si="17"/>
        <v>0.64694078624334539</v>
      </c>
    </row>
    <row r="100" spans="1:13" s="44" customFormat="1" ht="15" hidden="1" outlineLevel="1" x14ac:dyDescent="0.25">
      <c r="A100" s="45" t="s">
        <v>107</v>
      </c>
      <c r="B100" s="19"/>
      <c r="C100" s="27"/>
      <c r="D100" s="27"/>
      <c r="E100" s="27"/>
      <c r="F100" s="20">
        <v>82700000</v>
      </c>
      <c r="G100" s="27"/>
      <c r="H100" s="19">
        <f>+B100+C100+D100+G100+E100+F100</f>
        <v>82700000</v>
      </c>
      <c r="I100" s="27"/>
      <c r="J100" s="20">
        <f>+H100+I100</f>
        <v>82700000</v>
      </c>
      <c r="K100" s="20">
        <v>78815651</v>
      </c>
      <c r="L100" s="20">
        <f t="shared" si="16"/>
        <v>-3884349</v>
      </c>
      <c r="M100" s="21">
        <f t="shared" si="17"/>
        <v>0.95303084643288993</v>
      </c>
    </row>
    <row r="101" spans="1:13" s="44" customFormat="1" ht="15" collapsed="1" x14ac:dyDescent="0.25">
      <c r="A101" s="46" t="s">
        <v>108</v>
      </c>
      <c r="B101" s="19"/>
      <c r="C101" s="27"/>
      <c r="D101" s="27"/>
      <c r="E101" s="27"/>
      <c r="F101" s="27">
        <f>SUM(F102:F103)</f>
        <v>109700393</v>
      </c>
      <c r="G101" s="27"/>
      <c r="H101" s="27">
        <f>SUM(H102:H103)</f>
        <v>109700393</v>
      </c>
      <c r="I101" s="27"/>
      <c r="J101" s="27">
        <f>SUM(J102:J103)</f>
        <v>109700393</v>
      </c>
      <c r="K101" s="27">
        <f>SUM(K102:K103)</f>
        <v>106858790</v>
      </c>
      <c r="L101" s="27">
        <f t="shared" si="16"/>
        <v>-2841603</v>
      </c>
      <c r="M101" s="16">
        <f t="shared" si="17"/>
        <v>0.97409669261622422</v>
      </c>
    </row>
    <row r="102" spans="1:13" s="44" customFormat="1" ht="15" hidden="1" outlineLevel="1" x14ac:dyDescent="0.25">
      <c r="A102" s="45" t="s">
        <v>109</v>
      </c>
      <c r="B102" s="19"/>
      <c r="C102" s="27"/>
      <c r="D102" s="27"/>
      <c r="E102" s="27"/>
      <c r="F102" s="20">
        <v>109700393</v>
      </c>
      <c r="G102" s="27"/>
      <c r="H102" s="19">
        <f>+B102+C102+D102+G102+E102+F102</f>
        <v>109700393</v>
      </c>
      <c r="I102" s="27"/>
      <c r="J102" s="20">
        <f>+H102+I102</f>
        <v>109700393</v>
      </c>
      <c r="K102" s="20">
        <v>106858790</v>
      </c>
      <c r="L102" s="20">
        <f t="shared" si="16"/>
        <v>-2841603</v>
      </c>
      <c r="M102" s="21">
        <f t="shared" si="17"/>
        <v>0.97409669261622422</v>
      </c>
    </row>
    <row r="103" spans="1:13" s="44" customFormat="1" ht="15" hidden="1" outlineLevel="1" x14ac:dyDescent="0.25">
      <c r="A103" s="45" t="s">
        <v>110</v>
      </c>
      <c r="B103" s="19"/>
      <c r="C103" s="27"/>
      <c r="D103" s="27"/>
      <c r="E103" s="27"/>
      <c r="F103" s="20"/>
      <c r="G103" s="27"/>
      <c r="H103" s="19">
        <f>+B103+C103+D103+G103+E103+F103</f>
        <v>0</v>
      </c>
      <c r="I103" s="27"/>
      <c r="J103" s="20">
        <f>+H103+I103</f>
        <v>0</v>
      </c>
      <c r="K103" s="20"/>
      <c r="L103" s="20">
        <f t="shared" si="16"/>
        <v>0</v>
      </c>
      <c r="M103" s="21">
        <f t="shared" si="17"/>
        <v>0</v>
      </c>
    </row>
    <row r="104" spans="1:13" s="44" customFormat="1" ht="15" collapsed="1" x14ac:dyDescent="0.25">
      <c r="A104" s="45"/>
      <c r="B104" s="19"/>
      <c r="C104" s="27"/>
      <c r="D104" s="27"/>
      <c r="E104" s="27"/>
      <c r="F104" s="27"/>
      <c r="G104" s="27"/>
      <c r="H104" s="19"/>
      <c r="I104" s="27"/>
      <c r="J104" s="20"/>
      <c r="K104" s="20"/>
      <c r="L104" s="20"/>
      <c r="M104" s="21"/>
    </row>
    <row r="105" spans="1:13" s="44" customFormat="1" ht="15" x14ac:dyDescent="0.25">
      <c r="A105" s="46" t="s">
        <v>111</v>
      </c>
      <c r="B105" s="27"/>
      <c r="C105" s="27"/>
      <c r="D105" s="27"/>
      <c r="E105" s="27"/>
      <c r="F105" s="27"/>
      <c r="G105" s="27">
        <f>+G106+G111+G114+G121+G124</f>
        <v>3978030613.9906001</v>
      </c>
      <c r="H105" s="27">
        <f>+H106+H111+H114+H121+H124</f>
        <v>3978030613.9906001</v>
      </c>
      <c r="I105" s="27"/>
      <c r="J105" s="27">
        <f>+J106+J111+J114+J121+J124</f>
        <v>3978030613.9906001</v>
      </c>
      <c r="K105" s="27">
        <f>+K106+K111+K114+K121+K124</f>
        <v>2836651410</v>
      </c>
      <c r="L105" s="27">
        <f t="shared" ref="L105:L127" si="20">+K105-J105</f>
        <v>-1141379203.9906001</v>
      </c>
      <c r="M105" s="16">
        <f t="shared" ref="M105:M127" si="21">IFERROR(K105/J105,0)</f>
        <v>0.71307933127100431</v>
      </c>
    </row>
    <row r="106" spans="1:13" s="44" customFormat="1" ht="15" x14ac:dyDescent="0.25">
      <c r="A106" s="46" t="s">
        <v>112</v>
      </c>
      <c r="B106" s="27"/>
      <c r="C106" s="27"/>
      <c r="D106" s="27"/>
      <c r="E106" s="15"/>
      <c r="F106" s="27"/>
      <c r="G106" s="15">
        <f>SUM(G107:G110)</f>
        <v>1163499676.3650002</v>
      </c>
      <c r="H106" s="15">
        <f>SUM(H107:H110)</f>
        <v>1163499676.3650002</v>
      </c>
      <c r="I106" s="27"/>
      <c r="J106" s="15">
        <f>SUM(J107:J110)</f>
        <v>1163499676.3650002</v>
      </c>
      <c r="K106" s="15">
        <f>SUM(K107:K110)</f>
        <v>770313902</v>
      </c>
      <c r="L106" s="15">
        <f t="shared" si="20"/>
        <v>-393185774.36500025</v>
      </c>
      <c r="M106" s="16">
        <f t="shared" si="21"/>
        <v>0.66206627955979391</v>
      </c>
    </row>
    <row r="107" spans="1:13" s="44" customFormat="1" ht="15" hidden="1" outlineLevel="1" x14ac:dyDescent="0.25">
      <c r="A107" s="45" t="s">
        <v>113</v>
      </c>
      <c r="B107" s="27"/>
      <c r="C107" s="27"/>
      <c r="D107" s="27"/>
      <c r="E107" s="19"/>
      <c r="F107" s="27"/>
      <c r="G107" s="19">
        <f>65064269.2+615654075</f>
        <v>680718344.20000005</v>
      </c>
      <c r="H107" s="19">
        <f>+B107+C107+D107+G107+E107+F107</f>
        <v>680718344.20000005</v>
      </c>
      <c r="I107" s="27"/>
      <c r="J107" s="20">
        <f>+H107+I107</f>
        <v>680718344.20000005</v>
      </c>
      <c r="K107" s="20">
        <v>619931267</v>
      </c>
      <c r="L107" s="20">
        <f t="shared" si="20"/>
        <v>-60787077.200000048</v>
      </c>
      <c r="M107" s="21">
        <f t="shared" si="21"/>
        <v>0.91070157324548262</v>
      </c>
    </row>
    <row r="108" spans="1:13" s="44" customFormat="1" ht="15" hidden="1" outlineLevel="1" x14ac:dyDescent="0.25">
      <c r="A108" s="45" t="s">
        <v>114</v>
      </c>
      <c r="B108" s="27"/>
      <c r="C108" s="27"/>
      <c r="D108" s="27"/>
      <c r="E108" s="19"/>
      <c r="F108" s="27"/>
      <c r="G108" s="19">
        <v>157819005.19999999</v>
      </c>
      <c r="H108" s="19">
        <f>+B108+C108+D108+G108+E108+F108</f>
        <v>157819005.19999999</v>
      </c>
      <c r="I108" s="27"/>
      <c r="J108" s="20">
        <f>+H108+I108</f>
        <v>157819005.19999999</v>
      </c>
      <c r="K108" s="20">
        <v>124398632</v>
      </c>
      <c r="L108" s="20">
        <f t="shared" si="20"/>
        <v>-33420373.199999988</v>
      </c>
      <c r="M108" s="21">
        <f t="shared" si="21"/>
        <v>0.78823606727436146</v>
      </c>
    </row>
    <row r="109" spans="1:13" s="44" customFormat="1" ht="15" hidden="1" outlineLevel="1" x14ac:dyDescent="0.25">
      <c r="A109" s="45" t="s">
        <v>115</v>
      </c>
      <c r="B109" s="27"/>
      <c r="C109" s="27"/>
      <c r="D109" s="27"/>
      <c r="E109" s="19"/>
      <c r="F109" s="27"/>
      <c r="G109" s="19">
        <f>12384742.965+6500000</f>
        <v>18884742.965</v>
      </c>
      <c r="H109" s="19">
        <f>+B109+C109+D109+G109+E109+F109</f>
        <v>18884742.965</v>
      </c>
      <c r="I109" s="27"/>
      <c r="J109" s="20">
        <f>+H109+I109</f>
        <v>18884742.965</v>
      </c>
      <c r="K109" s="20">
        <v>14381964</v>
      </c>
      <c r="L109" s="20">
        <f t="shared" si="20"/>
        <v>-4502778.9649999999</v>
      </c>
      <c r="M109" s="21">
        <f t="shared" si="21"/>
        <v>0.76156525014159759</v>
      </c>
    </row>
    <row r="110" spans="1:13" s="44" customFormat="1" ht="15" hidden="1" outlineLevel="1" x14ac:dyDescent="0.25">
      <c r="A110" s="45" t="s">
        <v>116</v>
      </c>
      <c r="B110" s="27"/>
      <c r="C110" s="27"/>
      <c r="D110" s="27"/>
      <c r="E110" s="19"/>
      <c r="F110" s="27"/>
      <c r="G110" s="19">
        <f>312577584-6500000</f>
        <v>306077584</v>
      </c>
      <c r="H110" s="19">
        <f>+B110+C110+D110+G110+E110+F110</f>
        <v>306077584</v>
      </c>
      <c r="I110" s="27"/>
      <c r="J110" s="20">
        <f>+H110+I110</f>
        <v>306077584</v>
      </c>
      <c r="K110" s="20">
        <v>11602039</v>
      </c>
      <c r="L110" s="20">
        <f t="shared" si="20"/>
        <v>-294475545</v>
      </c>
      <c r="M110" s="21">
        <f t="shared" si="21"/>
        <v>3.7905549463563462E-2</v>
      </c>
    </row>
    <row r="111" spans="1:13" s="44" customFormat="1" ht="15" collapsed="1" x14ac:dyDescent="0.25">
      <c r="A111" s="46" t="s">
        <v>117</v>
      </c>
      <c r="B111" s="27"/>
      <c r="C111" s="27"/>
      <c r="D111" s="27"/>
      <c r="E111" s="15"/>
      <c r="F111" s="27"/>
      <c r="G111" s="15">
        <f>SUM(G112:G113)</f>
        <v>163161838</v>
      </c>
      <c r="H111" s="15">
        <f>SUM(H112:H113)</f>
        <v>163161838</v>
      </c>
      <c r="I111" s="27"/>
      <c r="J111" s="15">
        <f>SUM(J112:J113)</f>
        <v>163161838</v>
      </c>
      <c r="K111" s="15">
        <f>SUM(K112:K113)</f>
        <v>123303218</v>
      </c>
      <c r="L111" s="15">
        <f t="shared" si="20"/>
        <v>-39858620</v>
      </c>
      <c r="M111" s="16">
        <f t="shared" si="21"/>
        <v>0.75571113632588527</v>
      </c>
    </row>
    <row r="112" spans="1:13" s="44" customFormat="1" ht="15" hidden="1" outlineLevel="1" x14ac:dyDescent="0.25">
      <c r="A112" s="45" t="s">
        <v>118</v>
      </c>
      <c r="B112" s="27"/>
      <c r="C112" s="27"/>
      <c r="D112" s="27"/>
      <c r="E112" s="19"/>
      <c r="F112" s="27"/>
      <c r="G112" s="19">
        <v>102865475</v>
      </c>
      <c r="H112" s="19">
        <f>+B112+C112+D112+G112+E112+F112</f>
        <v>102865475</v>
      </c>
      <c r="I112" s="27"/>
      <c r="J112" s="20">
        <f>+H112+I112</f>
        <v>102865475</v>
      </c>
      <c r="K112" s="20">
        <v>95224258</v>
      </c>
      <c r="L112" s="20">
        <f t="shared" si="20"/>
        <v>-7641217</v>
      </c>
      <c r="M112" s="21">
        <f t="shared" si="21"/>
        <v>0.92571640776460717</v>
      </c>
    </row>
    <row r="113" spans="1:13" s="44" customFormat="1" ht="15" hidden="1" outlineLevel="1" x14ac:dyDescent="0.25">
      <c r="A113" s="45" t="s">
        <v>119</v>
      </c>
      <c r="B113" s="27"/>
      <c r="C113" s="27"/>
      <c r="D113" s="27"/>
      <c r="E113" s="19"/>
      <c r="F113" s="27"/>
      <c r="G113" s="19">
        <v>60296363</v>
      </c>
      <c r="H113" s="19">
        <f>+B113+C113+D113+G113+E113+F113</f>
        <v>60296363</v>
      </c>
      <c r="I113" s="27"/>
      <c r="J113" s="20">
        <f>+H113+I113</f>
        <v>60296363</v>
      </c>
      <c r="K113" s="20">
        <v>28078960</v>
      </c>
      <c r="L113" s="20">
        <f t="shared" si="20"/>
        <v>-32217403</v>
      </c>
      <c r="M113" s="21">
        <f t="shared" si="21"/>
        <v>0.46568248237460025</v>
      </c>
    </row>
    <row r="114" spans="1:13" s="44" customFormat="1" ht="15" collapsed="1" x14ac:dyDescent="0.25">
      <c r="A114" s="46" t="s">
        <v>120</v>
      </c>
      <c r="B114" s="27"/>
      <c r="C114" s="27"/>
      <c r="D114" s="27"/>
      <c r="E114" s="15"/>
      <c r="F114" s="27"/>
      <c r="G114" s="15">
        <f>SUM(G115:G120)</f>
        <v>651719609</v>
      </c>
      <c r="H114" s="15">
        <f>SUM(H115:H120)</f>
        <v>651719609</v>
      </c>
      <c r="I114" s="27"/>
      <c r="J114" s="15">
        <f>SUM(J115:J120)</f>
        <v>651719609</v>
      </c>
      <c r="K114" s="15">
        <f>SUM(K115:K120)</f>
        <v>273398588</v>
      </c>
      <c r="L114" s="15">
        <f t="shared" si="20"/>
        <v>-378321021</v>
      </c>
      <c r="M114" s="16">
        <f t="shared" si="21"/>
        <v>0.41950339413525306</v>
      </c>
    </row>
    <row r="115" spans="1:13" s="44" customFormat="1" ht="15" hidden="1" outlineLevel="1" x14ac:dyDescent="0.25">
      <c r="A115" s="45" t="s">
        <v>121</v>
      </c>
      <c r="B115" s="27"/>
      <c r="C115" s="27"/>
      <c r="D115" s="27"/>
      <c r="E115" s="19"/>
      <c r="F115" s="27"/>
      <c r="G115" s="19">
        <v>26078722</v>
      </c>
      <c r="H115" s="19">
        <f t="shared" ref="H115:H120" si="22">+B115+C115+D115+G115+E115+F115</f>
        <v>26078722</v>
      </c>
      <c r="I115" s="27"/>
      <c r="J115" s="20">
        <f t="shared" ref="J115:J120" si="23">+H115+I115</f>
        <v>26078722</v>
      </c>
      <c r="K115" s="20">
        <v>25862660</v>
      </c>
      <c r="L115" s="20">
        <f t="shared" si="20"/>
        <v>-216062</v>
      </c>
      <c r="M115" s="21">
        <f t="shared" si="21"/>
        <v>0.99171500812041324</v>
      </c>
    </row>
    <row r="116" spans="1:13" s="44" customFormat="1" ht="15" hidden="1" outlineLevel="1" x14ac:dyDescent="0.25">
      <c r="A116" s="45" t="s">
        <v>120</v>
      </c>
      <c r="B116" s="27"/>
      <c r="C116" s="27"/>
      <c r="D116" s="27"/>
      <c r="E116" s="19"/>
      <c r="F116" s="27"/>
      <c r="G116" s="19">
        <v>533718407</v>
      </c>
      <c r="H116" s="19">
        <f t="shared" si="22"/>
        <v>533718407</v>
      </c>
      <c r="I116" s="27"/>
      <c r="J116" s="20">
        <f t="shared" si="23"/>
        <v>533718407</v>
      </c>
      <c r="K116" s="20">
        <v>178341449</v>
      </c>
      <c r="L116" s="20">
        <f t="shared" si="20"/>
        <v>-355376958</v>
      </c>
      <c r="M116" s="21">
        <f t="shared" si="21"/>
        <v>0.33414895694238256</v>
      </c>
    </row>
    <row r="117" spans="1:13" s="44" customFormat="1" ht="15" hidden="1" outlineLevel="1" x14ac:dyDescent="0.25">
      <c r="A117" s="45" t="s">
        <v>122</v>
      </c>
      <c r="B117" s="27"/>
      <c r="C117" s="27"/>
      <c r="D117" s="27"/>
      <c r="E117" s="19"/>
      <c r="F117" s="27"/>
      <c r="G117" s="19">
        <v>34947078</v>
      </c>
      <c r="H117" s="19">
        <f t="shared" si="22"/>
        <v>34947078</v>
      </c>
      <c r="I117" s="27"/>
      <c r="J117" s="20">
        <f t="shared" si="23"/>
        <v>34947078</v>
      </c>
      <c r="K117" s="20">
        <v>28281387</v>
      </c>
      <c r="L117" s="20">
        <f t="shared" si="20"/>
        <v>-6665691</v>
      </c>
      <c r="M117" s="21">
        <f t="shared" si="21"/>
        <v>0.80926328089575905</v>
      </c>
    </row>
    <row r="118" spans="1:13" s="44" customFormat="1" ht="15" hidden="1" outlineLevel="1" x14ac:dyDescent="0.25">
      <c r="A118" s="45" t="s">
        <v>123</v>
      </c>
      <c r="B118" s="27"/>
      <c r="C118" s="27"/>
      <c r="D118" s="27"/>
      <c r="E118" s="19"/>
      <c r="F118" s="27"/>
      <c r="G118" s="19">
        <v>40009307</v>
      </c>
      <c r="H118" s="19">
        <f t="shared" si="22"/>
        <v>40009307</v>
      </c>
      <c r="I118" s="27"/>
      <c r="J118" s="20">
        <f t="shared" si="23"/>
        <v>40009307</v>
      </c>
      <c r="K118" s="20">
        <v>32262963</v>
      </c>
      <c r="L118" s="20">
        <f t="shared" si="20"/>
        <v>-7746344</v>
      </c>
      <c r="M118" s="21">
        <f t="shared" si="21"/>
        <v>0.8063864490329713</v>
      </c>
    </row>
    <row r="119" spans="1:13" s="44" customFormat="1" ht="15" hidden="1" outlineLevel="1" x14ac:dyDescent="0.25">
      <c r="A119" s="45" t="s">
        <v>124</v>
      </c>
      <c r="B119" s="27"/>
      <c r="C119" s="27"/>
      <c r="D119" s="27"/>
      <c r="E119" s="19"/>
      <c r="F119" s="27"/>
      <c r="G119" s="19">
        <v>15270003</v>
      </c>
      <c r="H119" s="19">
        <f t="shared" si="22"/>
        <v>15270003</v>
      </c>
      <c r="I119" s="27"/>
      <c r="J119" s="20">
        <f t="shared" si="23"/>
        <v>15270003</v>
      </c>
      <c r="K119" s="20">
        <v>7095337</v>
      </c>
      <c r="L119" s="20">
        <f t="shared" si="20"/>
        <v>-8174666</v>
      </c>
      <c r="M119" s="21">
        <f t="shared" si="21"/>
        <v>0.46465852036833261</v>
      </c>
    </row>
    <row r="120" spans="1:13" s="44" customFormat="1" ht="15" hidden="1" outlineLevel="1" x14ac:dyDescent="0.25">
      <c r="A120" s="45" t="s">
        <v>125</v>
      </c>
      <c r="B120" s="27"/>
      <c r="C120" s="27"/>
      <c r="D120" s="27"/>
      <c r="E120" s="19"/>
      <c r="F120" s="27"/>
      <c r="G120" s="19">
        <v>1696092</v>
      </c>
      <c r="H120" s="19">
        <f t="shared" si="22"/>
        <v>1696092</v>
      </c>
      <c r="I120" s="27"/>
      <c r="J120" s="20">
        <f t="shared" si="23"/>
        <v>1696092</v>
      </c>
      <c r="K120" s="20">
        <v>1554792</v>
      </c>
      <c r="L120" s="20">
        <f t="shared" si="20"/>
        <v>-141300</v>
      </c>
      <c r="M120" s="21">
        <f t="shared" si="21"/>
        <v>0.9166908398836856</v>
      </c>
    </row>
    <row r="121" spans="1:13" s="44" customFormat="1" ht="15" collapsed="1" x14ac:dyDescent="0.25">
      <c r="A121" s="46" t="s">
        <v>126</v>
      </c>
      <c r="B121" s="27"/>
      <c r="C121" s="27"/>
      <c r="D121" s="27"/>
      <c r="E121" s="15"/>
      <c r="F121" s="27"/>
      <c r="G121" s="15">
        <f>SUM(G122:G123)</f>
        <v>186958548</v>
      </c>
      <c r="H121" s="15">
        <f>SUM(H122:H123)</f>
        <v>186958548</v>
      </c>
      <c r="I121" s="27"/>
      <c r="J121" s="15">
        <f>SUM(J122:J123)</f>
        <v>186958548</v>
      </c>
      <c r="K121" s="15">
        <f>SUM(K122:K123)</f>
        <v>134117994</v>
      </c>
      <c r="L121" s="15">
        <f t="shared" si="20"/>
        <v>-52840554</v>
      </c>
      <c r="M121" s="16">
        <f t="shared" si="21"/>
        <v>0.71736754181467011</v>
      </c>
    </row>
    <row r="122" spans="1:13" s="44" customFormat="1" ht="15" hidden="1" outlineLevel="1" x14ac:dyDescent="0.25">
      <c r="A122" s="45" t="s">
        <v>127</v>
      </c>
      <c r="B122" s="27"/>
      <c r="C122" s="27"/>
      <c r="D122" s="27"/>
      <c r="E122" s="19"/>
      <c r="F122" s="27"/>
      <c r="G122" s="19">
        <v>60000000</v>
      </c>
      <c r="H122" s="19">
        <f>+B122+C122+D122+G122+E122+F122</f>
        <v>60000000</v>
      </c>
      <c r="I122" s="27"/>
      <c r="J122" s="20">
        <f>+H122+I122</f>
        <v>60000000</v>
      </c>
      <c r="K122" s="20">
        <v>39157960</v>
      </c>
      <c r="L122" s="20">
        <f t="shared" si="20"/>
        <v>-20842040</v>
      </c>
      <c r="M122" s="21">
        <f t="shared" si="21"/>
        <v>0.65263266666666664</v>
      </c>
    </row>
    <row r="123" spans="1:13" s="44" customFormat="1" ht="15" hidden="1" outlineLevel="1" x14ac:dyDescent="0.25">
      <c r="A123" s="45" t="s">
        <v>128</v>
      </c>
      <c r="B123" s="27"/>
      <c r="C123" s="27"/>
      <c r="D123" s="27"/>
      <c r="E123" s="19"/>
      <c r="F123" s="27"/>
      <c r="G123" s="19">
        <v>126958548</v>
      </c>
      <c r="H123" s="19">
        <f>+B123+C123+D123+G123+E123+F123</f>
        <v>126958548</v>
      </c>
      <c r="I123" s="27"/>
      <c r="J123" s="20">
        <f>+H123+I123</f>
        <v>126958548</v>
      </c>
      <c r="K123" s="20">
        <v>94960034</v>
      </c>
      <c r="L123" s="20">
        <f t="shared" si="20"/>
        <v>-31998514</v>
      </c>
      <c r="M123" s="21">
        <f t="shared" si="21"/>
        <v>0.74796093288653553</v>
      </c>
    </row>
    <row r="124" spans="1:13" s="44" customFormat="1" ht="15" collapsed="1" x14ac:dyDescent="0.25">
      <c r="A124" s="46" t="s">
        <v>129</v>
      </c>
      <c r="B124" s="27"/>
      <c r="C124" s="27"/>
      <c r="D124" s="27"/>
      <c r="E124" s="27"/>
      <c r="F124" s="27"/>
      <c r="G124" s="27">
        <f>SUM(G125:G127)</f>
        <v>1812690942.6255999</v>
      </c>
      <c r="H124" s="27">
        <f>SUM(H125:H127)</f>
        <v>1812690942.6255999</v>
      </c>
      <c r="I124" s="27"/>
      <c r="J124" s="27">
        <f>SUM(J125:J127)</f>
        <v>1812690942.6255999</v>
      </c>
      <c r="K124" s="27">
        <f>SUM(K125:K127)</f>
        <v>1535517708</v>
      </c>
      <c r="L124" s="27">
        <f t="shared" si="20"/>
        <v>-277173234.62559986</v>
      </c>
      <c r="M124" s="16">
        <f t="shared" si="21"/>
        <v>0.84709294446844474</v>
      </c>
    </row>
    <row r="125" spans="1:13" s="44" customFormat="1" ht="15" hidden="1" outlineLevel="1" x14ac:dyDescent="0.25">
      <c r="A125" s="45" t="s">
        <v>130</v>
      </c>
      <c r="B125" s="27"/>
      <c r="C125" s="27"/>
      <c r="D125" s="27"/>
      <c r="E125" s="20"/>
      <c r="F125" s="27"/>
      <c r="G125" s="20">
        <f>1183725931.704+566360764</f>
        <v>1750086695.704</v>
      </c>
      <c r="H125" s="19">
        <f>+B125+C125+D125+G125+E125+F125</f>
        <v>1750086695.704</v>
      </c>
      <c r="I125" s="27"/>
      <c r="J125" s="20">
        <f>+H125+I125</f>
        <v>1750086695.704</v>
      </c>
      <c r="K125" s="20">
        <v>1503039288</v>
      </c>
      <c r="L125" s="20">
        <f t="shared" si="20"/>
        <v>-247047407.704</v>
      </c>
      <c r="M125" s="21">
        <f t="shared" si="21"/>
        <v>0.85883704601009991</v>
      </c>
    </row>
    <row r="126" spans="1:13" s="44" customFormat="1" ht="15" hidden="1" outlineLevel="1" x14ac:dyDescent="0.25">
      <c r="A126" s="45" t="s">
        <v>131</v>
      </c>
      <c r="B126" s="27"/>
      <c r="C126" s="27"/>
      <c r="D126" s="27"/>
      <c r="E126" s="20"/>
      <c r="F126" s="27"/>
      <c r="G126" s="20">
        <v>42311865.081599995</v>
      </c>
      <c r="H126" s="19">
        <f>+B126+C126+D126+G126+E126+F126</f>
        <v>42311865.081599995</v>
      </c>
      <c r="I126" s="27"/>
      <c r="J126" s="20">
        <f>+H126+I126</f>
        <v>42311865.081599995</v>
      </c>
      <c r="K126" s="20">
        <v>18348760</v>
      </c>
      <c r="L126" s="20">
        <f t="shared" si="20"/>
        <v>-23963105.081599995</v>
      </c>
      <c r="M126" s="21">
        <f t="shared" si="21"/>
        <v>0.43365519257101376</v>
      </c>
    </row>
    <row r="127" spans="1:13" s="44" customFormat="1" ht="15" hidden="1" outlineLevel="1" x14ac:dyDescent="0.25">
      <c r="A127" s="45" t="s">
        <v>132</v>
      </c>
      <c r="B127" s="27"/>
      <c r="C127" s="27"/>
      <c r="D127" s="27"/>
      <c r="E127" s="20"/>
      <c r="F127" s="27"/>
      <c r="G127" s="20">
        <v>20292381.840000004</v>
      </c>
      <c r="H127" s="19">
        <f>+B127+C127+D127+G127+E127+F127</f>
        <v>20292381.840000004</v>
      </c>
      <c r="I127" s="27"/>
      <c r="J127" s="20">
        <f>+H127+I127</f>
        <v>20292381.840000004</v>
      </c>
      <c r="K127" s="20">
        <v>14129660</v>
      </c>
      <c r="L127" s="20">
        <f t="shared" si="20"/>
        <v>-6162721.8400000036</v>
      </c>
      <c r="M127" s="21">
        <f t="shared" si="21"/>
        <v>0.69630367255103842</v>
      </c>
    </row>
    <row r="128" spans="1:13" s="44" customFormat="1" ht="15" collapsed="1" x14ac:dyDescent="0.25">
      <c r="A128" s="45"/>
      <c r="B128" s="27"/>
      <c r="C128" s="27"/>
      <c r="D128" s="27"/>
      <c r="E128" s="20"/>
      <c r="F128" s="27"/>
      <c r="G128" s="20"/>
      <c r="H128" s="19"/>
      <c r="I128" s="27"/>
      <c r="J128" s="20"/>
      <c r="K128" s="20"/>
      <c r="L128" s="20"/>
      <c r="M128" s="21"/>
    </row>
    <row r="129" spans="1:13" s="49" customFormat="1" ht="15" x14ac:dyDescent="0.25">
      <c r="A129" s="46" t="s">
        <v>133</v>
      </c>
      <c r="B129" s="47"/>
      <c r="C129" s="15">
        <f>+C130+C137+C145</f>
        <v>458319492</v>
      </c>
      <c r="D129" s="47"/>
      <c r="E129" s="48"/>
      <c r="F129" s="47"/>
      <c r="G129" s="48"/>
      <c r="H129" s="15">
        <f>+H130+H137+H145</f>
        <v>458319492</v>
      </c>
      <c r="I129" s="47"/>
      <c r="J129" s="15">
        <f>+H129+I129</f>
        <v>458319492</v>
      </c>
      <c r="K129" s="15">
        <f>+K130+K137+K145</f>
        <v>383582368</v>
      </c>
      <c r="L129" s="15">
        <f t="shared" ref="L129:L149" si="24">+K129-J129</f>
        <v>-74737124</v>
      </c>
      <c r="M129" s="16">
        <f t="shared" ref="M129:M149" si="25">IFERROR(K129/J129,0)</f>
        <v>0.83693225947283079</v>
      </c>
    </row>
    <row r="130" spans="1:13" s="44" customFormat="1" ht="15" x14ac:dyDescent="0.25">
      <c r="A130" s="46" t="s">
        <v>134</v>
      </c>
      <c r="B130" s="47"/>
      <c r="C130" s="27">
        <f>SUM(C131:C136)</f>
        <v>150116914</v>
      </c>
      <c r="D130" s="27"/>
      <c r="E130" s="27"/>
      <c r="F130" s="27"/>
      <c r="G130" s="27"/>
      <c r="H130" s="15">
        <f>+B130+C130+D130+G130+E130+F130</f>
        <v>150116914</v>
      </c>
      <c r="I130" s="15"/>
      <c r="J130" s="27">
        <f>SUM(J131:J136)</f>
        <v>150116914</v>
      </c>
      <c r="K130" s="27">
        <f>SUM(K131:K136)</f>
        <v>106413302</v>
      </c>
      <c r="L130" s="27">
        <f t="shared" si="24"/>
        <v>-43703612</v>
      </c>
      <c r="M130" s="16">
        <f t="shared" si="25"/>
        <v>0.70886950154064587</v>
      </c>
    </row>
    <row r="131" spans="1:13" s="44" customFormat="1" ht="15" hidden="1" outlineLevel="1" x14ac:dyDescent="0.25">
      <c r="A131" s="45" t="s">
        <v>135</v>
      </c>
      <c r="B131" s="47"/>
      <c r="C131" s="20">
        <v>19138</v>
      </c>
      <c r="D131" s="27"/>
      <c r="E131" s="27"/>
      <c r="F131" s="27"/>
      <c r="G131" s="27"/>
      <c r="H131" s="20">
        <f>+B131+C131+D131+G131+E131+F131</f>
        <v>19138</v>
      </c>
      <c r="I131" s="15"/>
      <c r="J131" s="20">
        <f t="shared" ref="J131:J149" si="26">+H131+I131</f>
        <v>19138</v>
      </c>
      <c r="K131" s="20"/>
      <c r="L131" s="20">
        <f t="shared" si="24"/>
        <v>-19138</v>
      </c>
      <c r="M131" s="21">
        <f t="shared" si="25"/>
        <v>0</v>
      </c>
    </row>
    <row r="132" spans="1:13" s="44" customFormat="1" ht="15" hidden="1" outlineLevel="1" x14ac:dyDescent="0.25">
      <c r="A132" s="45" t="s">
        <v>136</v>
      </c>
      <c r="B132" s="47"/>
      <c r="C132" s="20">
        <v>68849094</v>
      </c>
      <c r="D132" s="27"/>
      <c r="E132" s="27"/>
      <c r="F132" s="27"/>
      <c r="G132" s="27"/>
      <c r="H132" s="20">
        <f t="shared" ref="H132:H149" si="27">+B132+C132+D132+G132+E132+F132</f>
        <v>68849094</v>
      </c>
      <c r="I132" s="15"/>
      <c r="J132" s="20">
        <f t="shared" si="26"/>
        <v>68849094</v>
      </c>
      <c r="K132" s="20">
        <v>36502370</v>
      </c>
      <c r="L132" s="20">
        <f t="shared" si="24"/>
        <v>-32346724</v>
      </c>
      <c r="M132" s="21">
        <f t="shared" si="25"/>
        <v>0.5301793804287388</v>
      </c>
    </row>
    <row r="133" spans="1:13" s="44" customFormat="1" ht="15" hidden="1" outlineLevel="1" x14ac:dyDescent="0.25">
      <c r="A133" s="45" t="s">
        <v>137</v>
      </c>
      <c r="B133" s="47"/>
      <c r="C133" s="20">
        <v>57000000</v>
      </c>
      <c r="D133" s="27"/>
      <c r="E133" s="27"/>
      <c r="F133" s="27"/>
      <c r="G133" s="27"/>
      <c r="H133" s="20">
        <f t="shared" si="27"/>
        <v>57000000</v>
      </c>
      <c r="I133" s="15"/>
      <c r="J133" s="20">
        <f t="shared" si="26"/>
        <v>57000000</v>
      </c>
      <c r="K133" s="20">
        <v>56094544</v>
      </c>
      <c r="L133" s="20">
        <f t="shared" si="24"/>
        <v>-905456</v>
      </c>
      <c r="M133" s="21">
        <f t="shared" si="25"/>
        <v>0.98411480701754384</v>
      </c>
    </row>
    <row r="134" spans="1:13" s="44" customFormat="1" ht="15" hidden="1" outlineLevel="1" x14ac:dyDescent="0.25">
      <c r="A134" s="45" t="s">
        <v>138</v>
      </c>
      <c r="B134" s="47"/>
      <c r="C134" s="20">
        <v>5489777</v>
      </c>
      <c r="D134" s="27"/>
      <c r="E134" s="27"/>
      <c r="F134" s="27"/>
      <c r="G134" s="27"/>
      <c r="H134" s="20">
        <f t="shared" si="27"/>
        <v>5489777</v>
      </c>
      <c r="I134" s="15"/>
      <c r="J134" s="20">
        <f t="shared" si="26"/>
        <v>5489777</v>
      </c>
      <c r="K134" s="20">
        <v>3636080</v>
      </c>
      <c r="L134" s="20">
        <f t="shared" si="24"/>
        <v>-1853697</v>
      </c>
      <c r="M134" s="21">
        <f t="shared" si="25"/>
        <v>0.66233655756873189</v>
      </c>
    </row>
    <row r="135" spans="1:13" s="44" customFormat="1" ht="15" hidden="1" outlineLevel="1" x14ac:dyDescent="0.25">
      <c r="A135" s="45" t="s">
        <v>139</v>
      </c>
      <c r="B135" s="47"/>
      <c r="C135" s="20">
        <v>8758905</v>
      </c>
      <c r="D135" s="27"/>
      <c r="E135" s="27"/>
      <c r="F135" s="27"/>
      <c r="G135" s="27"/>
      <c r="H135" s="20">
        <f t="shared" si="27"/>
        <v>8758905</v>
      </c>
      <c r="I135" s="15"/>
      <c r="J135" s="20">
        <f t="shared" si="26"/>
        <v>8758905</v>
      </c>
      <c r="K135" s="20">
        <v>4027668</v>
      </c>
      <c r="L135" s="20">
        <f t="shared" si="24"/>
        <v>-4731237</v>
      </c>
      <c r="M135" s="21">
        <f t="shared" si="25"/>
        <v>0.45983693167125345</v>
      </c>
    </row>
    <row r="136" spans="1:13" s="44" customFormat="1" ht="15" hidden="1" outlineLevel="1" x14ac:dyDescent="0.25">
      <c r="A136" s="45" t="s">
        <v>140</v>
      </c>
      <c r="B136" s="47"/>
      <c r="C136" s="20">
        <v>10000000</v>
      </c>
      <c r="D136" s="27"/>
      <c r="E136" s="27"/>
      <c r="F136" s="27"/>
      <c r="G136" s="27"/>
      <c r="H136" s="20">
        <f t="shared" si="27"/>
        <v>10000000</v>
      </c>
      <c r="I136" s="15"/>
      <c r="J136" s="20">
        <f t="shared" si="26"/>
        <v>10000000</v>
      </c>
      <c r="K136" s="20">
        <v>6152640</v>
      </c>
      <c r="L136" s="20">
        <f t="shared" si="24"/>
        <v>-3847360</v>
      </c>
      <c r="M136" s="21">
        <f t="shared" si="25"/>
        <v>0.61526400000000003</v>
      </c>
    </row>
    <row r="137" spans="1:13" s="44" customFormat="1" ht="15" collapsed="1" x14ac:dyDescent="0.25">
      <c r="A137" s="46" t="s">
        <v>141</v>
      </c>
      <c r="B137" s="47"/>
      <c r="C137" s="27">
        <f>SUM(C138:C144)</f>
        <v>282714144</v>
      </c>
      <c r="D137" s="27"/>
      <c r="E137" s="27"/>
      <c r="F137" s="27"/>
      <c r="G137" s="27"/>
      <c r="H137" s="15">
        <f>+B137+C137+D137+G137+E137+F137</f>
        <v>282714144</v>
      </c>
      <c r="I137" s="15"/>
      <c r="J137" s="27">
        <f>SUM(J138:J144)</f>
        <v>282714144</v>
      </c>
      <c r="K137" s="27">
        <f>SUM(K138:K144)</f>
        <v>254572405</v>
      </c>
      <c r="L137" s="27">
        <f t="shared" si="24"/>
        <v>-28141739</v>
      </c>
      <c r="M137" s="16">
        <f t="shared" si="25"/>
        <v>0.90045868027034404</v>
      </c>
    </row>
    <row r="138" spans="1:13" s="44" customFormat="1" ht="15" hidden="1" outlineLevel="1" x14ac:dyDescent="0.25">
      <c r="A138" s="45" t="s">
        <v>135</v>
      </c>
      <c r="B138" s="47"/>
      <c r="C138" s="20">
        <v>1207410</v>
      </c>
      <c r="D138" s="27"/>
      <c r="E138" s="27"/>
      <c r="F138" s="27"/>
      <c r="G138" s="27"/>
      <c r="H138" s="20">
        <f t="shared" si="27"/>
        <v>1207410</v>
      </c>
      <c r="I138" s="15"/>
      <c r="J138" s="20">
        <f t="shared" si="26"/>
        <v>1207410</v>
      </c>
      <c r="K138" s="20">
        <v>400000</v>
      </c>
      <c r="L138" s="20">
        <f t="shared" si="24"/>
        <v>-807410</v>
      </c>
      <c r="M138" s="21">
        <f t="shared" si="25"/>
        <v>0.33128763220447072</v>
      </c>
    </row>
    <row r="139" spans="1:13" s="44" customFormat="1" ht="15" hidden="1" outlineLevel="1" x14ac:dyDescent="0.25">
      <c r="A139" s="45" t="s">
        <v>142</v>
      </c>
      <c r="B139" s="47"/>
      <c r="C139" s="20">
        <v>12533334</v>
      </c>
      <c r="D139" s="27"/>
      <c r="E139" s="27"/>
      <c r="F139" s="27"/>
      <c r="G139" s="27"/>
      <c r="H139" s="20">
        <f t="shared" si="27"/>
        <v>12533334</v>
      </c>
      <c r="I139" s="15"/>
      <c r="J139" s="20">
        <f t="shared" si="26"/>
        <v>12533334</v>
      </c>
      <c r="K139" s="20">
        <v>11066666</v>
      </c>
      <c r="L139" s="20">
        <f t="shared" si="24"/>
        <v>-1466668</v>
      </c>
      <c r="M139" s="21">
        <f t="shared" si="25"/>
        <v>0.88297862324581788</v>
      </c>
    </row>
    <row r="140" spans="1:13" s="44" customFormat="1" ht="15" hidden="1" outlineLevel="1" x14ac:dyDescent="0.25">
      <c r="A140" s="45" t="s">
        <v>143</v>
      </c>
      <c r="B140" s="47"/>
      <c r="C140" s="20">
        <v>142200921</v>
      </c>
      <c r="D140" s="27"/>
      <c r="E140" s="27"/>
      <c r="F140" s="27"/>
      <c r="G140" s="27"/>
      <c r="H140" s="20">
        <f t="shared" si="27"/>
        <v>142200921</v>
      </c>
      <c r="I140" s="15"/>
      <c r="J140" s="20">
        <f t="shared" si="26"/>
        <v>142200921</v>
      </c>
      <c r="K140" s="20">
        <v>129276572</v>
      </c>
      <c r="L140" s="20">
        <f t="shared" si="24"/>
        <v>-12924349</v>
      </c>
      <c r="M140" s="21">
        <f t="shared" si="25"/>
        <v>0.90911205842330656</v>
      </c>
    </row>
    <row r="141" spans="1:13" s="44" customFormat="1" ht="15" hidden="1" outlineLevel="1" x14ac:dyDescent="0.25">
      <c r="A141" s="45" t="s">
        <v>144</v>
      </c>
      <c r="B141" s="47"/>
      <c r="C141" s="20">
        <v>77886133</v>
      </c>
      <c r="D141" s="27"/>
      <c r="E141" s="27"/>
      <c r="F141" s="27"/>
      <c r="G141" s="27"/>
      <c r="H141" s="20">
        <f t="shared" si="27"/>
        <v>77886133</v>
      </c>
      <c r="I141" s="15"/>
      <c r="J141" s="20">
        <f t="shared" si="26"/>
        <v>77886133</v>
      </c>
      <c r="K141" s="20">
        <v>76348792</v>
      </c>
      <c r="L141" s="20">
        <f t="shared" si="24"/>
        <v>-1537341</v>
      </c>
      <c r="M141" s="21">
        <f t="shared" si="25"/>
        <v>0.98026168535033054</v>
      </c>
    </row>
    <row r="142" spans="1:13" s="44" customFormat="1" ht="15" hidden="1" outlineLevel="1" x14ac:dyDescent="0.25">
      <c r="A142" s="45" t="s">
        <v>145</v>
      </c>
      <c r="B142" s="47"/>
      <c r="C142" s="20">
        <v>28886346</v>
      </c>
      <c r="D142" s="27"/>
      <c r="E142" s="27"/>
      <c r="F142" s="27"/>
      <c r="G142" s="27"/>
      <c r="H142" s="20">
        <f t="shared" si="27"/>
        <v>28886346</v>
      </c>
      <c r="I142" s="15"/>
      <c r="J142" s="20">
        <f t="shared" si="26"/>
        <v>28886346</v>
      </c>
      <c r="K142" s="20">
        <v>24359325</v>
      </c>
      <c r="L142" s="20">
        <f t="shared" si="24"/>
        <v>-4527021</v>
      </c>
      <c r="M142" s="21">
        <f t="shared" si="25"/>
        <v>0.84328163209012308</v>
      </c>
    </row>
    <row r="143" spans="1:13" s="44" customFormat="1" ht="15" hidden="1" outlineLevel="1" x14ac:dyDescent="0.25">
      <c r="A143" s="45" t="s">
        <v>146</v>
      </c>
      <c r="B143" s="47"/>
      <c r="C143" s="20">
        <v>15000000</v>
      </c>
      <c r="D143" s="27"/>
      <c r="E143" s="27"/>
      <c r="F143" s="27"/>
      <c r="G143" s="27"/>
      <c r="H143" s="20">
        <f t="shared" si="27"/>
        <v>15000000</v>
      </c>
      <c r="I143" s="15"/>
      <c r="J143" s="20">
        <f t="shared" si="26"/>
        <v>15000000</v>
      </c>
      <c r="K143" s="20">
        <v>8370008</v>
      </c>
      <c r="L143" s="20">
        <f t="shared" si="24"/>
        <v>-6629992</v>
      </c>
      <c r="M143" s="21">
        <f t="shared" si="25"/>
        <v>0.55800053333333333</v>
      </c>
    </row>
    <row r="144" spans="1:13" s="44" customFormat="1" ht="15" hidden="1" outlineLevel="1" x14ac:dyDescent="0.25">
      <c r="A144" s="45" t="s">
        <v>147</v>
      </c>
      <c r="B144" s="47"/>
      <c r="C144" s="20">
        <v>5000000</v>
      </c>
      <c r="D144" s="27"/>
      <c r="E144" s="27"/>
      <c r="F144" s="27"/>
      <c r="G144" s="27"/>
      <c r="H144" s="20">
        <f t="shared" si="27"/>
        <v>5000000</v>
      </c>
      <c r="I144" s="15"/>
      <c r="J144" s="20">
        <f t="shared" si="26"/>
        <v>5000000</v>
      </c>
      <c r="K144" s="20">
        <v>4751042</v>
      </c>
      <c r="L144" s="20">
        <f t="shared" si="24"/>
        <v>-248958</v>
      </c>
      <c r="M144" s="21">
        <f t="shared" si="25"/>
        <v>0.95020839999999995</v>
      </c>
    </row>
    <row r="145" spans="1:13" s="44" customFormat="1" ht="15" collapsed="1" x14ac:dyDescent="0.25">
      <c r="A145" s="46" t="s">
        <v>148</v>
      </c>
      <c r="B145" s="47"/>
      <c r="C145" s="27">
        <f>SUM(C146:C149)</f>
        <v>25488434</v>
      </c>
      <c r="D145" s="27"/>
      <c r="E145" s="27"/>
      <c r="F145" s="27"/>
      <c r="G145" s="27"/>
      <c r="H145" s="15">
        <f>+B145+C145+D145+G145+E145+F145</f>
        <v>25488434</v>
      </c>
      <c r="I145" s="15"/>
      <c r="J145" s="27">
        <f>SUM(J146:J149)</f>
        <v>25488434</v>
      </c>
      <c r="K145" s="27">
        <f>SUM(K146:K149)</f>
        <v>22596661</v>
      </c>
      <c r="L145" s="27">
        <f t="shared" si="24"/>
        <v>-2891773</v>
      </c>
      <c r="M145" s="16">
        <f t="shared" si="25"/>
        <v>0.88654567793376404</v>
      </c>
    </row>
    <row r="146" spans="1:13" s="44" customFormat="1" ht="15" hidden="1" outlineLevel="1" x14ac:dyDescent="0.25">
      <c r="A146" s="45" t="s">
        <v>149</v>
      </c>
      <c r="B146" s="47"/>
      <c r="C146" s="20">
        <v>11912513</v>
      </c>
      <c r="D146" s="27"/>
      <c r="E146" s="27"/>
      <c r="F146" s="27"/>
      <c r="G146" s="27"/>
      <c r="H146" s="20">
        <f t="shared" si="27"/>
        <v>11912513</v>
      </c>
      <c r="I146" s="15"/>
      <c r="J146" s="20">
        <f t="shared" si="26"/>
        <v>11912513</v>
      </c>
      <c r="K146" s="20">
        <v>11398667</v>
      </c>
      <c r="L146" s="20">
        <f t="shared" si="24"/>
        <v>-513846</v>
      </c>
      <c r="M146" s="21">
        <f t="shared" si="25"/>
        <v>0.95686502083985137</v>
      </c>
    </row>
    <row r="147" spans="1:13" s="44" customFormat="1" ht="15" hidden="1" outlineLevel="1" x14ac:dyDescent="0.25">
      <c r="A147" s="45" t="s">
        <v>150</v>
      </c>
      <c r="B147" s="47"/>
      <c r="C147" s="20">
        <v>1656002</v>
      </c>
      <c r="D147" s="27"/>
      <c r="E147" s="27"/>
      <c r="F147" s="27"/>
      <c r="G147" s="27"/>
      <c r="H147" s="20">
        <f t="shared" si="27"/>
        <v>1656002</v>
      </c>
      <c r="I147" s="15"/>
      <c r="J147" s="20">
        <f t="shared" si="26"/>
        <v>1656002</v>
      </c>
      <c r="K147" s="20">
        <v>1656002</v>
      </c>
      <c r="L147" s="20">
        <f t="shared" si="24"/>
        <v>0</v>
      </c>
      <c r="M147" s="21">
        <f t="shared" si="25"/>
        <v>1</v>
      </c>
    </row>
    <row r="148" spans="1:13" s="44" customFormat="1" ht="15" hidden="1" outlineLevel="1" x14ac:dyDescent="0.25">
      <c r="A148" s="45" t="s">
        <v>151</v>
      </c>
      <c r="B148" s="47"/>
      <c r="C148" s="20">
        <f>3781166-25502</f>
        <v>3755664</v>
      </c>
      <c r="D148" s="27"/>
      <c r="E148" s="27"/>
      <c r="F148" s="27"/>
      <c r="G148" s="27"/>
      <c r="H148" s="20">
        <f t="shared" si="27"/>
        <v>3755664</v>
      </c>
      <c r="I148" s="15"/>
      <c r="J148" s="20">
        <f t="shared" si="26"/>
        <v>3755664</v>
      </c>
      <c r="K148" s="20">
        <v>1377737</v>
      </c>
      <c r="L148" s="20">
        <f t="shared" si="24"/>
        <v>-2377927</v>
      </c>
      <c r="M148" s="21">
        <f t="shared" si="25"/>
        <v>0.36684245449007152</v>
      </c>
    </row>
    <row r="149" spans="1:13" s="44" customFormat="1" ht="15" hidden="1" outlineLevel="1" x14ac:dyDescent="0.25">
      <c r="A149" s="45" t="s">
        <v>152</v>
      </c>
      <c r="B149" s="47"/>
      <c r="C149" s="20">
        <f>8138753+25502</f>
        <v>8164255</v>
      </c>
      <c r="D149" s="27"/>
      <c r="E149" s="27"/>
      <c r="F149" s="27"/>
      <c r="G149" s="27"/>
      <c r="H149" s="20">
        <f t="shared" si="27"/>
        <v>8164255</v>
      </c>
      <c r="I149" s="15"/>
      <c r="J149" s="20">
        <f t="shared" si="26"/>
        <v>8164255</v>
      </c>
      <c r="K149" s="20">
        <v>8164255</v>
      </c>
      <c r="L149" s="20">
        <f t="shared" si="24"/>
        <v>0</v>
      </c>
      <c r="M149" s="21">
        <f t="shared" si="25"/>
        <v>1</v>
      </c>
    </row>
    <row r="150" spans="1:13" s="44" customFormat="1" ht="15" collapsed="1" x14ac:dyDescent="0.25">
      <c r="A150" s="45"/>
      <c r="B150" s="47"/>
      <c r="C150" s="27"/>
      <c r="D150" s="27"/>
      <c r="E150" s="27"/>
      <c r="F150" s="27"/>
      <c r="G150" s="27"/>
      <c r="H150" s="20"/>
      <c r="I150" s="27"/>
      <c r="J150" s="20"/>
      <c r="K150" s="20"/>
      <c r="L150" s="20"/>
      <c r="M150" s="21"/>
    </row>
    <row r="151" spans="1:13" s="44" customFormat="1" ht="15" x14ac:dyDescent="0.25">
      <c r="A151" s="46" t="s">
        <v>153</v>
      </c>
      <c r="B151" s="47"/>
      <c r="C151" s="27"/>
      <c r="D151" s="27">
        <f>+D152+D156+D170</f>
        <v>2445485998</v>
      </c>
      <c r="E151" s="27"/>
      <c r="F151" s="27"/>
      <c r="G151" s="27"/>
      <c r="H151" s="27">
        <f>+H152+H156+H170</f>
        <v>2445485998</v>
      </c>
      <c r="I151" s="27"/>
      <c r="J151" s="15">
        <f>+H151+I151</f>
        <v>2445485998</v>
      </c>
      <c r="K151" s="27">
        <f>+K152+K156+K170</f>
        <v>2050714338</v>
      </c>
      <c r="L151" s="27">
        <f t="shared" ref="L151:L183" si="28">+K151-J151</f>
        <v>-394771660</v>
      </c>
      <c r="M151" s="16">
        <f t="shared" ref="M151:M183" si="29">IFERROR(K151/J151,0)</f>
        <v>0.83857128590273777</v>
      </c>
    </row>
    <row r="152" spans="1:13" s="44" customFormat="1" ht="15" x14ac:dyDescent="0.25">
      <c r="A152" s="46" t="s">
        <v>154</v>
      </c>
      <c r="B152" s="27"/>
      <c r="C152" s="27"/>
      <c r="D152" s="27">
        <f>SUM(D153:D155)</f>
        <v>60861501</v>
      </c>
      <c r="E152" s="27"/>
      <c r="F152" s="27"/>
      <c r="G152" s="27"/>
      <c r="H152" s="27">
        <f>SUM(H153:H155)</f>
        <v>60861501</v>
      </c>
      <c r="I152" s="27"/>
      <c r="J152" s="27">
        <f>SUM(J153:J155)</f>
        <v>60861501</v>
      </c>
      <c r="K152" s="27">
        <f>SUM(K153:K155)</f>
        <v>59510620</v>
      </c>
      <c r="L152" s="27">
        <f t="shared" si="28"/>
        <v>-1350881</v>
      </c>
      <c r="M152" s="16">
        <f t="shared" si="29"/>
        <v>0.97780401439655584</v>
      </c>
    </row>
    <row r="153" spans="1:13" s="44" customFormat="1" ht="15" hidden="1" outlineLevel="1" x14ac:dyDescent="0.25">
      <c r="A153" s="45" t="s">
        <v>155</v>
      </c>
      <c r="B153" s="27"/>
      <c r="C153" s="27"/>
      <c r="D153" s="20">
        <v>60861501</v>
      </c>
      <c r="E153" s="27"/>
      <c r="F153" s="27"/>
      <c r="G153" s="27"/>
      <c r="H153" s="19">
        <f>+B153+C153+D153+G153+E153+F153</f>
        <v>60861501</v>
      </c>
      <c r="I153" s="27"/>
      <c r="J153" s="20">
        <f>+H153+I153</f>
        <v>60861501</v>
      </c>
      <c r="K153" s="20">
        <v>59510620</v>
      </c>
      <c r="L153" s="20">
        <f t="shared" si="28"/>
        <v>-1350881</v>
      </c>
      <c r="M153" s="21">
        <f t="shared" si="29"/>
        <v>0.97780401439655584</v>
      </c>
    </row>
    <row r="154" spans="1:13" s="44" customFormat="1" ht="15" hidden="1" outlineLevel="1" x14ac:dyDescent="0.25">
      <c r="A154" s="45" t="s">
        <v>156</v>
      </c>
      <c r="B154" s="27"/>
      <c r="C154" s="27"/>
      <c r="D154" s="20"/>
      <c r="E154" s="27"/>
      <c r="F154" s="27"/>
      <c r="G154" s="27"/>
      <c r="H154" s="19">
        <f>+B154+C154+D154+G154+E154+F154</f>
        <v>0</v>
      </c>
      <c r="I154" s="27"/>
      <c r="J154" s="20">
        <f>+H154+I154</f>
        <v>0</v>
      </c>
      <c r="K154" s="20"/>
      <c r="L154" s="20">
        <f t="shared" si="28"/>
        <v>0</v>
      </c>
      <c r="M154" s="21">
        <f t="shared" si="29"/>
        <v>0</v>
      </c>
    </row>
    <row r="155" spans="1:13" s="44" customFormat="1" ht="15" hidden="1" outlineLevel="1" x14ac:dyDescent="0.25">
      <c r="A155" s="45" t="s">
        <v>157</v>
      </c>
      <c r="B155" s="27"/>
      <c r="C155" s="27"/>
      <c r="D155" s="20"/>
      <c r="E155" s="27"/>
      <c r="F155" s="27"/>
      <c r="G155" s="27"/>
      <c r="H155" s="19">
        <f>+B155+C155+D155+G155+E155+F155</f>
        <v>0</v>
      </c>
      <c r="I155" s="27"/>
      <c r="J155" s="20">
        <f>+H155+I155</f>
        <v>0</v>
      </c>
      <c r="K155" s="20"/>
      <c r="L155" s="20">
        <f t="shared" si="28"/>
        <v>0</v>
      </c>
      <c r="M155" s="21">
        <f t="shared" si="29"/>
        <v>0</v>
      </c>
    </row>
    <row r="156" spans="1:13" s="44" customFormat="1" ht="15" collapsed="1" x14ac:dyDescent="0.25">
      <c r="A156" s="46" t="s">
        <v>158</v>
      </c>
      <c r="B156" s="27"/>
      <c r="C156" s="27"/>
      <c r="D156" s="27">
        <f>+D157+D163</f>
        <v>194894444</v>
      </c>
      <c r="E156" s="27"/>
      <c r="F156" s="27"/>
      <c r="G156" s="27"/>
      <c r="H156" s="27">
        <f>+H157+H163</f>
        <v>194894444</v>
      </c>
      <c r="I156" s="27"/>
      <c r="J156" s="27">
        <f>+J157+J163</f>
        <v>194894444</v>
      </c>
      <c r="K156" s="27">
        <f>+K157+K163</f>
        <v>171811711</v>
      </c>
      <c r="L156" s="27">
        <f t="shared" si="28"/>
        <v>-23082733</v>
      </c>
      <c r="M156" s="16">
        <f t="shared" si="29"/>
        <v>0.88156289873507121</v>
      </c>
    </row>
    <row r="157" spans="1:13" s="44" customFormat="1" ht="15" hidden="1" outlineLevel="1" x14ac:dyDescent="0.25">
      <c r="A157" s="46" t="s">
        <v>159</v>
      </c>
      <c r="B157" s="27"/>
      <c r="C157" s="27"/>
      <c r="D157" s="27">
        <f>SUM(D158:D162)</f>
        <v>48857601</v>
      </c>
      <c r="E157" s="27"/>
      <c r="F157" s="27"/>
      <c r="G157" s="27"/>
      <c r="H157" s="27">
        <f>SUM(H158:H162)</f>
        <v>48857601</v>
      </c>
      <c r="I157" s="27"/>
      <c r="J157" s="27">
        <f>SUM(J158:J162)</f>
        <v>48857601</v>
      </c>
      <c r="K157" s="27">
        <f>SUM(K158:K162)</f>
        <v>40945502</v>
      </c>
      <c r="L157" s="27">
        <f t="shared" si="28"/>
        <v>-7912099</v>
      </c>
      <c r="M157" s="16">
        <f t="shared" si="29"/>
        <v>0.83805797177802488</v>
      </c>
    </row>
    <row r="158" spans="1:13" s="44" customFormat="1" ht="15" hidden="1" outlineLevel="2" x14ac:dyDescent="0.25">
      <c r="A158" s="45" t="s">
        <v>160</v>
      </c>
      <c r="B158" s="27"/>
      <c r="C158" s="27"/>
      <c r="D158" s="20">
        <f>40000000-213250</f>
        <v>39786750</v>
      </c>
      <c r="E158" s="27"/>
      <c r="F158" s="27"/>
      <c r="G158" s="27"/>
      <c r="H158" s="19">
        <f>+B158+C158+D158+G158+E158+F158</f>
        <v>39786750</v>
      </c>
      <c r="I158" s="27"/>
      <c r="J158" s="20">
        <f>+H158+I158</f>
        <v>39786750</v>
      </c>
      <c r="K158" s="20">
        <v>35014613</v>
      </c>
      <c r="L158" s="20">
        <f t="shared" si="28"/>
        <v>-4772137</v>
      </c>
      <c r="M158" s="21">
        <f t="shared" si="29"/>
        <v>0.88005712957203086</v>
      </c>
    </row>
    <row r="159" spans="1:13" s="44" customFormat="1" ht="15" hidden="1" outlineLevel="2" x14ac:dyDescent="0.25">
      <c r="A159" s="45" t="s">
        <v>161</v>
      </c>
      <c r="B159" s="27"/>
      <c r="C159" s="27"/>
      <c r="D159" s="20">
        <f>3766062+213250</f>
        <v>3979312</v>
      </c>
      <c r="E159" s="27"/>
      <c r="F159" s="27"/>
      <c r="G159" s="27"/>
      <c r="H159" s="19">
        <f>+B159+C159+D159+G159+E159+F159</f>
        <v>3979312</v>
      </c>
      <c r="I159" s="27"/>
      <c r="J159" s="20">
        <f>+H159+I159</f>
        <v>3979312</v>
      </c>
      <c r="K159" s="20">
        <v>3979312</v>
      </c>
      <c r="L159" s="20">
        <f t="shared" si="28"/>
        <v>0</v>
      </c>
      <c r="M159" s="21">
        <f t="shared" si="29"/>
        <v>1</v>
      </c>
    </row>
    <row r="160" spans="1:13" s="44" customFormat="1" ht="15" hidden="1" outlineLevel="2" x14ac:dyDescent="0.25">
      <c r="A160" s="45" t="s">
        <v>162</v>
      </c>
      <c r="B160" s="27"/>
      <c r="C160" s="27"/>
      <c r="D160" s="20">
        <v>2797484</v>
      </c>
      <c r="E160" s="27"/>
      <c r="F160" s="27"/>
      <c r="G160" s="27"/>
      <c r="H160" s="19">
        <f>+B160+C160+D160+G160+E160+F160</f>
        <v>2797484</v>
      </c>
      <c r="I160" s="27"/>
      <c r="J160" s="20">
        <f>+H160+I160</f>
        <v>2797484</v>
      </c>
      <c r="K160" s="20"/>
      <c r="L160" s="20">
        <f t="shared" si="28"/>
        <v>-2797484</v>
      </c>
      <c r="M160" s="21">
        <f t="shared" si="29"/>
        <v>0</v>
      </c>
    </row>
    <row r="161" spans="1:13" s="44" customFormat="1" ht="15" hidden="1" outlineLevel="2" x14ac:dyDescent="0.25">
      <c r="A161" s="45" t="s">
        <v>163</v>
      </c>
      <c r="B161" s="27"/>
      <c r="C161" s="27"/>
      <c r="D161" s="20">
        <v>2294055</v>
      </c>
      <c r="E161" s="50"/>
      <c r="F161" s="27"/>
      <c r="G161" s="27"/>
      <c r="H161" s="19">
        <f>+B161+C161+D161+G161+E161+F161</f>
        <v>2294055</v>
      </c>
      <c r="I161" s="27"/>
      <c r="J161" s="20">
        <f>+H161+I161</f>
        <v>2294055</v>
      </c>
      <c r="K161" s="20">
        <v>1951577</v>
      </c>
      <c r="L161" s="20">
        <f t="shared" si="28"/>
        <v>-342478</v>
      </c>
      <c r="M161" s="21">
        <f t="shared" si="29"/>
        <v>0.85071064120084305</v>
      </c>
    </row>
    <row r="162" spans="1:13" s="44" customFormat="1" ht="15" hidden="1" outlineLevel="2" x14ac:dyDescent="0.25">
      <c r="A162" s="45" t="s">
        <v>164</v>
      </c>
      <c r="B162" s="27"/>
      <c r="C162" s="27"/>
      <c r="D162" s="20"/>
      <c r="E162" s="50"/>
      <c r="F162" s="27"/>
      <c r="G162" s="27"/>
      <c r="H162" s="19">
        <f>+B162+C162+D162+G162+E162+F162</f>
        <v>0</v>
      </c>
      <c r="I162" s="27"/>
      <c r="J162" s="20">
        <f>+H162+I162</f>
        <v>0</v>
      </c>
      <c r="K162" s="20"/>
      <c r="L162" s="20">
        <f t="shared" si="28"/>
        <v>0</v>
      </c>
      <c r="M162" s="21">
        <f t="shared" si="29"/>
        <v>0</v>
      </c>
    </row>
    <row r="163" spans="1:13" s="44" customFormat="1" ht="15" hidden="1" outlineLevel="1" x14ac:dyDescent="0.25">
      <c r="A163" s="46" t="s">
        <v>165</v>
      </c>
      <c r="B163" s="27"/>
      <c r="C163" s="27"/>
      <c r="D163" s="27">
        <f>SUM(D164:D169)</f>
        <v>146036843</v>
      </c>
      <c r="E163" s="27"/>
      <c r="F163" s="27"/>
      <c r="G163" s="27"/>
      <c r="H163" s="27">
        <f>SUM(H164:H169)</f>
        <v>146036843</v>
      </c>
      <c r="I163" s="27"/>
      <c r="J163" s="27">
        <f>SUM(J164:J169)</f>
        <v>146036843</v>
      </c>
      <c r="K163" s="27">
        <f>SUM(K164:K169)</f>
        <v>130866209</v>
      </c>
      <c r="L163" s="27">
        <f t="shared" si="28"/>
        <v>-15170634</v>
      </c>
      <c r="M163" s="16">
        <f t="shared" si="29"/>
        <v>0.89611776255667208</v>
      </c>
    </row>
    <row r="164" spans="1:13" s="44" customFormat="1" ht="15" hidden="1" outlineLevel="2" x14ac:dyDescent="0.25">
      <c r="A164" s="45" t="s">
        <v>166</v>
      </c>
      <c r="B164" s="27"/>
      <c r="C164" s="27"/>
      <c r="D164" s="20">
        <v>50000000</v>
      </c>
      <c r="E164" s="27"/>
      <c r="F164" s="27"/>
      <c r="G164" s="27"/>
      <c r="H164" s="19">
        <f t="shared" ref="H164:H169" si="30">+B164+C164+D164+G164+E164+F164</f>
        <v>50000000</v>
      </c>
      <c r="I164" s="27"/>
      <c r="J164" s="20">
        <f t="shared" ref="J164:J169" si="31">+H164+I164</f>
        <v>50000000</v>
      </c>
      <c r="K164" s="20">
        <v>47655917</v>
      </c>
      <c r="L164" s="20">
        <f t="shared" si="28"/>
        <v>-2344083</v>
      </c>
      <c r="M164" s="21">
        <f t="shared" si="29"/>
        <v>0.95311833999999995</v>
      </c>
    </row>
    <row r="165" spans="1:13" s="44" customFormat="1" ht="15" hidden="1" outlineLevel="2" x14ac:dyDescent="0.25">
      <c r="A165" s="45" t="s">
        <v>167</v>
      </c>
      <c r="B165" s="27"/>
      <c r="C165" s="27"/>
      <c r="D165" s="20">
        <v>1997029</v>
      </c>
      <c r="E165" s="27"/>
      <c r="F165" s="27"/>
      <c r="G165" s="27"/>
      <c r="H165" s="19">
        <f t="shared" si="30"/>
        <v>1997029</v>
      </c>
      <c r="I165" s="27"/>
      <c r="J165" s="20">
        <f t="shared" si="31"/>
        <v>1997029</v>
      </c>
      <c r="K165" s="20"/>
      <c r="L165" s="20">
        <f t="shared" si="28"/>
        <v>-1997029</v>
      </c>
      <c r="M165" s="21">
        <f t="shared" si="29"/>
        <v>0</v>
      </c>
    </row>
    <row r="166" spans="1:13" s="44" customFormat="1" ht="15" hidden="1" outlineLevel="2" x14ac:dyDescent="0.25">
      <c r="A166" s="45" t="s">
        <v>168</v>
      </c>
      <c r="B166" s="27"/>
      <c r="C166" s="27"/>
      <c r="D166" s="20">
        <v>31611892</v>
      </c>
      <c r="E166" s="27"/>
      <c r="F166" s="27"/>
      <c r="G166" s="27"/>
      <c r="H166" s="19">
        <f t="shared" si="30"/>
        <v>31611892</v>
      </c>
      <c r="I166" s="27"/>
      <c r="J166" s="20">
        <f t="shared" si="31"/>
        <v>31611892</v>
      </c>
      <c r="K166" s="20">
        <v>29600538</v>
      </c>
      <c r="L166" s="20">
        <f t="shared" si="28"/>
        <v>-2011354</v>
      </c>
      <c r="M166" s="21">
        <f t="shared" si="29"/>
        <v>0.93637350146584075</v>
      </c>
    </row>
    <row r="167" spans="1:13" s="44" customFormat="1" ht="15" hidden="1" outlineLevel="2" x14ac:dyDescent="0.25">
      <c r="A167" s="45" t="s">
        <v>169</v>
      </c>
      <c r="B167" s="27"/>
      <c r="C167" s="27"/>
      <c r="D167" s="20">
        <v>13218808</v>
      </c>
      <c r="E167" s="27"/>
      <c r="F167" s="27"/>
      <c r="G167" s="27"/>
      <c r="H167" s="19">
        <f t="shared" si="30"/>
        <v>13218808</v>
      </c>
      <c r="I167" s="27"/>
      <c r="J167" s="20">
        <f t="shared" si="31"/>
        <v>13218808</v>
      </c>
      <c r="K167" s="20">
        <v>12243556</v>
      </c>
      <c r="L167" s="20">
        <f t="shared" si="28"/>
        <v>-975252</v>
      </c>
      <c r="M167" s="21">
        <f t="shared" si="29"/>
        <v>0.9262223946364907</v>
      </c>
    </row>
    <row r="168" spans="1:13" s="44" customFormat="1" ht="15" hidden="1" outlineLevel="2" x14ac:dyDescent="0.25">
      <c r="A168" s="45" t="s">
        <v>170</v>
      </c>
      <c r="B168" s="27"/>
      <c r="C168" s="27"/>
      <c r="D168" s="20">
        <v>17700000</v>
      </c>
      <c r="E168" s="27"/>
      <c r="F168" s="27"/>
      <c r="G168" s="27"/>
      <c r="H168" s="19">
        <f t="shared" si="30"/>
        <v>17700000</v>
      </c>
      <c r="I168" s="27"/>
      <c r="J168" s="20">
        <f t="shared" si="31"/>
        <v>17700000</v>
      </c>
      <c r="K168" s="20">
        <v>14655045</v>
      </c>
      <c r="L168" s="20">
        <f t="shared" si="28"/>
        <v>-3044955</v>
      </c>
      <c r="M168" s="21">
        <f t="shared" si="29"/>
        <v>0.82796864406779658</v>
      </c>
    </row>
    <row r="169" spans="1:13" s="44" customFormat="1" ht="15" hidden="1" outlineLevel="2" x14ac:dyDescent="0.25">
      <c r="A169" s="45" t="s">
        <v>171</v>
      </c>
      <c r="B169" s="27"/>
      <c r="C169" s="27"/>
      <c r="D169" s="20">
        <v>31509114</v>
      </c>
      <c r="E169" s="27"/>
      <c r="F169" s="27"/>
      <c r="G169" s="27"/>
      <c r="H169" s="19">
        <f t="shared" si="30"/>
        <v>31509114</v>
      </c>
      <c r="I169" s="27"/>
      <c r="J169" s="20">
        <f t="shared" si="31"/>
        <v>31509114</v>
      </c>
      <c r="K169" s="20">
        <v>26711153</v>
      </c>
      <c r="L169" s="20">
        <f t="shared" si="28"/>
        <v>-4797961</v>
      </c>
      <c r="M169" s="21">
        <f t="shared" si="29"/>
        <v>0.84772783519079586</v>
      </c>
    </row>
    <row r="170" spans="1:13" s="44" customFormat="1" ht="15" collapsed="1" x14ac:dyDescent="0.25">
      <c r="A170" s="46" t="s">
        <v>172</v>
      </c>
      <c r="B170" s="27"/>
      <c r="C170" s="27"/>
      <c r="D170" s="27">
        <f>+D171+D175+D179+D180+D181+D182+D183</f>
        <v>2189730053</v>
      </c>
      <c r="E170" s="27"/>
      <c r="F170" s="27"/>
      <c r="G170" s="27"/>
      <c r="H170" s="27">
        <f>+H171+H175+H179+H180+H181+H182+H183</f>
        <v>2189730053</v>
      </c>
      <c r="I170" s="27"/>
      <c r="J170" s="27">
        <f>+J171+J175+J179+J180+J181+J182+J183</f>
        <v>2189730053</v>
      </c>
      <c r="K170" s="27">
        <f>+K171+K175+K179+K180+K181+K182+K183</f>
        <v>1819392007</v>
      </c>
      <c r="L170" s="27">
        <f t="shared" si="28"/>
        <v>-370338046</v>
      </c>
      <c r="M170" s="16">
        <f t="shared" si="29"/>
        <v>0.83087502247474521</v>
      </c>
    </row>
    <row r="171" spans="1:13" s="44" customFormat="1" ht="15" hidden="1" outlineLevel="1" x14ac:dyDescent="0.25">
      <c r="A171" s="46" t="s">
        <v>173</v>
      </c>
      <c r="B171" s="27"/>
      <c r="C171" s="27"/>
      <c r="D171" s="27">
        <f>SUM(D172:D174)</f>
        <v>9949000</v>
      </c>
      <c r="E171" s="27"/>
      <c r="F171" s="27"/>
      <c r="G171" s="27"/>
      <c r="H171" s="27">
        <f>SUM(H172:H174)</f>
        <v>9949000</v>
      </c>
      <c r="I171" s="27"/>
      <c r="J171" s="27">
        <f>SUM(J172:J174)</f>
        <v>9949000</v>
      </c>
      <c r="K171" s="27">
        <f>SUM(K172:K174)</f>
        <v>9147760</v>
      </c>
      <c r="L171" s="27">
        <f t="shared" si="28"/>
        <v>-801240</v>
      </c>
      <c r="M171" s="16">
        <f t="shared" si="29"/>
        <v>0.91946527289174795</v>
      </c>
    </row>
    <row r="172" spans="1:13" s="44" customFormat="1" ht="15" hidden="1" outlineLevel="2" x14ac:dyDescent="0.25">
      <c r="A172" s="45" t="s">
        <v>174</v>
      </c>
      <c r="B172" s="27"/>
      <c r="C172" s="27"/>
      <c r="D172" s="19"/>
      <c r="E172" s="27"/>
      <c r="F172" s="27"/>
      <c r="G172" s="27"/>
      <c r="H172" s="19">
        <f>+B172+C172+D172+G172+E172+F172</f>
        <v>0</v>
      </c>
      <c r="I172" s="27"/>
      <c r="J172" s="20">
        <f>+H172+I172</f>
        <v>0</v>
      </c>
      <c r="K172" s="20"/>
      <c r="L172" s="20">
        <f t="shared" si="28"/>
        <v>0</v>
      </c>
      <c r="M172" s="21">
        <f t="shared" si="29"/>
        <v>0</v>
      </c>
    </row>
    <row r="173" spans="1:13" s="44" customFormat="1" ht="15" hidden="1" outlineLevel="2" x14ac:dyDescent="0.25">
      <c r="A173" s="45" t="s">
        <v>175</v>
      </c>
      <c r="B173" s="27"/>
      <c r="C173" s="27"/>
      <c r="D173" s="19"/>
      <c r="E173" s="27"/>
      <c r="F173" s="27"/>
      <c r="G173" s="27"/>
      <c r="H173" s="19">
        <f>+B173+C173+D173+G173+E173+F173</f>
        <v>0</v>
      </c>
      <c r="I173" s="27"/>
      <c r="J173" s="20">
        <f>+H173+I173</f>
        <v>0</v>
      </c>
      <c r="K173" s="20"/>
      <c r="L173" s="20">
        <f t="shared" si="28"/>
        <v>0</v>
      </c>
      <c r="M173" s="21">
        <f t="shared" si="29"/>
        <v>0</v>
      </c>
    </row>
    <row r="174" spans="1:13" s="44" customFormat="1" ht="15" hidden="1" outlineLevel="2" x14ac:dyDescent="0.25">
      <c r="A174" s="45" t="s">
        <v>176</v>
      </c>
      <c r="B174" s="27"/>
      <c r="C174" s="27"/>
      <c r="D174" s="19">
        <v>9949000</v>
      </c>
      <c r="E174" s="27"/>
      <c r="F174" s="27"/>
      <c r="G174" s="27"/>
      <c r="H174" s="19">
        <f>+B174+C174+D174+G174+E174+F174</f>
        <v>9949000</v>
      </c>
      <c r="I174" s="27"/>
      <c r="J174" s="20">
        <f>+H174+I174</f>
        <v>9949000</v>
      </c>
      <c r="K174" s="20">
        <v>9147760</v>
      </c>
      <c r="L174" s="20">
        <f t="shared" si="28"/>
        <v>-801240</v>
      </c>
      <c r="M174" s="21">
        <f t="shared" si="29"/>
        <v>0.91946527289174795</v>
      </c>
    </row>
    <row r="175" spans="1:13" s="44" customFormat="1" ht="15" hidden="1" outlineLevel="1" x14ac:dyDescent="0.25">
      <c r="A175" s="46" t="s">
        <v>177</v>
      </c>
      <c r="B175" s="27"/>
      <c r="C175" s="27"/>
      <c r="D175" s="27">
        <f>SUM(D176:D178)</f>
        <v>9100000</v>
      </c>
      <c r="E175" s="27"/>
      <c r="F175" s="27"/>
      <c r="G175" s="27"/>
      <c r="H175" s="27">
        <f>SUM(H176:H178)</f>
        <v>9100000</v>
      </c>
      <c r="I175" s="27"/>
      <c r="J175" s="27">
        <f>SUM(J176:J178)</f>
        <v>9100000</v>
      </c>
      <c r="K175" s="27">
        <f>SUM(K176:K178)</f>
        <v>7879828</v>
      </c>
      <c r="L175" s="27">
        <f t="shared" si="28"/>
        <v>-1220172</v>
      </c>
      <c r="M175" s="16">
        <f t="shared" si="29"/>
        <v>0.86591516483516484</v>
      </c>
    </row>
    <row r="176" spans="1:13" s="44" customFormat="1" ht="15" hidden="1" outlineLevel="2" x14ac:dyDescent="0.25">
      <c r="A176" s="45" t="s">
        <v>178</v>
      </c>
      <c r="B176" s="27"/>
      <c r="C176" s="27"/>
      <c r="D176" s="19"/>
      <c r="E176" s="27"/>
      <c r="F176" s="27"/>
      <c r="G176" s="27"/>
      <c r="H176" s="19">
        <f t="shared" ref="H176:H183" si="32">+B176+C176+D176+G176+E176+F176</f>
        <v>0</v>
      </c>
      <c r="I176" s="27"/>
      <c r="J176" s="20">
        <f t="shared" ref="J176:J183" si="33">+H176+I176</f>
        <v>0</v>
      </c>
      <c r="K176" s="20"/>
      <c r="L176" s="20">
        <f t="shared" si="28"/>
        <v>0</v>
      </c>
      <c r="M176" s="21">
        <f t="shared" si="29"/>
        <v>0</v>
      </c>
    </row>
    <row r="177" spans="1:13" s="44" customFormat="1" ht="15" hidden="1" outlineLevel="2" x14ac:dyDescent="0.25">
      <c r="A177" s="45" t="s">
        <v>179</v>
      </c>
      <c r="B177" s="27"/>
      <c r="C177" s="27"/>
      <c r="D177" s="19"/>
      <c r="E177" s="27"/>
      <c r="F177" s="27"/>
      <c r="G177" s="27"/>
      <c r="H177" s="19">
        <f t="shared" si="32"/>
        <v>0</v>
      </c>
      <c r="I177" s="27"/>
      <c r="J177" s="20">
        <f t="shared" si="33"/>
        <v>0</v>
      </c>
      <c r="K177" s="20"/>
      <c r="L177" s="20">
        <f t="shared" si="28"/>
        <v>0</v>
      </c>
      <c r="M177" s="21">
        <f t="shared" si="29"/>
        <v>0</v>
      </c>
    </row>
    <row r="178" spans="1:13" s="44" customFormat="1" ht="15" hidden="1" outlineLevel="2" x14ac:dyDescent="0.25">
      <c r="A178" s="45" t="s">
        <v>180</v>
      </c>
      <c r="B178" s="27"/>
      <c r="C178" s="27"/>
      <c r="D178" s="19">
        <v>9100000</v>
      </c>
      <c r="E178" s="27"/>
      <c r="F178" s="27"/>
      <c r="G178" s="27"/>
      <c r="H178" s="19">
        <f t="shared" si="32"/>
        <v>9100000</v>
      </c>
      <c r="I178" s="27"/>
      <c r="J178" s="20">
        <f t="shared" si="33"/>
        <v>9100000</v>
      </c>
      <c r="K178" s="20">
        <v>7879828</v>
      </c>
      <c r="L178" s="20">
        <f t="shared" si="28"/>
        <v>-1220172</v>
      </c>
      <c r="M178" s="21">
        <f t="shared" si="29"/>
        <v>0.86591516483516484</v>
      </c>
    </row>
    <row r="179" spans="1:13" s="44" customFormat="1" ht="15" hidden="1" outlineLevel="1" x14ac:dyDescent="0.25">
      <c r="A179" s="46" t="s">
        <v>181</v>
      </c>
      <c r="B179" s="27"/>
      <c r="C179" s="27"/>
      <c r="D179" s="27">
        <v>87746000</v>
      </c>
      <c r="E179" s="27"/>
      <c r="F179" s="27"/>
      <c r="G179" s="27"/>
      <c r="H179" s="15">
        <f t="shared" si="32"/>
        <v>87746000</v>
      </c>
      <c r="I179" s="15"/>
      <c r="J179" s="15">
        <f t="shared" si="33"/>
        <v>87746000</v>
      </c>
      <c r="K179" s="15">
        <v>82802067</v>
      </c>
      <c r="L179" s="15">
        <f t="shared" si="28"/>
        <v>-4943933</v>
      </c>
      <c r="M179" s="16">
        <f t="shared" si="29"/>
        <v>0.94365631481776946</v>
      </c>
    </row>
    <row r="180" spans="1:13" s="44" customFormat="1" ht="15" hidden="1" outlineLevel="1" x14ac:dyDescent="0.25">
      <c r="A180" s="46" t="s">
        <v>182</v>
      </c>
      <c r="B180" s="27"/>
      <c r="C180" s="27"/>
      <c r="D180" s="27">
        <v>3698000</v>
      </c>
      <c r="E180" s="27"/>
      <c r="F180" s="27"/>
      <c r="G180" s="27"/>
      <c r="H180" s="15">
        <f t="shared" si="32"/>
        <v>3698000</v>
      </c>
      <c r="I180" s="15"/>
      <c r="J180" s="15">
        <f t="shared" si="33"/>
        <v>3698000</v>
      </c>
      <c r="K180" s="15">
        <v>2181521</v>
      </c>
      <c r="L180" s="15">
        <f t="shared" si="28"/>
        <v>-1516479</v>
      </c>
      <c r="M180" s="16">
        <f t="shared" si="29"/>
        <v>0.58991914548404545</v>
      </c>
    </row>
    <row r="181" spans="1:13" s="44" customFormat="1" ht="15" hidden="1" outlineLevel="1" x14ac:dyDescent="0.25">
      <c r="A181" s="46" t="s">
        <v>183</v>
      </c>
      <c r="B181" s="27"/>
      <c r="C181" s="27"/>
      <c r="D181" s="27"/>
      <c r="E181" s="27"/>
      <c r="F181" s="27"/>
      <c r="G181" s="27"/>
      <c r="H181" s="15">
        <f t="shared" si="32"/>
        <v>0</v>
      </c>
      <c r="I181" s="15"/>
      <c r="J181" s="15">
        <f t="shared" si="33"/>
        <v>0</v>
      </c>
      <c r="K181" s="15"/>
      <c r="L181" s="15">
        <f t="shared" si="28"/>
        <v>0</v>
      </c>
      <c r="M181" s="16">
        <f t="shared" si="29"/>
        <v>0</v>
      </c>
    </row>
    <row r="182" spans="1:13" s="44" customFormat="1" ht="14.25" hidden="1" customHeight="1" outlineLevel="1" x14ac:dyDescent="0.25">
      <c r="A182" s="46" t="s">
        <v>184</v>
      </c>
      <c r="B182" s="27"/>
      <c r="C182" s="27"/>
      <c r="D182" s="27">
        <v>47945495</v>
      </c>
      <c r="E182" s="51"/>
      <c r="F182" s="27"/>
      <c r="G182" s="27"/>
      <c r="H182" s="15">
        <f t="shared" si="32"/>
        <v>47945495</v>
      </c>
      <c r="I182" s="15"/>
      <c r="J182" s="15">
        <f t="shared" si="33"/>
        <v>47945495</v>
      </c>
      <c r="K182" s="15">
        <v>47728036</v>
      </c>
      <c r="L182" s="15">
        <f t="shared" si="28"/>
        <v>-217459</v>
      </c>
      <c r="M182" s="16">
        <f t="shared" si="29"/>
        <v>0.99546445395964733</v>
      </c>
    </row>
    <row r="183" spans="1:13" s="44" customFormat="1" ht="14.25" hidden="1" customHeight="1" outlineLevel="1" x14ac:dyDescent="0.25">
      <c r="A183" s="46" t="s">
        <v>185</v>
      </c>
      <c r="B183" s="27"/>
      <c r="C183" s="27"/>
      <c r="D183" s="27">
        <v>2031291558</v>
      </c>
      <c r="E183" s="51"/>
      <c r="F183" s="27"/>
      <c r="G183" s="27"/>
      <c r="H183" s="15">
        <f t="shared" si="32"/>
        <v>2031291558</v>
      </c>
      <c r="I183" s="15"/>
      <c r="J183" s="15">
        <f t="shared" si="33"/>
        <v>2031291558</v>
      </c>
      <c r="K183" s="15">
        <v>1669652795</v>
      </c>
      <c r="L183" s="15">
        <f t="shared" si="28"/>
        <v>-361638763</v>
      </c>
      <c r="M183" s="16">
        <f t="shared" si="29"/>
        <v>0.82196609759158956</v>
      </c>
    </row>
    <row r="184" spans="1:13" s="44" customFormat="1" ht="15" collapsed="1" x14ac:dyDescent="0.25">
      <c r="A184" s="45"/>
      <c r="B184" s="27"/>
      <c r="C184" s="27"/>
      <c r="D184" s="27"/>
      <c r="E184" s="27"/>
      <c r="F184" s="27"/>
      <c r="G184" s="27"/>
      <c r="H184" s="19"/>
      <c r="I184" s="27"/>
      <c r="J184" s="20"/>
      <c r="K184" s="20"/>
      <c r="L184" s="20"/>
      <c r="M184" s="21"/>
    </row>
    <row r="185" spans="1:13" s="44" customFormat="1" ht="15" x14ac:dyDescent="0.25">
      <c r="A185" s="46" t="s">
        <v>186</v>
      </c>
      <c r="B185" s="27"/>
      <c r="C185" s="27"/>
      <c r="D185" s="27"/>
      <c r="E185" s="15">
        <f>+E186</f>
        <v>116235428</v>
      </c>
      <c r="F185" s="15"/>
      <c r="G185" s="15"/>
      <c r="H185" s="15">
        <f>+H186</f>
        <v>116235428</v>
      </c>
      <c r="I185" s="15"/>
      <c r="J185" s="15">
        <f>+H185+I185</f>
        <v>116235428</v>
      </c>
      <c r="K185" s="15">
        <f>+K186</f>
        <v>90943071</v>
      </c>
      <c r="L185" s="15">
        <f>+K185-J185</f>
        <v>-25292357</v>
      </c>
      <c r="M185" s="16">
        <f>IFERROR(K185/J185,0)</f>
        <v>0.78240406186657652</v>
      </c>
    </row>
    <row r="186" spans="1:13" s="44" customFormat="1" ht="15" x14ac:dyDescent="0.25">
      <c r="A186" s="46" t="s">
        <v>187</v>
      </c>
      <c r="B186" s="27"/>
      <c r="C186" s="27"/>
      <c r="D186" s="27"/>
      <c r="E186" s="27">
        <f>SUM(E187:E189)</f>
        <v>116235428</v>
      </c>
      <c r="F186" s="27"/>
      <c r="G186" s="27"/>
      <c r="H186" s="27">
        <f>SUM(H187:H189)</f>
        <v>116235428</v>
      </c>
      <c r="I186" s="27"/>
      <c r="J186" s="27">
        <f>SUM(J187:J189)</f>
        <v>116235428</v>
      </c>
      <c r="K186" s="27">
        <f>SUM(K187:K189)</f>
        <v>90943071</v>
      </c>
      <c r="L186" s="27">
        <f>+K186-J186</f>
        <v>-25292357</v>
      </c>
      <c r="M186" s="16">
        <f>IFERROR(K186/J186,0)</f>
        <v>0.78240406186657652</v>
      </c>
    </row>
    <row r="187" spans="1:13" s="44" customFormat="1" ht="15" hidden="1" outlineLevel="1" x14ac:dyDescent="0.25">
      <c r="A187" s="45" t="s">
        <v>188</v>
      </c>
      <c r="B187" s="27"/>
      <c r="C187" s="27"/>
      <c r="D187" s="27"/>
      <c r="E187" s="20">
        <v>19357767</v>
      </c>
      <c r="F187" s="27"/>
      <c r="G187" s="27"/>
      <c r="H187" s="19">
        <f>+B187+C187+D187+G187+E187+F187</f>
        <v>19357767</v>
      </c>
      <c r="I187" s="27"/>
      <c r="J187" s="20">
        <f>+H187+I187</f>
        <v>19357767</v>
      </c>
      <c r="K187" s="20">
        <v>19195771</v>
      </c>
      <c r="L187" s="20">
        <f>+K187-J187</f>
        <v>-161996</v>
      </c>
      <c r="M187" s="21">
        <f>IFERROR(K187/J187,0)</f>
        <v>0.99163147278299202</v>
      </c>
    </row>
    <row r="188" spans="1:13" s="44" customFormat="1" ht="15" hidden="1" outlineLevel="1" x14ac:dyDescent="0.25">
      <c r="A188" s="45" t="s">
        <v>189</v>
      </c>
      <c r="B188" s="27"/>
      <c r="C188" s="27"/>
      <c r="D188" s="27"/>
      <c r="E188" s="20">
        <v>87236381</v>
      </c>
      <c r="F188" s="27"/>
      <c r="G188" s="27"/>
      <c r="H188" s="19">
        <f>+B188+C188+D188+G188+E188+F188</f>
        <v>87236381</v>
      </c>
      <c r="I188" s="27"/>
      <c r="J188" s="20">
        <f>+H188+I188</f>
        <v>87236381</v>
      </c>
      <c r="K188" s="20">
        <v>62755028</v>
      </c>
      <c r="L188" s="20">
        <f>+K188-J188</f>
        <v>-24481353</v>
      </c>
      <c r="M188" s="21">
        <f>IFERROR(K188/J188,0)</f>
        <v>0.71936762255188003</v>
      </c>
    </row>
    <row r="189" spans="1:13" s="44" customFormat="1" ht="15" hidden="1" outlineLevel="1" x14ac:dyDescent="0.25">
      <c r="A189" s="45" t="s">
        <v>190</v>
      </c>
      <c r="B189" s="27"/>
      <c r="C189" s="27"/>
      <c r="D189" s="27"/>
      <c r="E189" s="20">
        <v>9641280</v>
      </c>
      <c r="F189" s="27"/>
      <c r="G189" s="27"/>
      <c r="H189" s="19">
        <f>+B189+C189+D189+G189+E189+F189</f>
        <v>9641280</v>
      </c>
      <c r="I189" s="27"/>
      <c r="J189" s="20">
        <f>+H189+I189</f>
        <v>9641280</v>
      </c>
      <c r="K189" s="20">
        <v>8992272</v>
      </c>
      <c r="L189" s="20">
        <f>+K189-J189</f>
        <v>-649008</v>
      </c>
      <c r="M189" s="21">
        <f>IFERROR(K189/J189,0)</f>
        <v>0.93268445683560686</v>
      </c>
    </row>
    <row r="190" spans="1:13" s="44" customFormat="1" ht="15" collapsed="1" x14ac:dyDescent="0.25">
      <c r="A190" s="45"/>
      <c r="B190" s="19"/>
      <c r="C190" s="27"/>
      <c r="D190" s="27"/>
      <c r="E190" s="27"/>
      <c r="F190" s="27"/>
      <c r="G190" s="27"/>
      <c r="H190" s="19"/>
      <c r="I190" s="27"/>
      <c r="J190" s="20"/>
      <c r="K190" s="20"/>
      <c r="L190" s="20"/>
      <c r="M190" s="21"/>
    </row>
    <row r="191" spans="1:13" ht="15" x14ac:dyDescent="0.25">
      <c r="A191" s="43" t="s">
        <v>191</v>
      </c>
      <c r="B191" s="19"/>
      <c r="C191" s="19"/>
      <c r="D191" s="19"/>
      <c r="E191" s="19"/>
      <c r="F191" s="19"/>
      <c r="G191" s="19"/>
      <c r="H191" s="19"/>
      <c r="I191" s="27">
        <f>+I192+I193</f>
        <v>702597306.79999995</v>
      </c>
      <c r="J191" s="27">
        <f>+I191+H191</f>
        <v>702597306.79999995</v>
      </c>
      <c r="K191" s="27">
        <f>+K192+K193</f>
        <v>716680270</v>
      </c>
      <c r="L191" s="27">
        <f>+K191-J191</f>
        <v>14082963.200000048</v>
      </c>
      <c r="M191" s="16">
        <f>IFERROR(K191/J191,0)</f>
        <v>1.0200441462893466</v>
      </c>
    </row>
    <row r="192" spans="1:13" ht="14.25" outlineLevel="1" x14ac:dyDescent="0.2">
      <c r="A192" s="52" t="s">
        <v>192</v>
      </c>
      <c r="B192" s="19"/>
      <c r="C192" s="19"/>
      <c r="D192" s="19"/>
      <c r="E192" s="19"/>
      <c r="F192" s="19"/>
      <c r="G192" s="19"/>
      <c r="H192" s="19"/>
      <c r="I192" s="20">
        <f>+('[1]Anexo 1 Minagricultura'!B14+'[1]Anexo 1 Minagricultura'!B18)*0.1</f>
        <v>439123316.80000001</v>
      </c>
      <c r="J192" s="20">
        <f>+I192+H192</f>
        <v>439123316.80000001</v>
      </c>
      <c r="K192" s="20">
        <v>447925169</v>
      </c>
      <c r="L192" s="20">
        <f>+K192-J192</f>
        <v>8801852.1999999881</v>
      </c>
      <c r="M192" s="21">
        <f>IFERROR(K192/J192,0)</f>
        <v>1.020044146742517</v>
      </c>
    </row>
    <row r="193" spans="1:19" ht="14.25" outlineLevel="1" x14ac:dyDescent="0.2">
      <c r="A193" s="52" t="s">
        <v>193</v>
      </c>
      <c r="B193" s="19"/>
      <c r="C193" s="19"/>
      <c r="D193" s="19"/>
      <c r="E193" s="19"/>
      <c r="F193" s="19"/>
      <c r="G193" s="19"/>
      <c r="H193" s="19"/>
      <c r="I193" s="20">
        <f>+('[1]Anexo 1 Minagricultura'!B15+'[1]Anexo 1 Minagricultura'!B19)*0.1</f>
        <v>263473990</v>
      </c>
      <c r="J193" s="20">
        <f>+I193+H193</f>
        <v>263473990</v>
      </c>
      <c r="K193" s="20">
        <v>268755101</v>
      </c>
      <c r="L193" s="20">
        <f>+K193-J193</f>
        <v>5281111</v>
      </c>
      <c r="M193" s="21">
        <f>IFERROR(K193/J193,0)</f>
        <v>1.0200441455340621</v>
      </c>
    </row>
    <row r="194" spans="1:19" ht="15" x14ac:dyDescent="0.25">
      <c r="A194" s="26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6"/>
    </row>
    <row r="195" spans="1:19" ht="15" x14ac:dyDescent="0.25">
      <c r="A195" s="53" t="s">
        <v>194</v>
      </c>
      <c r="B195" s="15"/>
      <c r="C195" s="15"/>
      <c r="D195" s="15"/>
      <c r="E195" s="15"/>
      <c r="F195" s="15"/>
      <c r="G195" s="15">
        <v>455700000</v>
      </c>
      <c r="H195" s="15">
        <f>+B195+C195+D195+G195+F195</f>
        <v>455700000</v>
      </c>
      <c r="I195" s="15"/>
      <c r="J195" s="54">
        <f>+I195+H195</f>
        <v>455700000</v>
      </c>
      <c r="K195" s="54">
        <v>19140000</v>
      </c>
      <c r="L195" s="54">
        <f>+K195-J195</f>
        <v>-436560000</v>
      </c>
      <c r="M195" s="16">
        <f>IFERROR(K195/J195,0)</f>
        <v>4.2001316655694537E-2</v>
      </c>
    </row>
    <row r="196" spans="1:19" ht="15" x14ac:dyDescent="0.25">
      <c r="A196" s="26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6"/>
    </row>
    <row r="197" spans="1:19" ht="15" x14ac:dyDescent="0.25">
      <c r="A197" s="43" t="s">
        <v>195</v>
      </c>
      <c r="B197" s="19"/>
      <c r="C197" s="19"/>
      <c r="D197" s="19"/>
      <c r="E197" s="19"/>
      <c r="F197" s="19"/>
      <c r="G197" s="19"/>
      <c r="H197" s="27">
        <f>+B197+C197+G197+F197</f>
        <v>0</v>
      </c>
      <c r="I197" s="27">
        <f>+I198+I199</f>
        <v>0</v>
      </c>
      <c r="J197" s="27">
        <f t="shared" ref="J197:K199" si="34">+I197+H197</f>
        <v>0</v>
      </c>
      <c r="K197" s="27">
        <f t="shared" si="34"/>
        <v>0</v>
      </c>
      <c r="L197" s="27">
        <f>+K197-J197</f>
        <v>0</v>
      </c>
      <c r="M197" s="16">
        <f>IFERROR(K197/J197,0)</f>
        <v>0</v>
      </c>
    </row>
    <row r="198" spans="1:19" s="55" customFormat="1" ht="14.25" hidden="1" outlineLevel="1" x14ac:dyDescent="0.2">
      <c r="A198" s="29" t="s">
        <v>196</v>
      </c>
      <c r="B198" s="19"/>
      <c r="C198" s="19"/>
      <c r="D198" s="19"/>
      <c r="E198" s="19"/>
      <c r="F198" s="19"/>
      <c r="G198" s="19"/>
      <c r="H198" s="19">
        <f>+B198+C198+G198+F198</f>
        <v>0</v>
      </c>
      <c r="I198" s="19"/>
      <c r="J198" s="19">
        <f t="shared" si="34"/>
        <v>0</v>
      </c>
      <c r="K198" s="19">
        <f t="shared" si="34"/>
        <v>0</v>
      </c>
      <c r="L198" s="19">
        <f>+K198-J198</f>
        <v>0</v>
      </c>
      <c r="M198" s="21">
        <f>IFERROR(K198/J198,0)</f>
        <v>0</v>
      </c>
    </row>
    <row r="199" spans="1:19" s="55" customFormat="1" ht="14.25" hidden="1" outlineLevel="1" x14ac:dyDescent="0.2">
      <c r="A199" s="29" t="s">
        <v>197</v>
      </c>
      <c r="B199" s="19"/>
      <c r="C199" s="19"/>
      <c r="D199" s="19"/>
      <c r="E199" s="19"/>
      <c r="F199" s="19"/>
      <c r="G199" s="19"/>
      <c r="H199" s="19">
        <f>+B199+C199+G199+F199</f>
        <v>0</v>
      </c>
      <c r="I199" s="19"/>
      <c r="J199" s="19">
        <f t="shared" si="34"/>
        <v>0</v>
      </c>
      <c r="K199" s="19">
        <f t="shared" si="34"/>
        <v>0</v>
      </c>
      <c r="L199" s="19">
        <f>+K199-J199</f>
        <v>0</v>
      </c>
      <c r="M199" s="21">
        <f>IFERROR(K199/J199,0)</f>
        <v>0</v>
      </c>
    </row>
    <row r="200" spans="1:19" ht="15" collapsed="1" x14ac:dyDescent="0.25">
      <c r="A200" s="26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6"/>
    </row>
    <row r="201" spans="1:19" ht="15" x14ac:dyDescent="0.25">
      <c r="A201" s="26" t="s">
        <v>198</v>
      </c>
      <c r="B201" s="27">
        <f>+B40+B38</f>
        <v>1218541623.4033561</v>
      </c>
      <c r="C201" s="27">
        <f>+C38+C40</f>
        <v>575998683.80856574</v>
      </c>
      <c r="D201" s="27">
        <f>+D40+D38</f>
        <v>2533644842.9420042</v>
      </c>
      <c r="E201" s="27">
        <f>+E40+E38</f>
        <v>137057645.04644001</v>
      </c>
      <c r="F201" s="27">
        <f>+F40+F38</f>
        <v>1755130304.2141418</v>
      </c>
      <c r="G201" s="27">
        <f>+G38+G40+G195</f>
        <v>4976432220.8605795</v>
      </c>
      <c r="H201" s="27">
        <f>+B201+C201+D201+G201+E201+F201</f>
        <v>11196805320.275087</v>
      </c>
      <c r="I201" s="27">
        <f>+I197+I191+I40+I38</f>
        <v>972302862.55844998</v>
      </c>
      <c r="J201" s="27">
        <f>+I201+H201</f>
        <v>12169108182.833538</v>
      </c>
      <c r="K201" s="27">
        <f>+K20+K37+K40+K191+K195+K197</f>
        <v>9766206952</v>
      </c>
      <c r="L201" s="27">
        <f>+L20+L37+L40+L191+L195+L197</f>
        <v>-2402901230.8335371</v>
      </c>
      <c r="M201" s="16">
        <f>IFERROR(K201/(J201-J197-J195+K195),0)</f>
        <v>0.83240288467678425</v>
      </c>
    </row>
    <row r="202" spans="1:19" ht="15.75" thickBot="1" x14ac:dyDescent="0.3">
      <c r="A202" s="56"/>
      <c r="B202" s="57"/>
      <c r="C202" s="58"/>
      <c r="D202" s="58"/>
      <c r="E202" s="59"/>
      <c r="F202" s="58"/>
      <c r="G202" s="59"/>
      <c r="H202" s="58"/>
      <c r="I202" s="58"/>
      <c r="J202" s="58"/>
      <c r="K202" s="58"/>
      <c r="L202" s="58"/>
      <c r="M202" s="60"/>
      <c r="N202" s="23"/>
      <c r="O202" s="23"/>
      <c r="P202" s="23"/>
      <c r="Q202" s="23"/>
      <c r="R202" s="23"/>
      <c r="S202" s="23"/>
    </row>
    <row r="203" spans="1:19" ht="13.5" thickTop="1" x14ac:dyDescent="0.2">
      <c r="A203" s="61"/>
      <c r="B203" s="62"/>
      <c r="C203" s="62"/>
      <c r="D203" s="62"/>
      <c r="E203" s="62"/>
      <c r="F203" s="62"/>
      <c r="G203" s="63"/>
      <c r="H203" s="64"/>
      <c r="I203" s="62"/>
      <c r="J203" s="62"/>
      <c r="K203" s="62"/>
      <c r="L203" s="62"/>
      <c r="M203" s="65"/>
    </row>
    <row r="204" spans="1:19" x14ac:dyDescent="0.2">
      <c r="A204" s="61"/>
      <c r="B204" s="62"/>
      <c r="C204" s="62"/>
      <c r="D204" s="62"/>
      <c r="E204" s="62"/>
      <c r="F204" s="62"/>
      <c r="G204" s="66"/>
      <c r="H204" s="62"/>
      <c r="I204" s="62"/>
      <c r="J204" s="67"/>
      <c r="K204" s="67"/>
      <c r="L204" s="67"/>
      <c r="M204" s="68"/>
    </row>
    <row r="205" spans="1:19" ht="15.75" hidden="1" outlineLevel="1" x14ac:dyDescent="0.25">
      <c r="A205" s="61"/>
      <c r="C205" s="64"/>
      <c r="D205" s="64"/>
      <c r="E205" s="64"/>
      <c r="F205" s="64"/>
      <c r="G205" s="69"/>
      <c r="H205" s="70" t="s">
        <v>199</v>
      </c>
      <c r="I205" s="70" t="s">
        <v>200</v>
      </c>
      <c r="J205" s="71" t="s">
        <v>201</v>
      </c>
      <c r="K205" s="71"/>
      <c r="L205" s="71"/>
      <c r="M205" s="64"/>
    </row>
    <row r="206" spans="1:19" ht="15.75" hidden="1" outlineLevel="1" x14ac:dyDescent="0.25">
      <c r="A206" s="72"/>
      <c r="B206" s="64"/>
      <c r="C206" s="64"/>
      <c r="D206" s="64"/>
      <c r="E206" s="64"/>
      <c r="F206" s="64"/>
      <c r="G206" s="69" t="s">
        <v>202</v>
      </c>
      <c r="H206" s="73">
        <f>+B201+C201+D201+F201+I38+I192+E201</f>
        <v>6929201971.9729586</v>
      </c>
      <c r="I206" s="74">
        <f>+'[1]Anexo 1 Minagricultura'!B41</f>
        <v>6929201971.8415031</v>
      </c>
      <c r="J206" s="74">
        <f>+I206-H206</f>
        <v>-0.13145542144775391</v>
      </c>
      <c r="K206" s="74"/>
      <c r="L206" s="74"/>
      <c r="M206" s="64"/>
    </row>
    <row r="207" spans="1:19" ht="16.5" hidden="1" outlineLevel="1" thickBot="1" x14ac:dyDescent="0.3">
      <c r="A207" s="61"/>
      <c r="B207" s="64"/>
      <c r="C207" s="62"/>
      <c r="D207" s="75"/>
      <c r="E207" s="64"/>
      <c r="F207" s="64"/>
      <c r="G207" s="69" t="s">
        <v>203</v>
      </c>
      <c r="H207" s="76">
        <f>+G201+I193</f>
        <v>5239906210.8605795</v>
      </c>
      <c r="I207" s="77">
        <f>+'[1]Anexo 1 Minagricultura'!B45</f>
        <v>5239906210.7916718</v>
      </c>
      <c r="J207" s="77">
        <f>+I207-H207</f>
        <v>-6.8907737731933594E-2</v>
      </c>
      <c r="K207" s="78"/>
      <c r="L207" s="78"/>
      <c r="M207" s="64"/>
    </row>
    <row r="208" spans="1:19" ht="15.75" hidden="1" outlineLevel="1" x14ac:dyDescent="0.25">
      <c r="A208" s="61"/>
      <c r="B208" s="62"/>
      <c r="C208" s="62"/>
      <c r="D208" s="75"/>
      <c r="E208" s="64"/>
      <c r="F208" s="64"/>
      <c r="G208" s="69"/>
      <c r="H208" s="79">
        <f>+H206+H207</f>
        <v>12169108182.833538</v>
      </c>
      <c r="I208" s="80">
        <f>+I207+I206</f>
        <v>12169108182.633175</v>
      </c>
      <c r="J208" s="80">
        <f>+J207+J206</f>
        <v>-0.2003631591796875</v>
      </c>
      <c r="K208" s="80"/>
      <c r="L208" s="80"/>
      <c r="M208" s="64"/>
    </row>
    <row r="209" spans="1:13" ht="15.75" collapsed="1" x14ac:dyDescent="0.25">
      <c r="A209" s="61"/>
      <c r="B209" s="64"/>
      <c r="C209" s="64"/>
      <c r="D209" s="64"/>
      <c r="E209" s="64"/>
      <c r="F209" s="64"/>
      <c r="G209" s="69"/>
      <c r="H209" s="73"/>
      <c r="I209" s="69"/>
      <c r="J209" s="81"/>
      <c r="K209" s="81"/>
      <c r="L209" s="81"/>
      <c r="M209" s="64"/>
    </row>
    <row r="210" spans="1:13" x14ac:dyDescent="0.2">
      <c r="A210" s="64"/>
      <c r="B210" s="64"/>
      <c r="C210" s="64"/>
      <c r="D210" s="64"/>
      <c r="E210" s="64"/>
      <c r="F210" s="64"/>
      <c r="G210" s="64"/>
      <c r="H210" s="64"/>
      <c r="I210" s="64"/>
      <c r="J210" s="67"/>
      <c r="K210" s="67"/>
      <c r="L210" s="67"/>
      <c r="M210" s="64"/>
    </row>
    <row r="211" spans="1:13" x14ac:dyDescent="0.2">
      <c r="A211" s="64"/>
      <c r="B211" s="64"/>
      <c r="C211" s="64"/>
      <c r="D211" s="64"/>
      <c r="E211" s="64"/>
      <c r="F211" s="64"/>
      <c r="G211" s="64"/>
      <c r="H211" s="62"/>
      <c r="I211" s="62"/>
      <c r="J211" s="64"/>
      <c r="K211" s="64"/>
      <c r="L211" s="64"/>
      <c r="M211" s="64"/>
    </row>
    <row r="212" spans="1:13" x14ac:dyDescent="0.2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</row>
    <row r="213" spans="1:13" x14ac:dyDescent="0.2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</row>
    <row r="214" spans="1:13" x14ac:dyDescent="0.2">
      <c r="A214" s="64"/>
      <c r="B214" s="64"/>
      <c r="C214" s="64"/>
      <c r="D214" s="64"/>
      <c r="E214" s="64"/>
      <c r="F214" s="64"/>
      <c r="G214" s="64"/>
      <c r="H214" s="64"/>
      <c r="I214" s="75"/>
      <c r="J214" s="64"/>
      <c r="K214" s="64"/>
      <c r="L214" s="64"/>
      <c r="M214" s="64"/>
    </row>
    <row r="215" spans="1:13" x14ac:dyDescent="0.2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</row>
    <row r="216" spans="1:13" x14ac:dyDescent="0.2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</row>
    <row r="217" spans="1:13" x14ac:dyDescent="0.2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</row>
    <row r="218" spans="1:13" x14ac:dyDescent="0.2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</row>
    <row r="219" spans="1:13" x14ac:dyDescent="0.2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</row>
    <row r="220" spans="1:13" x14ac:dyDescent="0.2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</row>
    <row r="221" spans="1:13" x14ac:dyDescent="0.2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</row>
    <row r="222" spans="1:13" x14ac:dyDescent="0.2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</row>
    <row r="223" spans="1:13" x14ac:dyDescent="0.2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</row>
    <row r="224" spans="1:13" x14ac:dyDescent="0.2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</row>
    <row r="225" spans="1:13" x14ac:dyDescent="0.2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</row>
    <row r="226" spans="1:13" x14ac:dyDescent="0.2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</row>
    <row r="227" spans="1:13" x14ac:dyDescent="0.2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</row>
    <row r="228" spans="1:13" x14ac:dyDescent="0.2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</row>
    <row r="229" spans="1:13" x14ac:dyDescent="0.2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</row>
    <row r="230" spans="1:13" x14ac:dyDescent="0.2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</row>
    <row r="231" spans="1:13" x14ac:dyDescent="0.2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</row>
    <row r="232" spans="1:13" x14ac:dyDescent="0.2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</row>
    <row r="233" spans="1:13" x14ac:dyDescent="0.2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</row>
    <row r="234" spans="1:13" x14ac:dyDescent="0.2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</row>
    <row r="235" spans="1:13" x14ac:dyDescent="0.2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</row>
    <row r="236" spans="1:13" x14ac:dyDescent="0.2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</row>
    <row r="237" spans="1:13" x14ac:dyDescent="0.2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</row>
    <row r="238" spans="1:13" x14ac:dyDescent="0.2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</row>
    <row r="239" spans="1:13" x14ac:dyDescent="0.2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</row>
    <row r="240" spans="1:13" x14ac:dyDescent="0.2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</row>
    <row r="241" spans="1:13" x14ac:dyDescent="0.2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</row>
    <row r="242" spans="1:13" x14ac:dyDescent="0.2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</row>
    <row r="243" spans="1:13" x14ac:dyDescent="0.2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</row>
    <row r="244" spans="1:13" x14ac:dyDescent="0.2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</row>
    <row r="245" spans="1:13" x14ac:dyDescent="0.2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</row>
    <row r="246" spans="1:13" x14ac:dyDescent="0.2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</row>
    <row r="247" spans="1:13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</row>
    <row r="248" spans="1:13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</row>
    <row r="249" spans="1:13" x14ac:dyDescent="0.2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</row>
    <row r="250" spans="1:13" x14ac:dyDescent="0.2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</row>
    <row r="251" spans="1:13" x14ac:dyDescent="0.2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</row>
    <row r="252" spans="1:13" x14ac:dyDescent="0.2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</row>
    <row r="253" spans="1:13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</row>
    <row r="254" spans="1:13" x14ac:dyDescent="0.2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</row>
    <row r="255" spans="1:13" x14ac:dyDescent="0.2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</row>
    <row r="256" spans="1:13" x14ac:dyDescent="0.2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</row>
    <row r="257" spans="1:13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</row>
    <row r="258" spans="1:13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</row>
    <row r="259" spans="1:13" x14ac:dyDescent="0.2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</row>
    <row r="260" spans="1:13" x14ac:dyDescent="0.2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</row>
    <row r="261" spans="1:13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</row>
    <row r="262" spans="1:13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</row>
    <row r="263" spans="1:13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</row>
    <row r="264" spans="1:13" x14ac:dyDescent="0.2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</row>
    <row r="265" spans="1:13" x14ac:dyDescent="0.2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</row>
    <row r="266" spans="1:13" x14ac:dyDescent="0.2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</row>
    <row r="267" spans="1:13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</row>
    <row r="268" spans="1:13" x14ac:dyDescent="0.2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</row>
    <row r="269" spans="1:13" x14ac:dyDescent="0.2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</row>
    <row r="270" spans="1:13" x14ac:dyDescent="0.2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</row>
    <row r="271" spans="1:13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</row>
    <row r="272" spans="1:13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</row>
    <row r="273" spans="1:13" x14ac:dyDescent="0.2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</row>
    <row r="274" spans="1:13" x14ac:dyDescent="0.2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</row>
    <row r="275" spans="1:13" x14ac:dyDescent="0.2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</row>
    <row r="276" spans="1:13" x14ac:dyDescent="0.2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</row>
    <row r="277" spans="1:13" x14ac:dyDescent="0.2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</row>
    <row r="278" spans="1:13" x14ac:dyDescent="0.2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</row>
    <row r="279" spans="1:13" x14ac:dyDescent="0.2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</row>
    <row r="280" spans="1:13" x14ac:dyDescent="0.2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</row>
  </sheetData>
  <mergeCells count="5">
    <mergeCell ref="A1:M1"/>
    <mergeCell ref="A2:M2"/>
    <mergeCell ref="A3:M3"/>
    <mergeCell ref="A4:M4"/>
    <mergeCell ref="A5:M5"/>
  </mergeCells>
  <printOptions horizontalCentered="1"/>
  <pageMargins left="0.39370078740157483" right="0.39370078740157483" top="0.39370078740157483" bottom="0.39370078740157483" header="0" footer="0"/>
  <pageSetup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2019-10-16T17:50:20Z</dcterms:created>
  <dcterms:modified xsi:type="dcterms:W3CDTF">2019-10-16T17:51:01Z</dcterms:modified>
</cp:coreProperties>
</file>