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86" windowWidth="6585" windowHeight="5130" activeTab="0"/>
  </bookViews>
  <sheets>
    <sheet name="ingresos" sheetId="1" r:id="rId1"/>
    <sheet name="ANEXO INGRESOS" sheetId="2" state="hidden" r:id="rId2"/>
    <sheet name="ANEXO II" sheetId="3" state="hidden" r:id="rId3"/>
    <sheet name="Anexo 2 x Areas" sheetId="4" state="hidden" r:id="rId4"/>
    <sheet name="SUPERAVIT" sheetId="5" state="hidden" r:id="rId5"/>
    <sheet name="RES" sheetId="6" state="hidden" r:id="rId6"/>
    <sheet name="ECO" sheetId="7" state="hidden" r:id="rId7"/>
    <sheet name="TEC" sheetId="8" state="hidden" r:id="rId8"/>
    <sheet name="PPC" sheetId="9" state="hidden" r:id="rId9"/>
    <sheet name="MER" sheetId="10" state="hidden" r:id="rId10"/>
    <sheet name="FUN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NEXO" localSheetId="1" hidden="1">'[14]Inversión total en programas'!$50:$50,'[14]Inversión total en programas'!$60:$63</definedName>
    <definedName name="ANEXO" hidden="1">'[10]Inversión total en programas'!$50:$50,'[10]Inversión total en programas'!$60:$63</definedName>
    <definedName name="_xlnm.Print_Area" localSheetId="3">'Anexo 2 x Areas'!$A$1:$L$175</definedName>
    <definedName name="_xlnm.Print_Area" localSheetId="2">'ANEXO II'!$A$1:$U$173</definedName>
    <definedName name="_xlnm.Print_Area" localSheetId="6">'ECO'!$A$1:$AR$67</definedName>
    <definedName name="_xlnm.Print_Area" localSheetId="10">'FUN'!$A$1:$AR$51</definedName>
    <definedName name="_xlnm.Print_Area" localSheetId="0">'ingresos'!$A$1:$AM$39</definedName>
    <definedName name="_xlnm.Print_Area" localSheetId="9">'MER'!$A$1:$AS$75</definedName>
    <definedName name="_xlnm.Print_Area" localSheetId="5">'RES'!$A$1:$V$58</definedName>
    <definedName name="_xlnm.Print_Area" localSheetId="7">'TEC'!$A$1:$AS$64</definedName>
    <definedName name="_xlnm.Print_Area">'Anexo 2 x Areas'!$A$1:$B$178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'[9]Anexo 1 Minagricultura'!#REF!</definedName>
    <definedName name="CABEZAS_PROYEC" localSheetId="3">'[20]Anexo 1 Minagricultura'!#REF!</definedName>
    <definedName name="CABEZAS_PROYEC" localSheetId="2">'[20]Anexo 1 Minagricultura'!#REF!</definedName>
    <definedName name="CABEZAS_PROYEC" localSheetId="0">'ingresos'!#REF!</definedName>
    <definedName name="CABEZAS_PROYEC">'[5]Anexo 1 Minagricultura'!#REF!</definedName>
    <definedName name="CUOTAPPC2005" localSheetId="3">'[20]Anexo 1 Minagricultura'!#REF!</definedName>
    <definedName name="CUOTAPPC2005" localSheetId="2">'[20]Anexo 1 Minagricultura'!#REF!</definedName>
    <definedName name="CUOTAPPC2005" localSheetId="0">'ingresos'!$B$15</definedName>
    <definedName name="CUOTAPPC2005">'[5]Anexo 1 Minagricultura'!#REF!</definedName>
    <definedName name="DIAG_PPC" localSheetId="1">'[14]Inversión total en programas'!$B$86</definedName>
    <definedName name="DIAG_PPC">'[10]Inversión total en programas'!$B$86</definedName>
    <definedName name="eeeee">#REF!</definedName>
    <definedName name="EPPC" localSheetId="3">'[20]Anexo 1 Minagricultura'!#REF!</definedName>
    <definedName name="EPPC" localSheetId="2">'[20]Anexo 1 Minagricultura'!#REF!</definedName>
    <definedName name="EPPC" localSheetId="0">'ingresos'!#REF!</definedName>
    <definedName name="EPPC">'[5]Anexo 1 Minagricultura'!#REF!</definedName>
    <definedName name="FDGFDG" localSheetId="3">#REF!</definedName>
    <definedName name="FDGFDG" localSheetId="2">#REF!</definedName>
    <definedName name="FDGFDG" localSheetId="0">#REF!</definedName>
    <definedName name="FDGFDG">#REF!</definedName>
    <definedName name="FOMENTO" localSheetId="3">'[20]Anexo 1 Minagricultura'!#REF!</definedName>
    <definedName name="FOMENTO" localSheetId="2">'[20]Anexo 1 Minagricultura'!#REF!</definedName>
    <definedName name="FOMENTO" localSheetId="0">'ingresos'!#REF!</definedName>
    <definedName name="FOMENTO">'[5]Anexo 1 Minagricultura'!#REF!</definedName>
    <definedName name="FOMENTOS">'[6]Anexo 1 Minagricultura'!$C$51</definedName>
    <definedName name="fondo">#REF!</definedName>
    <definedName name="GTOSEPPC" localSheetId="1">'[14]Inversión total en programas'!$C$35</definedName>
    <definedName name="GTOSEPPC">'[10]Inversión total en programas'!$C$35</definedName>
    <definedName name="HONORAUDI_JURIDIC">#REF!</definedName>
    <definedName name="HONTOTAL">#REF!</definedName>
    <definedName name="ojo">#REF!</definedName>
    <definedName name="RESERV_FUTU">#REF!</definedName>
    <definedName name="saldo">#REF!</definedName>
    <definedName name="saldos">#REF!</definedName>
    <definedName name="SUPERA2004" localSheetId="3">'[20]Anexo 1 Minagricultura'!#REF!</definedName>
    <definedName name="SUPERA2004" localSheetId="2">'[20]Anexo 1 Minagricultura'!#REF!</definedName>
    <definedName name="SUPERA2004" localSheetId="0">'ingresos'!#REF!</definedName>
    <definedName name="SUPERA2004">'[5]Anexo 1 Minagricultura'!#REF!</definedName>
    <definedName name="SUPERA2005" localSheetId="3">'[20]Anexo 1 Minagricultura'!#REF!</definedName>
    <definedName name="SUPERA2005" localSheetId="2">'[20]Anexo 1 Minagricultura'!#REF!</definedName>
    <definedName name="SUPERA2005" localSheetId="0">'ingresos'!#REF!</definedName>
    <definedName name="SUPERA2005">'[5]Anexo 1 Minagricultura'!#REF!</definedName>
    <definedName name="SUPERAVIT">#REF!</definedName>
    <definedName name="SUPERAVIT2005_FNP">#REF!</definedName>
    <definedName name="SUPERAVITPPC_2005">#REF!</definedName>
    <definedName name="_xlnm.Print_Titles">'Anexo 2 x Areas'!$1:$6</definedName>
    <definedName name="VTAS2005" localSheetId="3">'[20]Anexo 1 Minagricultura'!#REF!</definedName>
    <definedName name="VTAS2005" localSheetId="2">'[20]Anexo 1 Minagricultura'!#REF!</definedName>
    <definedName name="VTAS2005" localSheetId="0">'ingresos'!$B$32</definedName>
    <definedName name="VTAS2005">'[5]Anexo 1 Minagricultura'!#REF!</definedName>
    <definedName name="xx">'[7]Ingresos'!$C$19</definedName>
    <definedName name="Z_4099E833_BB74_4680_85C9_A6CF399D1CE2_.wvu.Cols" localSheetId="3" hidden="1">'[20]Nómina 2004'!$C:$E,'[20]Nómina 2004'!$H:$I,'[20]Nómina 2004'!$L:$P,'[20]Nómina 2004'!$AF:$AH</definedName>
    <definedName name="Z_4099E833_BB74_4680_85C9_A6CF399D1CE2_.wvu.Cols" localSheetId="2" hidden="1">'[20]Nómina 2004'!$C:$E,'[20]Nómina 2004'!$H:$I,'[20]Nómina 2004'!$L:$P,'[20]Nómina 2004'!$AF:$AH</definedName>
    <definedName name="Z_4099E833_BB74_4680_85C9_A6CF399D1CE2_.wvu.Cols" localSheetId="0" hidden="1">'[9]Nómina 2004'!$C:$E,'[9]Nómina 2004'!$H:$I,'[9]Nómina 2004'!$L:$P,'[9]Nómina 2004'!$AF:$AH</definedName>
    <definedName name="Z_4099E833_BB74_4680_85C9_A6CF399D1CE2_.wvu.Cols" hidden="1">'[5]Nómina 2004'!$C:$E,'[5]Nómina 2004'!$H:$I,'[5]Nómina 2004'!$L:$P,'[5]Nómina 2004'!$AF:$AH</definedName>
    <definedName name="Z_4099E833_BB74_4680_85C9_A6CF399D1CE2_.wvu.PrintArea" localSheetId="0" hidden="1">'ingresos'!$A$1:$B$39</definedName>
    <definedName name="Z_4099E833_BB74_4680_85C9_A6CF399D1CE2_.wvu.PrintArea" hidden="1">#REF!</definedName>
    <definedName name="Z_4099E833_BB74_4680_85C9_A6CF399D1CE2_.wvu.Rows" localSheetId="3" hidden="1">'[20]Inversión total en programas'!$50:$50,'[20]Inversión total en programas'!$60:$63</definedName>
    <definedName name="Z_4099E833_BB74_4680_85C9_A6CF399D1CE2_.wvu.Rows" localSheetId="2" hidden="1">'[20]Inversión total en programas'!$50:$50,'[20]Inversión total en programas'!$60:$63</definedName>
    <definedName name="Z_4099E833_BB74_4680_85C9_A6CF399D1CE2_.wvu.Rows" localSheetId="0" hidden="1">'[9]Inversión total en programas'!$50:$50,'[9]Inversión total en programas'!$60:$63</definedName>
    <definedName name="Z_4099E833_BB74_4680_85C9_A6CF399D1CE2_.wvu.Rows" hidden="1">'[5]Inversión total en programas'!$50:$50,'[5]Inversión total en programas'!$60:$63</definedName>
  </definedNames>
  <calcPr fullCalcOnLoad="1"/>
</workbook>
</file>

<file path=xl/comments1.xml><?xml version="1.0" encoding="utf-8"?>
<comments xmlns="http://schemas.openxmlformats.org/spreadsheetml/2006/main">
  <authors>
    <author> </author>
    <author>Patricia Martinez</author>
  </authors>
  <commentList>
    <comment ref="W13" authorId="0">
      <text>
        <r>
          <rPr>
            <b/>
            <sz val="8"/>
            <rFont val="Tahoma"/>
            <family val="2"/>
          </rPr>
          <t>CUENTAS DE COBRO FNP $25.701.208, PPC $8.567.070,  TOTAL $34.268.278
ING. REAL 2.369.556.654 
* REG. ING. II TRIMESTRE (SICE)</t>
        </r>
      </text>
    </comment>
    <comment ref="V17" authorId="0">
      <text>
        <r>
          <rPr>
            <b/>
            <sz val="8"/>
            <rFont val="Tahoma"/>
            <family val="2"/>
          </rPr>
          <t>CUENTAS DE COBRO FNP $46.423.216.5, PPC $15.474.405.5    TOTAL $61.897.622
ING. REAL 2.123.460.476</t>
        </r>
      </text>
    </comment>
    <comment ref="Z36" authorId="1">
      <text>
        <r>
          <rPr>
            <b/>
            <sz val="9"/>
            <rFont val="Tahoma"/>
            <family val="2"/>
          </rPr>
          <t>Ajuste $1.483.008 validación presupuesto ingresos consolidado, error III trimestre transcripción de datos</t>
        </r>
        <r>
          <rPr>
            <sz val="9"/>
            <rFont val="Tahoma"/>
            <family val="2"/>
          </rPr>
          <t xml:space="preserve">
</t>
        </r>
      </text>
    </comment>
    <comment ref="Y36" authorId="1">
      <text>
        <r>
          <rPr>
            <b/>
            <sz val="9"/>
            <rFont val="Tahoma"/>
            <family val="2"/>
          </rPr>
          <t>Ajuste $1.483.008 validación presupuesto ingresos consolidado, error III trimestre transcripción de datos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Asoporcicultores</author>
    <author> </author>
  </authors>
  <commentList>
    <comment ref="AC50" authorId="0">
      <text>
        <r>
          <rPr>
            <b/>
            <sz val="8"/>
            <rFont val="Tahoma"/>
            <family val="2"/>
          </rPr>
          <t>REG. X CONTAB. 16650101 - Muebles y Enseres - Myr Vlr. Remodelación cocinas $17.539.200</t>
        </r>
      </text>
    </comment>
    <comment ref="AG50" authorId="0">
      <text>
        <r>
          <rPr>
            <b/>
            <sz val="8"/>
            <rFont val="Tahoma"/>
            <family val="2"/>
          </rPr>
          <t>CTA. 1665 - MUEBLES Y ENSERES $17.539.200</t>
        </r>
      </text>
    </comment>
    <comment ref="AD67" authorId="1">
      <text>
        <r>
          <rPr>
            <b/>
            <sz val="8"/>
            <rFont val="Tahoma"/>
            <family val="2"/>
          </rPr>
          <t>CONTAB. REG. $2.807.227, EN IVA DESCONTABLE</t>
        </r>
      </text>
    </comment>
    <comment ref="AE67" authorId="1">
      <text>
        <r>
          <rPr>
            <b/>
            <sz val="8"/>
            <rFont val="Tahoma"/>
            <family val="2"/>
          </rPr>
          <t>Contab. Reg. IVA JULIO $14.473.818 CTA. 2445, IVA AGOSTO $521.727 CTA. 2445</t>
        </r>
      </text>
    </comment>
    <comment ref="AG40" authorId="1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Se efectua provision en el mes de diciembre por valor $ 2.865.896 corres. AC Nielsen,debido a que este gasto se ejecutara el primer trimestre del 2012 </t>
        </r>
      </text>
    </comment>
  </commentList>
</comments>
</file>

<file path=xl/comments11.xml><?xml version="1.0" encoding="utf-8"?>
<comments xmlns="http://schemas.openxmlformats.org/spreadsheetml/2006/main">
  <authors>
    <author> </author>
  </authors>
  <commentList>
    <comment ref="AB41" authorId="0">
      <text>
        <r>
          <rPr>
            <b/>
            <sz val="8"/>
            <rFont val="Tahoma"/>
            <family val="2"/>
          </rPr>
          <t>Fac por $93.226.554, se resta provisión de Dic/10 $89.040.004, REG. X CONTAB. CTA 5815881009-AJUSTE EJERC. AÑOS ANTERIORES $4.186.550 en Enero</t>
        </r>
      </text>
    </comment>
  </commentList>
</comments>
</file>

<file path=xl/comments2.xml><?xml version="1.0" encoding="utf-8"?>
<comments xmlns="http://schemas.openxmlformats.org/spreadsheetml/2006/main">
  <authors>
    <author> </author>
    <author>Patricia Martinez</author>
  </authors>
  <commentList>
    <comment ref="I35" authorId="0">
      <text>
        <r>
          <rPr>
            <b/>
            <sz val="8"/>
            <rFont val="Tahoma"/>
            <family val="2"/>
          </rPr>
          <t>IVA 10% Y UNA FACTURA CON IVA DEL 16%</t>
        </r>
      </text>
    </comment>
    <comment ref="D39" authorId="0">
      <text>
        <r>
          <rPr>
            <b/>
            <sz val="8"/>
            <rFont val="Tahoma"/>
            <family val="2"/>
          </rPr>
          <t>Se incrementa al ingreso, el valor correspondiente al Iva generado por arrendamientos feria $ 1.325.000</t>
        </r>
      </text>
    </comment>
    <comment ref="E39" authorId="0">
      <text>
        <r>
          <rPr>
            <b/>
            <sz val="8"/>
            <rFont val="Tahoma"/>
            <family val="2"/>
          </rPr>
          <t>Se incrementa al ingreso, el valor correspondiente al Iva generado por arrendamientos feria $ 1.325.000</t>
        </r>
      </text>
    </comment>
    <comment ref="E40" authorId="0">
      <text>
        <r>
          <rPr>
            <b/>
            <sz val="8"/>
            <rFont val="Tahoma"/>
            <family val="2"/>
          </rPr>
          <t>Gasto MADR y nomina IAT I</t>
        </r>
      </text>
    </comment>
    <comment ref="E41" authorId="0">
      <text>
        <r>
          <rPr>
            <b/>
            <sz val="8"/>
            <rFont val="Tahoma"/>
            <family val="2"/>
          </rPr>
          <t>Gasto IAT Productores, monitoreo IAT y asistencia ténica IAT, MENOS Iva Porcinino y Feria de la carne</t>
        </r>
      </text>
    </comment>
    <comment ref="E42" authorId="0">
      <text>
        <r>
          <rPr>
            <sz val="8"/>
            <rFont val="Tahoma"/>
            <family val="2"/>
          </rPr>
          <t xml:space="preserve">Se incrementa el ingreso de porcicino debido a un mayor vr facturado por autoconsumo $ 1.483.008
</t>
        </r>
      </text>
    </comment>
    <comment ref="I49" authorId="0">
      <text>
        <r>
          <rPr>
            <b/>
            <sz val="8"/>
            <rFont val="Tahoma"/>
            <family val="2"/>
          </rPr>
          <t>IVA 16%</t>
        </r>
      </text>
    </comment>
    <comment ref="G42" authorId="1">
      <text>
        <r>
          <rPr>
            <sz val="9"/>
            <rFont val="Tahoma"/>
            <family val="2"/>
          </rPr>
          <t xml:space="preserve">contabilidad $154.209.242 ingreso sin IVA
</t>
        </r>
      </text>
    </comment>
    <comment ref="G39" authorId="1">
      <text>
        <r>
          <rPr>
            <b/>
            <sz val="9"/>
            <rFont val="Tahoma"/>
            <family val="2"/>
          </rPr>
          <t>contabilidad tiene $23.000.000 diferencia IVA por arrendamientos</t>
        </r>
        <r>
          <rPr>
            <sz val="9"/>
            <rFont val="Tahoma"/>
            <family val="2"/>
          </rPr>
          <t xml:space="preserve">
</t>
        </r>
      </text>
    </comment>
    <comment ref="G22" authorId="1">
      <text>
        <r>
          <rPr>
            <sz val="9"/>
            <rFont val="Tahoma"/>
            <family val="2"/>
          </rPr>
          <t xml:space="preserve">diferencia contabilidad 2.450.000 presupuesto disminuyó el superavit de vigencias anteriores no aplica.
</t>
        </r>
      </text>
    </comment>
    <comment ref="F41" authorId="1">
      <text>
        <r>
          <rPr>
            <b/>
            <sz val="9"/>
            <rFont val="Tahoma"/>
            <family val="2"/>
          </rPr>
          <t>diferencia ajuste anual, valor contabilidad$145.756.770 cuentas No. 43900402 y 43900502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Asoporcicultores</author>
  </authors>
  <commentList>
    <comment ref="Q50" authorId="0">
      <text>
        <r>
          <rPr>
            <b/>
            <sz val="8"/>
            <rFont val="Tahoma"/>
            <family val="2"/>
          </rPr>
          <t>EXISTE UNA DIF DE $4.186.500 CON RESPECTO AL INGRESO, DEBIDO A UN MENOR VLR. COBRADO POR LA CUOTA DE FOMENTO DE DICIEMBRE YA QUE SE COBRO INICIALMENTE DE ACUERDO A UNA PROVISION</t>
        </r>
      </text>
    </comment>
  </commentList>
</comments>
</file>

<file path=xl/comments6.xml><?xml version="1.0" encoding="utf-8"?>
<comments xmlns="http://schemas.openxmlformats.org/spreadsheetml/2006/main">
  <authors>
    <author>Asoporcicultores</author>
  </authors>
  <commentList>
    <comment ref="O50" authorId="0">
      <text>
        <r>
          <rPr>
            <b/>
            <sz val="8"/>
            <rFont val="Tahoma"/>
            <family val="2"/>
          </rPr>
          <t>EXISTE UNA DIF DE $4.186.500 CON RESPECTO AL INGRESO, DEBIDO A UN MENOR VLR. COBRADO POR LA CUOTA DE FOMENTO DE DICIEMBRE YA QUE SE COBRO INICIALMENTE DE ACUERDO A UNA PROVISION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C46" authorId="0">
      <text>
        <r>
          <rPr>
            <b/>
            <sz val="8"/>
            <rFont val="Tahoma"/>
            <family val="2"/>
          </rPr>
          <t>REG EN CTA. 16700201 - EQUIP COMPUTACIÓN $3.160.672 Y CTA. 19700801 - SOFTWARE $974.400</t>
        </r>
      </text>
    </comment>
    <comment ref="C7" authorId="0">
      <text>
        <r>
          <rPr>
            <b/>
            <sz val="8"/>
            <rFont val="Tahoma"/>
            <family val="2"/>
          </rPr>
          <t>del 24 de marzo 2011</t>
        </r>
      </text>
    </comment>
    <comment ref="D7" authorId="0">
      <text>
        <r>
          <rPr>
            <b/>
            <sz val="8"/>
            <rFont val="Tahoma"/>
            <family val="2"/>
          </rPr>
          <t>Del 24 de marzo de 2011</t>
        </r>
      </text>
    </comment>
    <comment ref="E7" authorId="0">
      <text>
        <r>
          <rPr>
            <b/>
            <sz val="8"/>
            <rFont val="Tahoma"/>
            <family val="2"/>
          </rPr>
          <t>16 junio de 2011</t>
        </r>
      </text>
    </comment>
    <comment ref="F7" authorId="0">
      <text>
        <r>
          <rPr>
            <b/>
            <sz val="8"/>
            <rFont val="Tahoma"/>
            <family val="2"/>
          </rPr>
          <t>Del 15 de Sept/11</t>
        </r>
      </text>
    </comment>
    <comment ref="G7" authorId="0">
      <text>
        <r>
          <rPr>
            <b/>
            <sz val="8"/>
            <rFont val="Tahoma"/>
            <family val="2"/>
          </rPr>
          <t>Del 15 de Sept/11</t>
        </r>
      </text>
    </comment>
    <comment ref="AF45" authorId="0">
      <text>
        <r>
          <rPr>
            <sz val="8"/>
            <rFont val="Tahoma"/>
            <family val="2"/>
          </rPr>
          <t xml:space="preserve"> Compra portatil Toshiba Camilo Barrios $ 3.678.249</t>
        </r>
      </text>
    </comment>
    <comment ref="AF46" authorId="0">
      <text>
        <r>
          <rPr>
            <b/>
            <sz val="8"/>
            <rFont val="Tahoma"/>
            <family val="2"/>
          </rPr>
          <t>REG EN CTA. 16700201 - EQUIP COMPUTACIÓN $3.160.672 Y CTA. 19700801 - SOFTWARE $974.400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C7" authorId="0">
      <text>
        <r>
          <rPr>
            <b/>
            <sz val="8"/>
            <rFont val="Tahoma"/>
            <family val="2"/>
          </rPr>
          <t>del 24 de marzo 2011</t>
        </r>
      </text>
    </comment>
    <comment ref="D7" authorId="0">
      <text>
        <r>
          <rPr>
            <b/>
            <sz val="8"/>
            <rFont val="Tahoma"/>
            <family val="2"/>
          </rPr>
          <t>Del 24 de marzo de 2011</t>
        </r>
      </text>
    </comment>
    <comment ref="E7" authorId="0">
      <text>
        <r>
          <rPr>
            <b/>
            <sz val="8"/>
            <rFont val="Tahoma"/>
            <family val="2"/>
          </rPr>
          <t>16 junio de 2011</t>
        </r>
      </text>
    </comment>
    <comment ref="F7" authorId="0">
      <text>
        <r>
          <rPr>
            <b/>
            <sz val="8"/>
            <rFont val="Tahoma"/>
            <family val="2"/>
          </rPr>
          <t>Del 15 de Sept/11</t>
        </r>
      </text>
    </comment>
    <comment ref="G7" authorId="0">
      <text>
        <r>
          <rPr>
            <b/>
            <sz val="8"/>
            <rFont val="Tahoma"/>
            <family val="2"/>
          </rPr>
          <t>Del 15 de Sept/11</t>
        </r>
      </text>
    </comment>
  </commentList>
</comments>
</file>

<file path=xl/comments9.xml><?xml version="1.0" encoding="utf-8"?>
<comments xmlns="http://schemas.openxmlformats.org/spreadsheetml/2006/main">
  <authors>
    <author> </author>
    <author>Patricia Martinez</author>
  </authors>
  <commentList>
    <comment ref="AD55" authorId="0">
      <text>
        <r>
          <rPr>
            <b/>
            <sz val="8"/>
            <rFont val="Tahoma"/>
            <family val="2"/>
          </rPr>
          <t xml:space="preserve">Contab. Reg. En julio $46.000.000 al gasto, corresp. A compensaciones ICA, Presupuesto registra de acuerdo a radicaciones recibidas. En julio se reg. $18.100.000 cruza con cta. 29100702 de Ing. Rec. Para terceros - Contabilidad, En Agosto se registro $28.550.000 cruza con cta. 29100702 y en Septiembre se registro $6.500.000
</t>
        </r>
      </text>
    </comment>
    <comment ref="AE46" authorId="0">
      <text>
        <r>
          <rPr>
            <b/>
            <sz val="8"/>
            <rFont val="Tahoma"/>
            <family val="2"/>
          </rPr>
          <t xml:space="preserve"> Gastos generales $ 12.831.850,Gastos Biologico Brigadas $ 69.435.296, Myr Valor Facturado por vecol $ (-21.825)</t>
        </r>
      </text>
    </comment>
    <comment ref="AD46" authorId="0">
      <text>
        <r>
          <rPr>
            <b/>
            <sz val="8"/>
            <rFont val="Tahoma"/>
            <family val="2"/>
          </rPr>
          <t xml:space="preserve"> Gastos generales $ 11.385.120,Gastos Biologico Brigadas $ 40.760.200 Vr Contab $ 47.660.250 compra anticip biologico $ 14.061.450</t>
        </r>
      </text>
    </comment>
    <comment ref="AC46" authorId="0">
      <text>
        <r>
          <rPr>
            <b/>
            <sz val="8"/>
            <rFont val="Tahoma"/>
            <family val="2"/>
          </rPr>
          <t xml:space="preserve"> Gastos generales $ 15.942.332,Gastos Biologico Brigadas $ 33.714.700 Vr Contabilidad $ 49.800.723 compra ant biologico $17.977.023</t>
        </r>
      </text>
    </comment>
    <comment ref="AB46" authorId="0">
      <text>
        <r>
          <rPr>
            <b/>
            <sz val="8"/>
            <rFont val="Tahoma"/>
            <family val="2"/>
          </rPr>
          <t xml:space="preserve"> Gastos generales $ 8.250.641,Gastos Biologico Brigadas $ 14.829.100/Vr contab.$ 50.595.660 compras anticipadas$ 35.766.560</t>
        </r>
      </text>
    </comment>
    <comment ref="AF46" authorId="0">
      <text>
        <r>
          <rPr>
            <b/>
            <sz val="8"/>
            <rFont val="Tahoma"/>
            <family val="2"/>
          </rPr>
          <t xml:space="preserve"> Vr contabilidad $ 343.757.894/ Compra biologico antic $68.149.208 Chapetas $ 68.437.623</t>
        </r>
      </text>
    </comment>
    <comment ref="AC34" authorId="0">
      <text>
        <r>
          <rPr>
            <b/>
            <sz val="8"/>
            <rFont val="Tahoma"/>
            <family val="2"/>
          </rPr>
          <t xml:space="preserve"> Diferencia $ 862 pesos llevada como impuestos asumidos por contabilidad</t>
        </r>
      </text>
    </comment>
    <comment ref="AF34" authorId="0">
      <text>
        <r>
          <rPr>
            <b/>
            <sz val="8"/>
            <rFont val="Tahoma"/>
            <family val="2"/>
          </rPr>
          <t xml:space="preserve"> Diferencia $ 862 pesos llevada como impuestos asumidos por contabilidad en el 2do trimestre</t>
        </r>
      </text>
    </comment>
    <comment ref="AF35" authorId="1">
      <text>
        <r>
          <rPr>
            <b/>
            <sz val="9"/>
            <rFont val="Tahoma"/>
            <family val="2"/>
          </rPr>
          <t>Suma cuentas 51202401, 58023801,580301,58109012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<sst xmlns="http://schemas.openxmlformats.org/spreadsheetml/2006/main" count="1328" uniqueCount="447">
  <si>
    <t>MINISTERIO DE AGRICULTURA Y DESARROLLO RURAL</t>
  </si>
  <si>
    <t>DIRECCIÒN DE CONTROL PRESUPUESTAL Y SEGUIMIENTO</t>
  </si>
  <si>
    <t>RUBROS</t>
  </si>
  <si>
    <t>PRESUPUESTO</t>
  </si>
  <si>
    <t xml:space="preserve">TOTAL </t>
  </si>
  <si>
    <t>SOLICITADO</t>
  </si>
  <si>
    <t>EJECUTADO</t>
  </si>
  <si>
    <t>TOTAL</t>
  </si>
  <si>
    <t>DIFERENCIA ANUAL</t>
  </si>
  <si>
    <t>PENDIENTE POR</t>
  </si>
  <si>
    <t>DIFERENCIA</t>
  </si>
  <si>
    <t>PRESPTO</t>
  </si>
  <si>
    <t>ENE-MAR</t>
  </si>
  <si>
    <t>ABR-JUN</t>
  </si>
  <si>
    <t>JUL-SEP</t>
  </si>
  <si>
    <t>OCT-DIC</t>
  </si>
  <si>
    <t>ENE-DIC</t>
  </si>
  <si>
    <t>PPTO - SOLICITADO</t>
  </si>
  <si>
    <t xml:space="preserve">EJECUTAR </t>
  </si>
  <si>
    <t xml:space="preserve"> ANUAL</t>
  </si>
  <si>
    <t>SOLICITADO-EJECUTADO</t>
  </si>
  <si>
    <t>ENE -MAR</t>
  </si>
  <si>
    <t>GASTOS DE PERSONAL</t>
  </si>
  <si>
    <t>Servicios de personal</t>
  </si>
  <si>
    <t>Sueldos</t>
  </si>
  <si>
    <t>Cesantías</t>
  </si>
  <si>
    <t>Intereses de cesantías</t>
  </si>
  <si>
    <t>Prima legal</t>
  </si>
  <si>
    <t>Vacaciones</t>
  </si>
  <si>
    <t xml:space="preserve">Capacitación </t>
  </si>
  <si>
    <t>Seguros y/o fondos privados</t>
  </si>
  <si>
    <t>Caja de compensación</t>
  </si>
  <si>
    <t>Aportes ICBF y SENA</t>
  </si>
  <si>
    <t xml:space="preserve">Dotación y suministro </t>
  </si>
  <si>
    <t>Honorarios</t>
  </si>
  <si>
    <t>TOTAL SERVICIOS PERSONALES</t>
  </si>
  <si>
    <t>GASTOS GENERALES</t>
  </si>
  <si>
    <t>Muebles, equipos  de oficina y software</t>
  </si>
  <si>
    <t>Aseo, vigilancia y cafetería</t>
  </si>
  <si>
    <t>Materiales y suministros</t>
  </si>
  <si>
    <t xml:space="preserve">Mantenimiento </t>
  </si>
  <si>
    <t>Servicios públicos</t>
  </si>
  <si>
    <t>Arriendos</t>
  </si>
  <si>
    <t>Gastos de viaje</t>
  </si>
  <si>
    <t>Impresos y publicaciones</t>
  </si>
  <si>
    <t>Correo</t>
  </si>
  <si>
    <t>Transportes, fletes y acarreos</t>
  </si>
  <si>
    <t>Seguros, impuestos y gastos legales</t>
  </si>
  <si>
    <t>Gastos comisión de fomento</t>
  </si>
  <si>
    <t>Comisiones y gastos bancarios</t>
  </si>
  <si>
    <t>Cuota auditaje CGR</t>
  </si>
  <si>
    <t>TOTAL GASTOS GENERALES</t>
  </si>
  <si>
    <t>PROGRAMAS</t>
  </si>
  <si>
    <t>Área Económica</t>
  </si>
  <si>
    <t>Área Técnica</t>
  </si>
  <si>
    <t>Área PPC</t>
  </si>
  <si>
    <t>Área de Mercadeo</t>
  </si>
  <si>
    <t>TOTAL PROGRAMAS</t>
  </si>
  <si>
    <t>CUOTA DE ADMINISTRACIÓN</t>
  </si>
  <si>
    <t>RESERVAS FUTUROS INV Y GASTOS</t>
  </si>
  <si>
    <t>CUOTA DE FOMENTO</t>
  </si>
  <si>
    <t>ERRADICACIÓN PESTE PORCINA CLÁSICA</t>
  </si>
  <si>
    <t>TOTAL INVERSIÓN Y FUNCIONAMIENTO</t>
  </si>
  <si>
    <t>no afecta ppto.</t>
  </si>
  <si>
    <t>MENOS IVA PRIMER TRIMESTRE</t>
  </si>
  <si>
    <t>MENOS no afecta</t>
  </si>
  <si>
    <t>menos cta. Gto. Notaria importa</t>
  </si>
  <si>
    <t>DIF. PPTO. Vs CONTABILIDAD</t>
  </si>
  <si>
    <t>REGISTRO SICE</t>
  </si>
  <si>
    <t>P</t>
  </si>
  <si>
    <t>AUDITORIA DE CIFRAS</t>
  </si>
  <si>
    <t>Total gastos personal</t>
  </si>
  <si>
    <t>Total gastos generales</t>
  </si>
  <si>
    <t>Total programas</t>
  </si>
  <si>
    <t>GRAN TOTAL</t>
  </si>
  <si>
    <t>Diferencias = reserva</t>
  </si>
  <si>
    <t>Diferencia real</t>
  </si>
  <si>
    <t>TOTAL ANUAL</t>
  </si>
  <si>
    <t>SALDO PPTO</t>
  </si>
  <si>
    <t>DIFERENCIA SOLICITADO-</t>
  </si>
  <si>
    <t>% EJECUTADO</t>
  </si>
  <si>
    <t>% EJECUCIÓN</t>
  </si>
  <si>
    <t>ECONÓMICA</t>
  </si>
  <si>
    <t>DEFINITIVO</t>
  </si>
  <si>
    <t>POR SOLICITAR</t>
  </si>
  <si>
    <t>ANUAL</t>
  </si>
  <si>
    <t>FORMALIDAD E INTEGRACIÓN</t>
  </si>
  <si>
    <t>Centro de servicios técnicos y financieros</t>
  </si>
  <si>
    <t>Fortalecimiento institucional</t>
  </si>
  <si>
    <t>COMSAC</t>
  </si>
  <si>
    <t>Participación en negociaciones</t>
  </si>
  <si>
    <t>Sistemas de información de mercados</t>
  </si>
  <si>
    <t xml:space="preserve">Monitoreo información de precios </t>
  </si>
  <si>
    <t>Actualización de información</t>
  </si>
  <si>
    <t>Fortalecimiento al recaudo</t>
  </si>
  <si>
    <t>Auxilios de movilización de los coordinadores de recaudo</t>
  </si>
  <si>
    <t>TOTAL ÁREA ECONÓMICA</t>
  </si>
  <si>
    <t>TÉCNICA</t>
  </si>
  <si>
    <t>PRODUCTIVIDAD DE EMPRESA</t>
  </si>
  <si>
    <t>Investigación</t>
  </si>
  <si>
    <t>Eficiencia sanitaria</t>
  </si>
  <si>
    <t>Servicios de diagnóstico</t>
  </si>
  <si>
    <t>Gestión de transferencia de tecnología</t>
  </si>
  <si>
    <t>Gestión Ambiental</t>
  </si>
  <si>
    <t>TOTAL ÁREA TÉCNICA</t>
  </si>
  <si>
    <t>Muebles, equipos de oficina y software</t>
  </si>
  <si>
    <t>COMERCIALIZACIÓN</t>
  </si>
  <si>
    <t>Eventos investigativos</t>
  </si>
  <si>
    <t>TOTAL PROGRAMA</t>
  </si>
  <si>
    <t>TOTAL ÁREA MERCADEO</t>
  </si>
  <si>
    <t>FINAN. AUDIT.</t>
  </si>
  <si>
    <t>EJECUTADO (ANUAL)</t>
  </si>
  <si>
    <t>Seguros, Impuestos y gastos legales</t>
  </si>
  <si>
    <t>CUOTA ERRADICACIÓN PESTE PORCINA CLÁSICA</t>
  </si>
  <si>
    <t>Herramientas del Centro de servicios</t>
  </si>
  <si>
    <t>Asesorías a pequeños productores</t>
  </si>
  <si>
    <t>Asesorías a medianos y grandes productores y grupos</t>
  </si>
  <si>
    <t>Programa nacional de mejoramiento del estatus sanitario</t>
  </si>
  <si>
    <t xml:space="preserve">Convenios CAR´s </t>
  </si>
  <si>
    <t>Campaña de fomento al consumo</t>
  </si>
  <si>
    <t>Divulgación sectorial</t>
  </si>
  <si>
    <t xml:space="preserve">       Contrapartida MADR</t>
  </si>
  <si>
    <t xml:space="preserve">SOLICITADO  ENE-MAR  </t>
  </si>
  <si>
    <t xml:space="preserve">SOLICITADO ABR-JUN </t>
  </si>
  <si>
    <t xml:space="preserve">SOLICITADO ENE-MAR  </t>
  </si>
  <si>
    <t xml:space="preserve">       Contrapartida FNP-Productores</t>
  </si>
  <si>
    <t>ppto año</t>
  </si>
  <si>
    <t>ajustado hasta junio</t>
  </si>
  <si>
    <t>aprobado real - solictado</t>
  </si>
  <si>
    <t xml:space="preserve">SOLICITADO JUL-SEP </t>
  </si>
  <si>
    <t xml:space="preserve"> </t>
  </si>
  <si>
    <t>SOLICITADO OCT-DIC</t>
  </si>
  <si>
    <t xml:space="preserve">SOLICITADO OCT-DIC </t>
  </si>
  <si>
    <t>DIRECCIÓN DE CONTROL PRESUPUESTAL Y SEGUIMIENTO</t>
  </si>
  <si>
    <t>PROGRAMA DE SEGUIMIENTO Y EVALUACIÓN FONDOS PARAFISCALES</t>
  </si>
  <si>
    <t xml:space="preserve">% EJECUCIÓN </t>
  </si>
  <si>
    <t>Cuota admón..</t>
  </si>
  <si>
    <t xml:space="preserve"> Programa IAT BPP (1)</t>
  </si>
  <si>
    <t xml:space="preserve"> Programa IAT BPP (2)</t>
  </si>
  <si>
    <t>Jornada de capacitación coordinadores</t>
  </si>
  <si>
    <t>Seguimiento recaudo regional</t>
  </si>
  <si>
    <t>Evaluación periódica de bioseguridad y sanidad</t>
  </si>
  <si>
    <t>Diagnóstico de laboratorio PNMES</t>
  </si>
  <si>
    <t>Reportes One Click y Benchmarking</t>
  </si>
  <si>
    <t>Consultorias sanitarias</t>
  </si>
  <si>
    <t>Proyectos aprobados 2007</t>
  </si>
  <si>
    <t>Proyectos aprobados 2008</t>
  </si>
  <si>
    <t>Planes de Acción CAR´s</t>
  </si>
  <si>
    <t xml:space="preserve">  Otras asesorias en BPM - Sello de Respaldo</t>
  </si>
  <si>
    <t xml:space="preserve">  Eventos entrega Sello de respaldo</t>
  </si>
  <si>
    <t xml:space="preserve">  Material de apoyo</t>
  </si>
  <si>
    <t xml:space="preserve">  Asesorias Nutricionistas</t>
  </si>
  <si>
    <t xml:space="preserve">  Asesorías Chef</t>
  </si>
  <si>
    <t xml:space="preserve">  Organizar y patrocinar eventos de salud</t>
  </si>
  <si>
    <t>Canales de comercialización</t>
  </si>
  <si>
    <t>SOLICITADO AÑO</t>
  </si>
  <si>
    <t>SALDO PPTO POR SOLICITAR AÑO</t>
  </si>
  <si>
    <t>DIFERENCIA SOLICITADO-EJECUTADO AÑO</t>
  </si>
  <si>
    <t>ERRADICACIÓN PPC</t>
  </si>
  <si>
    <t>Regionalización</t>
  </si>
  <si>
    <t xml:space="preserve">     Compra de biológico, chapetas, agujas y tenazas</t>
  </si>
  <si>
    <t xml:space="preserve">     Compra de materiales y dotaciones</t>
  </si>
  <si>
    <t xml:space="preserve">     Pago de auxilios de frío, flete y movilizaciones</t>
  </si>
  <si>
    <t xml:space="preserve">     Brigadas</t>
  </si>
  <si>
    <t>Capacitación y divulgación</t>
  </si>
  <si>
    <t xml:space="preserve">   Capacitación</t>
  </si>
  <si>
    <t>Vigilancia epidemiológica - Carta de entendimiento 1</t>
  </si>
  <si>
    <t>Diagnóstico rutinario</t>
  </si>
  <si>
    <t>Aislamiento y caracterización del virus de la PPC</t>
  </si>
  <si>
    <t>Administración del programa</t>
  </si>
  <si>
    <t>Administración de la base de datos</t>
  </si>
  <si>
    <t>Contratación de personal</t>
  </si>
  <si>
    <t>PPC</t>
  </si>
  <si>
    <t xml:space="preserve">     Talleres de formación PPC</t>
  </si>
  <si>
    <t xml:space="preserve">     Asesoría internacional</t>
  </si>
  <si>
    <t xml:space="preserve">   Divulgación</t>
  </si>
  <si>
    <t xml:space="preserve">     Publicidad</t>
  </si>
  <si>
    <t>Detección de anticuerpos contra el virus de la PPC</t>
  </si>
  <si>
    <t>Ciclos de vacunación</t>
  </si>
  <si>
    <t>Recolección de desechos biológicos</t>
  </si>
  <si>
    <t>TOTAL ÁREA PPC</t>
  </si>
  <si>
    <t>.</t>
  </si>
  <si>
    <t>PERIODO DE ENERO - DICIEMBRE 2011</t>
  </si>
  <si>
    <t>INICIAL 2011</t>
  </si>
  <si>
    <t>Programa Estratégico Iberoeka-Colciencias</t>
  </si>
  <si>
    <t>Convenio SENA -Seminario internacional de reproducción</t>
  </si>
  <si>
    <t>Jornadas de costos y analisis en la produccion porcina</t>
  </si>
  <si>
    <t>Ecuación de magro 2011</t>
  </si>
  <si>
    <t xml:space="preserve">Cadena porcícola </t>
  </si>
  <si>
    <t xml:space="preserve">Laboratorios Privados </t>
  </si>
  <si>
    <t>Carta de entendimiento No.3</t>
  </si>
  <si>
    <t xml:space="preserve">     Reunión anual</t>
  </si>
  <si>
    <t>Determinación de factores de riesgo</t>
  </si>
  <si>
    <t xml:space="preserve">Auxilios de comités de ganaderos </t>
  </si>
  <si>
    <t>Logistica barridos</t>
  </si>
  <si>
    <t xml:space="preserve">  Home panel</t>
  </si>
  <si>
    <t xml:space="preserve">  Brand tracking - Brand equity</t>
  </si>
  <si>
    <t xml:space="preserve">  Post test de campaña</t>
  </si>
  <si>
    <t xml:space="preserve">  Monitoreo de Medios</t>
  </si>
  <si>
    <t>Comercialización y calidad</t>
  </si>
  <si>
    <t xml:space="preserve">  Asesores técnicos en calidad</t>
  </si>
  <si>
    <t xml:space="preserve">  Divulgación sello</t>
  </si>
  <si>
    <t xml:space="preserve">  Asesorías HACCP y BPM</t>
  </si>
  <si>
    <t xml:space="preserve">Sensibilización a profesionales </t>
  </si>
  <si>
    <t xml:space="preserve">  Día Saludable con carne de cerdo</t>
  </si>
  <si>
    <t xml:space="preserve">   Feria de la carne de cerdo</t>
  </si>
  <si>
    <t xml:space="preserve">   Pauta Publicitaria</t>
  </si>
  <si>
    <t xml:space="preserve">   Producción de comerciales</t>
  </si>
  <si>
    <t xml:space="preserve">   Desarrollo nuevas recetas</t>
  </si>
  <si>
    <t xml:space="preserve">   Material POP</t>
  </si>
  <si>
    <t xml:space="preserve">   CRM - página web</t>
  </si>
  <si>
    <t xml:space="preserve">   Club Gourmet de la Carne de Cerdo</t>
  </si>
  <si>
    <t xml:space="preserve">   Consultoría MESA</t>
  </si>
  <si>
    <t xml:space="preserve">   Concurso sabor innovador</t>
  </si>
  <si>
    <t xml:space="preserve">   Pauta institucional</t>
  </si>
  <si>
    <t xml:space="preserve">   Kit publicitario</t>
  </si>
  <si>
    <t xml:space="preserve">   Agroexpo - Porcinino 2011 </t>
  </si>
  <si>
    <t>ACUERDO 16/10</t>
  </si>
  <si>
    <t>Comisión de Sacrificio - Trabajo con autoridades</t>
  </si>
  <si>
    <t>Carta de entendimiento No. 4 ICA</t>
  </si>
  <si>
    <t>Estudios Prevalencia</t>
  </si>
  <si>
    <t xml:space="preserve">  Investigación impacto salud humana</t>
  </si>
  <si>
    <t xml:space="preserve">  Como vender mas carne de cerdo</t>
  </si>
  <si>
    <t>ACUERDO 6/11</t>
  </si>
  <si>
    <t>ACUERDO 7/11</t>
  </si>
  <si>
    <t>Convenio Secretaria de Desarrollo Económico</t>
  </si>
  <si>
    <t>ACUERDO No. 5</t>
  </si>
  <si>
    <t>ACUERDO No. 5/11</t>
  </si>
  <si>
    <t>TRASLADO 1/11</t>
  </si>
  <si>
    <t>TRASLADO 01/11</t>
  </si>
  <si>
    <t>GASTOS FONDO</t>
  </si>
  <si>
    <t>GASTOS PPC</t>
  </si>
  <si>
    <t>ACUERDO No. 4/11</t>
  </si>
  <si>
    <t>Fondo Emergencia Ola Invernal</t>
  </si>
  <si>
    <t>ACUERDO No. 4</t>
  </si>
  <si>
    <t>EJECUCIÓN PRESUPUESTO DE INGRESOS VIGENCIA  2.011</t>
  </si>
  <si>
    <t>CUENTAS</t>
  </si>
  <si>
    <t>solicitado DEFINITIVO</t>
  </si>
  <si>
    <t>Solicitado DEFINITIVO</t>
  </si>
  <si>
    <t>EJECUCIÒN</t>
  </si>
  <si>
    <t>% EJECUCIÓN ENERO-MARZO</t>
  </si>
  <si>
    <t>% EJECUCIÓN ABRIL - JUNIO</t>
  </si>
  <si>
    <t>% EJECUCIÓN JULIO-AGOSTO</t>
  </si>
  <si>
    <t>% EJECUCIÓN OCTUBRE-DICIEMBRE</t>
  </si>
  <si>
    <t>% EJEC.</t>
  </si>
  <si>
    <t>INICIAL</t>
  </si>
  <si>
    <t>ENERO-MARZO</t>
  </si>
  <si>
    <t>ABRIL-JUNIO</t>
  </si>
  <si>
    <t>JULIO-SEPTIEMBRE</t>
  </si>
  <si>
    <t>OCTUBRE-DICIEMBRE</t>
  </si>
  <si>
    <t>JUL.-SEPT.</t>
  </si>
  <si>
    <t>OCT.-DIC.</t>
  </si>
  <si>
    <t>EJECUTAR</t>
  </si>
  <si>
    <t>AÑO 2011</t>
  </si>
  <si>
    <t>AÑO 2010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</si>
  <si>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</si>
  <si>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</si>
  <si>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</si>
  <si>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</si>
  <si>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</si>
  <si>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</si>
  <si>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</si>
  <si>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</si>
  <si>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</si>
  <si>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</si>
  <si>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</si>
  <si>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</si>
  <si>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</si>
  <si>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</si>
  <si>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</si>
  <si>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</si>
  <si>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</si>
  <si>
    <t>INGRESOS FONDO</t>
  </si>
  <si>
    <t>INGRESO FNP</t>
  </si>
  <si>
    <t>GASTO FNP</t>
  </si>
  <si>
    <t>INGRESOS PPC</t>
  </si>
  <si>
    <t>INGRESO PPC</t>
  </si>
  <si>
    <t>GASTO PPC</t>
  </si>
  <si>
    <t>Material de apoyo y Logística Capacitaciones</t>
  </si>
  <si>
    <t>ACUERDO No. 7/11</t>
  </si>
  <si>
    <t>ACUERDO No. 8</t>
  </si>
  <si>
    <t>ACUERDO No. 8/11</t>
  </si>
  <si>
    <t>ACUERDO 9/11</t>
  </si>
  <si>
    <t>TRASLADO 2/11</t>
  </si>
  <si>
    <t>ACUERDO No. 10/11</t>
  </si>
  <si>
    <t xml:space="preserve">  Estudio de Nielsen (LDSA)</t>
  </si>
  <si>
    <t>ACUERDO No. 11/11</t>
  </si>
  <si>
    <t>Programas y proyectos PPC</t>
  </si>
  <si>
    <t>ACUERDO No. 6/11</t>
  </si>
  <si>
    <t>25% PPC</t>
  </si>
  <si>
    <t>ACUERDO No. 9/11</t>
  </si>
  <si>
    <t>ACUERDO No. 12/11</t>
  </si>
  <si>
    <t>ACUERDO No. 11</t>
  </si>
  <si>
    <t>ACUERDO 12/11</t>
  </si>
  <si>
    <t>ACUERDO 10/11</t>
  </si>
  <si>
    <t>ACUERDO No. 13/11</t>
  </si>
  <si>
    <t>ACUERDO No. 14/11</t>
  </si>
  <si>
    <t>Carta de entendimiento No. 5 ICA</t>
  </si>
  <si>
    <t>ACUERDONo. 13/11</t>
  </si>
  <si>
    <t>FONDO DE EMERGENCIA OLA INVERNAL</t>
  </si>
  <si>
    <t>ACUERDO 13/11</t>
  </si>
  <si>
    <t>TRASLADO No. 3</t>
  </si>
  <si>
    <t>INTERNOS</t>
  </si>
  <si>
    <t>EJECUCIONES GASTO INVERSION</t>
  </si>
  <si>
    <t>ACUERDO No. 15/11</t>
  </si>
  <si>
    <t>Admisibilidad sanitaria a Corea</t>
  </si>
  <si>
    <t>ACUERDO No. 15</t>
  </si>
  <si>
    <t>FNP</t>
  </si>
  <si>
    <t xml:space="preserve">PRESUPUESTO </t>
  </si>
  <si>
    <t>ACUERDO 11/11</t>
  </si>
  <si>
    <t>TRASLADO 4</t>
  </si>
  <si>
    <t xml:space="preserve">MOVIMIENTOS </t>
  </si>
  <si>
    <t xml:space="preserve"> INTERNOS</t>
  </si>
  <si>
    <t>MOVIMIENTOS</t>
  </si>
  <si>
    <t>DIRECCIÓN DE PLANEACIÓN Y SEGUIMIENTO PRESUPUESTAL</t>
  </si>
  <si>
    <t>INGRESOS FINANCIEROS FNP</t>
  </si>
  <si>
    <t>Intereses de mora</t>
  </si>
  <si>
    <t>Intereses y rendimientos de deudas</t>
  </si>
  <si>
    <t>Sobrantes</t>
  </si>
  <si>
    <t>Ajuste pago de imuestos</t>
  </si>
  <si>
    <t>ajuste por diferencia en cambio</t>
  </si>
  <si>
    <t>TOTAL FINANCIEROS FNP</t>
  </si>
  <si>
    <t>INGRESOS EXTRAORDINARIOS FNP</t>
  </si>
  <si>
    <t>Intereses de Deudores</t>
  </si>
  <si>
    <t>Ingresos tarifas Centro de Servicios Técnicos y Financieros</t>
  </si>
  <si>
    <t>Seminarios</t>
  </si>
  <si>
    <t>Venta de publicaciones y videos de capacitación</t>
  </si>
  <si>
    <t>Venta de productos agrícolas pecuarios</t>
  </si>
  <si>
    <t>Aprovechamientos</t>
  </si>
  <si>
    <t>Reembolsos gastos de envio</t>
  </si>
  <si>
    <t>TOTAL EXTRAORDINARIOS FNP</t>
  </si>
  <si>
    <t>IVA FERIA DE LA CARNE</t>
  </si>
  <si>
    <t>INGRESOS PROGRAMAS Y PROYECTOS FNP</t>
  </si>
  <si>
    <t>ABR JUN</t>
  </si>
  <si>
    <t>JUL SEP</t>
  </si>
  <si>
    <t>Convenios CAR</t>
  </si>
  <si>
    <t>Monitoreo serológico carta entendimiento No.2</t>
  </si>
  <si>
    <t>Feria de la carne - Arrendamientos</t>
  </si>
  <si>
    <t>Proyecto IAT 1</t>
  </si>
  <si>
    <t>Proyecto IAT 1 - Productores</t>
  </si>
  <si>
    <t>Porcinino</t>
  </si>
  <si>
    <t>Taller SENA - Actualización buenas prácticas</t>
  </si>
  <si>
    <t>TOTAL  PROGRAMAS Y PROYECTOS FNP</t>
  </si>
  <si>
    <t>INGRESOS FINANCIEROS PPC</t>
  </si>
  <si>
    <t>INDEMNIZACIONES</t>
  </si>
  <si>
    <t>AJUSTE PAGO IMPUESTOS</t>
  </si>
  <si>
    <t>TOTAL  FINANCIEROS PPC</t>
  </si>
  <si>
    <t>Otros ingresos extraordinarios</t>
  </si>
  <si>
    <t>Seminario produccción porcina</t>
  </si>
  <si>
    <t>Seminario medio ambiente</t>
  </si>
  <si>
    <t>Indemnizaciones</t>
  </si>
  <si>
    <t>Sanción devolución cheque</t>
  </si>
  <si>
    <t>INGRESOS PROGRAMAS Y PROYECTOS PPC</t>
  </si>
  <si>
    <t>Convenio 099 Secretaria de Agricultura</t>
  </si>
  <si>
    <t>ICA</t>
  </si>
  <si>
    <t>ACUERDO  3/12</t>
  </si>
  <si>
    <t>MINISTERIO DE AGRICULTURA  Y DESARROLLO RURAL</t>
  </si>
  <si>
    <t>ANEXO 2</t>
  </si>
  <si>
    <t>PROGRAMAS ECONÓMICA</t>
  </si>
  <si>
    <t>PROGRAMAS TÉCNICA</t>
  </si>
  <si>
    <t>PROGRAMA PPC</t>
  </si>
  <si>
    <t>PROGRAMAS MERCADEO</t>
  </si>
  <si>
    <t>TOTAL INVERSIÓN</t>
  </si>
  <si>
    <t>GASTOS DE FUNCIONAMIENTO</t>
  </si>
  <si>
    <t>ACUERDO 4/11</t>
  </si>
  <si>
    <t>ACUERDO 5/11</t>
  </si>
  <si>
    <t>ACUERDO 8/11</t>
  </si>
  <si>
    <t>PRESUPUESTO DEFINITIVO</t>
  </si>
  <si>
    <t>EJECUTADO ENE - MARZO 2011</t>
  </si>
  <si>
    <t>EJECUTADO ABR-JUN 2011</t>
  </si>
  <si>
    <t>EJECUTADO ENE-JUN 2011</t>
  </si>
  <si>
    <t>SUBTOTAL GASTOS PERSONAL</t>
  </si>
  <si>
    <t>SUBTOTAL GASTOS GENERALES</t>
  </si>
  <si>
    <t>TOTAL FUNCIONAMIENTO</t>
  </si>
  <si>
    <t>TOTAL PROGRAMAS Y PROYECTOS</t>
  </si>
  <si>
    <t xml:space="preserve">   Programa IAT (1)</t>
  </si>
  <si>
    <t xml:space="preserve">       Contrapartida FNP y productores</t>
  </si>
  <si>
    <t xml:space="preserve">   Programa IAT (2)</t>
  </si>
  <si>
    <t xml:space="preserve">       Contrapartida FNP</t>
  </si>
  <si>
    <t>DIAN- inspección en puertos</t>
  </si>
  <si>
    <t xml:space="preserve">  Monitor Yanhaas</t>
  </si>
  <si>
    <t>Investigación Impacto Salud Humana</t>
  </si>
  <si>
    <t xml:space="preserve">  Como vender más carne de cerdo</t>
  </si>
  <si>
    <t>Convenio Secretaria Desarrollo Económico</t>
  </si>
  <si>
    <t xml:space="preserve">  Convenio Secretaria D.E.</t>
  </si>
  <si>
    <t xml:space="preserve">   Proyectos 2007</t>
  </si>
  <si>
    <t xml:space="preserve">   Proyectos 2008</t>
  </si>
  <si>
    <t xml:space="preserve">   Estudios de prevalencia</t>
  </si>
  <si>
    <t xml:space="preserve">   Programa estrategico Ibeoroeka - colciencias</t>
  </si>
  <si>
    <t>Carta de entendimiento No. 4</t>
  </si>
  <si>
    <t>Material de apoyo y logistica capacitaciones</t>
  </si>
  <si>
    <t>Convenios CAR's</t>
  </si>
  <si>
    <t xml:space="preserve">     Compra de biológico, chapetas y tenazas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</si>
  <si>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</si>
  <si>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</si>
  <si>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</si>
  <si>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</si>
  <si>
    <t>GASTOS</t>
  </si>
  <si>
    <t>INGRESOS</t>
  </si>
  <si>
    <t>DISCRIMINACIÓN EJECUCIÓN OTROS INGRESOS VIGENCIA  2.011</t>
  </si>
  <si>
    <t>ACUERDO 15/11</t>
  </si>
  <si>
    <t>EJECUTADO JUL-SEP 2011</t>
  </si>
  <si>
    <t>EJECUTADO OCT-DIC 2011</t>
  </si>
  <si>
    <t>% EJECUCION ANUAL</t>
  </si>
  <si>
    <t>EJECUTADO ANUAL 2011</t>
  </si>
  <si>
    <t>PRESUPUESTO INICIAL</t>
  </si>
  <si>
    <t>EJECUCIÓN PRESUPUESTO DE GASTOS DE FUNCIONAMIENTO E INVERSIÓN 2.011</t>
  </si>
  <si>
    <t>EJECUCIÓN POR ÁREAS PRESUPUESTO DE GASTOS DE FUNCIONAMIENTO E INVERSIÓN 2.011</t>
  </si>
  <si>
    <t>EJECUCIÓN PROGRAMAS ECONÓMICA</t>
  </si>
  <si>
    <t>EJECUCIÓN PROGRAMAS TÉCNICA</t>
  </si>
  <si>
    <t>EJECUCIÓN PROGRAMA PPC</t>
  </si>
  <si>
    <t>EJECUCIÓN PROGRAMAS MERCADEO</t>
  </si>
  <si>
    <t>EJECUCIÓN  FUNCIONAMIENTO</t>
  </si>
  <si>
    <t>TOTAL PRESUPUESTO EJECUTADO</t>
  </si>
  <si>
    <t>% EJECUCION ENE-DIC</t>
  </si>
  <si>
    <t>TOTAL EJECUCIÓN INVERSIÓN</t>
  </si>
  <si>
    <t>EJECUCIÓN DE GASTOS E INVERSIONES CONSOLIDADOS</t>
  </si>
  <si>
    <t>PTO INICIAL</t>
  </si>
  <si>
    <t>EJECUCIÓN GASTOS ÁREA ECONÓMICA</t>
  </si>
  <si>
    <t>EJECUCIÓN GASTOS ÁREA TÉCNICA</t>
  </si>
  <si>
    <t>EJECUCIÓN GASTOS ÁREA PPC</t>
  </si>
  <si>
    <t xml:space="preserve"> MERCADEO</t>
  </si>
  <si>
    <t>EJECUCIÓN GASTOS ÁREA MERCADEO</t>
  </si>
  <si>
    <t>EJECUCIÓN GASTOS ÁREA FINANCIERA Y AUDITORIA</t>
  </si>
  <si>
    <t>MOV. INTERNOS</t>
  </si>
  <si>
    <t>DETALLE</t>
  </si>
  <si>
    <t>TOTALES</t>
  </si>
  <si>
    <t>Cuota de Fomento Porcícola</t>
  </si>
  <si>
    <t>Cuota erradicación Peste Porcína</t>
  </si>
  <si>
    <t>Cuota de Fomento (vigencias anteriores)</t>
  </si>
  <si>
    <t>Cuota de Erradicación Peste Porcina Clásica (vigencias anteriores)</t>
  </si>
  <si>
    <t>Superavit vigencias anteriores</t>
  </si>
  <si>
    <t>Programa y proyectos PPC</t>
  </si>
  <si>
    <t>GASTOS TOTALES</t>
  </si>
  <si>
    <t>Servicios personales</t>
  </si>
  <si>
    <t>Gastos generales</t>
  </si>
  <si>
    <t>Cuota de administración</t>
  </si>
  <si>
    <t>Programas</t>
  </si>
  <si>
    <t>Programa</t>
  </si>
  <si>
    <t>CALCULO SUPERAVIT 2011</t>
  </si>
  <si>
    <t>EJECUCION 2011</t>
  </si>
  <si>
    <t>CALCULO SUPERAVIT PPC 2011</t>
  </si>
  <si>
    <t>TOTAL SUPERAVIT PRESUPUESTAL A DIC 31 DE 2011</t>
  </si>
  <si>
    <t>ACUERDO 4/12</t>
  </si>
  <si>
    <t>CALCULO SUPERAVIT FNP 2011</t>
  </si>
  <si>
    <t>TOTAL PRESUPUESTO DEFINITIVO</t>
  </si>
  <si>
    <t>DEFINITIVA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</si>
</sst>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_$_-;\-* #,##0\ _$_-;_-* &quot;-&quot;\ _$_-;_-@_-"/>
    <numFmt numFmtId="181" formatCode="0.0%"/>
    <numFmt numFmtId="182" formatCode="_(* #,##0_);_(* \(#,##0\);_(* &quot;-&quot;??_);_(@_)"/>
    <numFmt numFmtId="183" formatCode="#,##0;[Red]#,##0"/>
    <numFmt numFmtId="184" formatCode="_ * #,##0_ ;_ * \-#,##0_ ;_ * &quot;-&quot;??_ ;_ @_ "/>
    <numFmt numFmtId="185" formatCode="_-* #,##0_-;\-* #,##0_-;_-* &quot;-&quot;??_-;_-@_-"/>
    <numFmt numFmtId="186" formatCode="_([$€]* #,##0.00_);_([$€]* \(#,##0.00\);_([$€]* &quot;-&quot;??_);_(@_)"/>
    <numFmt numFmtId="187" formatCode="_(* #,##0.000_);_(* \(#,##0.000\);_(* &quot;-&quot;??_);_(@_)"/>
    <numFmt numFmtId="188" formatCode="_ &quot;$&quot;\ * #,##0_ ;_ &quot;$&quot;\ * \-#,##0_ ;_ &quot;$&quot;\ * &quot;-&quot;??_ ;_ @_ "/>
    <numFmt numFmtId="189" formatCode="[$-240A]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_€_-;\-* #,##0\ _€_-;_-* &quot;-&quot;??\ _€_-;_-@_-"/>
    <numFmt numFmtId="195" formatCode="_ * #,##0.0_ ;_ * \-#,##0.0_ ;_ * &quot;-&quot;??_ ;_ @_ "/>
    <numFmt numFmtId="196" formatCode="_-* #,##0.00\ _€_-;\-* #,##0.00\ _€_-;_-* &quot;-&quot;??\ _€_-;_-@_-"/>
    <numFmt numFmtId="197" formatCode="0.000%"/>
  </numFmts>
  <fonts count="78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10"/>
      <name val="Times New Roman"/>
      <family val="1"/>
    </font>
    <font>
      <b/>
      <sz val="10"/>
      <color indexed="10"/>
      <name val="Comic Sans MS"/>
      <family val="4"/>
    </font>
    <font>
      <b/>
      <sz val="10"/>
      <color indexed="12"/>
      <name val="Comic Sans MS"/>
      <family val="4"/>
    </font>
    <font>
      <sz val="10"/>
      <color indexed="8"/>
      <name val="Comic Sans MS"/>
      <family val="4"/>
    </font>
    <font>
      <b/>
      <sz val="10"/>
      <name val="Times New Roman"/>
      <family val="1"/>
    </font>
    <font>
      <b/>
      <sz val="10"/>
      <name val="Arial"/>
      <family val="2"/>
    </font>
    <font>
      <sz val="7"/>
      <name val="Comic Sans MS"/>
      <family val="4"/>
    </font>
    <font>
      <sz val="8"/>
      <name val="Comic Sans MS"/>
      <family val="4"/>
    </font>
    <font>
      <sz val="10"/>
      <color indexed="10"/>
      <name val="Comic Sans MS"/>
      <family val="4"/>
    </font>
    <font>
      <b/>
      <sz val="10"/>
      <color indexed="8"/>
      <name val="Comic Sans MS"/>
      <family val="4"/>
    </font>
    <font>
      <b/>
      <sz val="10"/>
      <color indexed="6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color indexed="9"/>
      <name val="Comic Sans MS"/>
      <family val="4"/>
    </font>
    <font>
      <sz val="10"/>
      <color indexed="9"/>
      <name val="Comic Sans MS"/>
      <family val="4"/>
    </font>
    <font>
      <sz val="8"/>
      <color indexed="9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8"/>
      <name val="Tahoma"/>
      <family val="2"/>
    </font>
    <font>
      <sz val="11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Arial"/>
      <family val="2"/>
    </font>
    <font>
      <sz val="9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Arial"/>
      <family val="2"/>
    </font>
    <font>
      <b/>
      <sz val="9"/>
      <name val="Times New Roman"/>
      <family val="1"/>
    </font>
    <font>
      <b/>
      <sz val="11"/>
      <name val="Comic Sans MS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sz val="10"/>
      <color rgb="FFFF0000"/>
      <name val="Comic Sans MS"/>
      <family val="4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medium"/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16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16" fillId="10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708">
    <xf numFmtId="0" fontId="0" fillId="0" borderId="0" xfId="0" applyAlignment="1">
      <alignment/>
    </xf>
    <xf numFmtId="177" fontId="12" fillId="0" borderId="10" xfId="0" applyNumberFormat="1" applyFont="1" applyFill="1" applyBorder="1" applyAlignment="1">
      <alignment/>
    </xf>
    <xf numFmtId="177" fontId="1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10" xfId="51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177" fontId="1" fillId="0" borderId="17" xfId="51" applyNumberFormat="1" applyFont="1" applyFill="1" applyBorder="1" applyAlignment="1">
      <alignment/>
    </xf>
    <xf numFmtId="177" fontId="1" fillId="0" borderId="18" xfId="51" applyNumberFormat="1" applyFont="1" applyFill="1" applyBorder="1" applyAlignment="1">
      <alignment/>
    </xf>
    <xf numFmtId="177" fontId="1" fillId="0" borderId="19" xfId="51" applyNumberFormat="1" applyFont="1" applyFill="1" applyBorder="1" applyAlignment="1">
      <alignment/>
    </xf>
    <xf numFmtId="177" fontId="2" fillId="0" borderId="17" xfId="51" applyNumberFormat="1" applyFont="1" applyFill="1" applyBorder="1" applyAlignment="1">
      <alignment/>
    </xf>
    <xf numFmtId="177" fontId="1" fillId="0" borderId="10" xfId="51" applyNumberFormat="1" applyFont="1" applyFill="1" applyBorder="1" applyAlignment="1">
      <alignment/>
    </xf>
    <xf numFmtId="177" fontId="1" fillId="0" borderId="11" xfId="51" applyNumberFormat="1" applyFont="1" applyFill="1" applyBorder="1" applyAlignment="1">
      <alignment/>
    </xf>
    <xf numFmtId="177" fontId="1" fillId="0" borderId="13" xfId="51" applyNumberFormat="1" applyFont="1" applyFill="1" applyBorder="1" applyAlignment="1">
      <alignment/>
    </xf>
    <xf numFmtId="177" fontId="2" fillId="0" borderId="13" xfId="51" applyNumberFormat="1" applyFont="1" applyFill="1" applyBorder="1" applyAlignment="1">
      <alignment/>
    </xf>
    <xf numFmtId="177" fontId="2" fillId="0" borderId="11" xfId="51" applyNumberFormat="1" applyFont="1" applyFill="1" applyBorder="1" applyAlignment="1">
      <alignment/>
    </xf>
    <xf numFmtId="177" fontId="1" fillId="0" borderId="14" xfId="51" applyNumberFormat="1" applyFont="1" applyFill="1" applyBorder="1" applyAlignment="1">
      <alignment/>
    </xf>
    <xf numFmtId="177" fontId="1" fillId="0" borderId="15" xfId="51" applyNumberFormat="1" applyFont="1" applyFill="1" applyBorder="1" applyAlignment="1">
      <alignment/>
    </xf>
    <xf numFmtId="177" fontId="2" fillId="0" borderId="20" xfId="51" applyNumberFormat="1" applyFont="1" applyFill="1" applyBorder="1" applyAlignment="1">
      <alignment/>
    </xf>
    <xf numFmtId="177" fontId="2" fillId="0" borderId="14" xfId="51" applyNumberFormat="1" applyFont="1" applyFill="1" applyBorder="1" applyAlignment="1">
      <alignment/>
    </xf>
    <xf numFmtId="177" fontId="2" fillId="0" borderId="16" xfId="51" applyNumberFormat="1" applyFont="1" applyFill="1" applyBorder="1" applyAlignment="1">
      <alignment/>
    </xf>
    <xf numFmtId="177" fontId="2" fillId="0" borderId="18" xfId="51" applyNumberFormat="1" applyFont="1" applyFill="1" applyBorder="1" applyAlignment="1">
      <alignment/>
    </xf>
    <xf numFmtId="177" fontId="2" fillId="0" borderId="19" xfId="51" applyNumberFormat="1" applyFont="1" applyFill="1" applyBorder="1" applyAlignment="1">
      <alignment/>
    </xf>
    <xf numFmtId="177" fontId="2" fillId="0" borderId="15" xfId="51" applyNumberFormat="1" applyFont="1" applyFill="1" applyBorder="1" applyAlignment="1">
      <alignment/>
    </xf>
    <xf numFmtId="177" fontId="2" fillId="0" borderId="12" xfId="51" applyNumberFormat="1" applyFont="1" applyFill="1" applyBorder="1" applyAlignment="1">
      <alignment/>
    </xf>
    <xf numFmtId="177" fontId="1" fillId="0" borderId="10" xfId="51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/>
    </xf>
    <xf numFmtId="177" fontId="2" fillId="32" borderId="13" xfId="51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21" xfId="51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11" fillId="0" borderId="10" xfId="51" applyNumberFormat="1" applyFont="1" applyFill="1" applyBorder="1" applyAlignment="1">
      <alignment/>
    </xf>
    <xf numFmtId="177" fontId="4" fillId="0" borderId="19" xfId="51" applyNumberFormat="1" applyFont="1" applyFill="1" applyBorder="1" applyAlignment="1">
      <alignment/>
    </xf>
    <xf numFmtId="177" fontId="11" fillId="0" borderId="13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177" fontId="1" fillId="0" borderId="17" xfId="0" applyNumberFormat="1" applyFont="1" applyFill="1" applyBorder="1" applyAlignment="1">
      <alignment/>
    </xf>
    <xf numFmtId="177" fontId="1" fillId="0" borderId="11" xfId="0" applyNumberFormat="1" applyFont="1" applyFill="1" applyBorder="1" applyAlignment="1">
      <alignment/>
    </xf>
    <xf numFmtId="177" fontId="1" fillId="0" borderId="12" xfId="51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1" fillId="33" borderId="24" xfId="0" applyNumberFormat="1" applyFont="1" applyFill="1" applyBorder="1" applyAlignment="1">
      <alignment/>
    </xf>
    <xf numFmtId="177" fontId="2" fillId="0" borderId="0" xfId="0" applyNumberFormat="1" applyFont="1" applyAlignment="1">
      <alignment/>
    </xf>
    <xf numFmtId="177" fontId="2" fillId="0" borderId="25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1" fillId="0" borderId="26" xfId="51" applyNumberFormat="1" applyFont="1" applyFill="1" applyBorder="1" applyAlignment="1">
      <alignment/>
    </xf>
    <xf numFmtId="177" fontId="1" fillId="0" borderId="26" xfId="0" applyNumberFormat="1" applyFont="1" applyFill="1" applyBorder="1" applyAlignment="1">
      <alignment/>
    </xf>
    <xf numFmtId="177" fontId="1" fillId="0" borderId="20" xfId="51" applyNumberFormat="1" applyFont="1" applyFill="1" applyBorder="1" applyAlignment="1">
      <alignment/>
    </xf>
    <xf numFmtId="177" fontId="1" fillId="0" borderId="12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/>
    </xf>
    <xf numFmtId="177" fontId="2" fillId="0" borderId="27" xfId="0" applyNumberFormat="1" applyFont="1" applyFill="1" applyBorder="1" applyAlignment="1">
      <alignment/>
    </xf>
    <xf numFmtId="177" fontId="2" fillId="0" borderId="0" xfId="0" applyNumberFormat="1" applyFont="1" applyAlignment="1">
      <alignment horizontal="center"/>
    </xf>
    <xf numFmtId="177" fontId="1" fillId="0" borderId="0" xfId="0" applyNumberFormat="1" applyFont="1" applyAlignment="1">
      <alignment/>
    </xf>
    <xf numFmtId="177" fontId="4" fillId="0" borderId="0" xfId="51" applyNumberFormat="1" applyFont="1" applyAlignment="1">
      <alignment horizontal="left"/>
    </xf>
    <xf numFmtId="177" fontId="2" fillId="0" borderId="12" xfId="77" applyNumberFormat="1" applyFont="1" applyFill="1" applyBorder="1" applyAlignment="1">
      <alignment/>
    </xf>
    <xf numFmtId="177" fontId="2" fillId="0" borderId="10" xfId="77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2" fillId="0" borderId="16" xfId="77" applyNumberFormat="1" applyFont="1" applyFill="1" applyBorder="1" applyAlignment="1">
      <alignment/>
    </xf>
    <xf numFmtId="177" fontId="2" fillId="0" borderId="0" xfId="77" applyNumberFormat="1" applyFont="1" applyAlignment="1">
      <alignment horizontal="center"/>
    </xf>
    <xf numFmtId="177" fontId="2" fillId="0" borderId="22" xfId="77" applyNumberFormat="1" applyFont="1" applyFill="1" applyBorder="1" applyAlignment="1">
      <alignment/>
    </xf>
    <xf numFmtId="177" fontId="2" fillId="0" borderId="0" xfId="51" applyNumberFormat="1" applyFont="1" applyFill="1" applyBorder="1" applyAlignment="1">
      <alignment/>
    </xf>
    <xf numFmtId="177" fontId="2" fillId="0" borderId="22" xfId="51" applyNumberFormat="1" applyFont="1" applyFill="1" applyBorder="1" applyAlignment="1">
      <alignment/>
    </xf>
    <xf numFmtId="177" fontId="2" fillId="0" borderId="0" xfId="77" applyNumberFormat="1" applyFont="1" applyFill="1" applyAlignment="1">
      <alignment horizontal="center"/>
    </xf>
    <xf numFmtId="177" fontId="1" fillId="0" borderId="10" xfId="77" applyNumberFormat="1" applyFont="1" applyFill="1" applyBorder="1" applyAlignment="1">
      <alignment/>
    </xf>
    <xf numFmtId="177" fontId="1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7" fontId="2" fillId="0" borderId="22" xfId="0" applyNumberFormat="1" applyFont="1" applyBorder="1" applyAlignment="1">
      <alignment/>
    </xf>
    <xf numFmtId="177" fontId="4" fillId="0" borderId="0" xfId="0" applyNumberFormat="1" applyFont="1" applyFill="1" applyAlignment="1">
      <alignment/>
    </xf>
    <xf numFmtId="177" fontId="2" fillId="0" borderId="0" xfId="51" applyNumberFormat="1" applyFont="1" applyFill="1" applyAlignment="1">
      <alignment/>
    </xf>
    <xf numFmtId="177" fontId="2" fillId="0" borderId="0" xfId="77" applyNumberFormat="1" applyFont="1" applyAlignment="1">
      <alignment/>
    </xf>
    <xf numFmtId="177" fontId="9" fillId="0" borderId="0" xfId="0" applyNumberFormat="1" applyFont="1" applyFill="1" applyBorder="1" applyAlignment="1">
      <alignment/>
    </xf>
    <xf numFmtId="177" fontId="2" fillId="0" borderId="0" xfId="77" applyNumberFormat="1" applyFont="1" applyFill="1" applyAlignment="1">
      <alignment/>
    </xf>
    <xf numFmtId="177" fontId="9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" fillId="0" borderId="28" xfId="0" applyNumberFormat="1" applyFont="1" applyBorder="1" applyAlignment="1">
      <alignment/>
    </xf>
    <xf numFmtId="177" fontId="1" fillId="0" borderId="28" xfId="0" applyNumberFormat="1" applyFont="1" applyFill="1" applyBorder="1" applyAlignment="1">
      <alignment/>
    </xf>
    <xf numFmtId="177" fontId="1" fillId="0" borderId="29" xfId="0" applyNumberFormat="1" applyFont="1" applyBorder="1" applyAlignment="1">
      <alignment/>
    </xf>
    <xf numFmtId="177" fontId="1" fillId="0" borderId="30" xfId="0" applyNumberFormat="1" applyFont="1" applyFill="1" applyBorder="1" applyAlignment="1">
      <alignment/>
    </xf>
    <xf numFmtId="177" fontId="5" fillId="34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7" fontId="20" fillId="0" borderId="0" xfId="51" applyNumberFormat="1" applyFont="1" applyBorder="1" applyAlignment="1">
      <alignment horizontal="left"/>
    </xf>
    <xf numFmtId="177" fontId="1" fillId="0" borderId="31" xfId="0" applyNumberFormat="1" applyFont="1" applyBorder="1" applyAlignment="1">
      <alignment/>
    </xf>
    <xf numFmtId="177" fontId="21" fillId="0" borderId="31" xfId="0" applyNumberFormat="1" applyFont="1" applyFill="1" applyBorder="1" applyAlignment="1">
      <alignment horizontal="center"/>
    </xf>
    <xf numFmtId="177" fontId="2" fillId="0" borderId="18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2" fillId="0" borderId="26" xfId="0" applyNumberFormat="1" applyFont="1" applyFill="1" applyBorder="1" applyAlignment="1">
      <alignment/>
    </xf>
    <xf numFmtId="177" fontId="2" fillId="0" borderId="32" xfId="0" applyNumberFormat="1" applyFont="1" applyFill="1" applyBorder="1" applyAlignment="1">
      <alignment/>
    </xf>
    <xf numFmtId="177" fontId="2" fillId="0" borderId="33" xfId="0" applyNumberFormat="1" applyFont="1" applyFill="1" applyBorder="1" applyAlignment="1">
      <alignment/>
    </xf>
    <xf numFmtId="177" fontId="2" fillId="0" borderId="34" xfId="0" applyNumberFormat="1" applyFont="1" applyFill="1" applyBorder="1" applyAlignment="1">
      <alignment/>
    </xf>
    <xf numFmtId="177" fontId="1" fillId="33" borderId="35" xfId="0" applyNumberFormat="1" applyFont="1" applyFill="1" applyBorder="1" applyAlignment="1">
      <alignment/>
    </xf>
    <xf numFmtId="177" fontId="1" fillId="0" borderId="36" xfId="0" applyNumberFormat="1" applyFont="1" applyFill="1" applyBorder="1" applyAlignment="1">
      <alignment/>
    </xf>
    <xf numFmtId="177" fontId="1" fillId="0" borderId="26" xfId="77" applyNumberFormat="1" applyFont="1" applyFill="1" applyBorder="1" applyAlignment="1">
      <alignment/>
    </xf>
    <xf numFmtId="177" fontId="1" fillId="0" borderId="37" xfId="77" applyNumberFormat="1" applyFont="1" applyFill="1" applyBorder="1" applyAlignment="1">
      <alignment/>
    </xf>
    <xf numFmtId="177" fontId="1" fillId="0" borderId="32" xfId="0" applyNumberFormat="1" applyFont="1" applyFill="1" applyBorder="1" applyAlignment="1">
      <alignment/>
    </xf>
    <xf numFmtId="177" fontId="1" fillId="0" borderId="33" xfId="77" applyNumberFormat="1" applyFont="1" applyFill="1" applyBorder="1" applyAlignment="1">
      <alignment/>
    </xf>
    <xf numFmtId="177" fontId="2" fillId="0" borderId="38" xfId="0" applyNumberFormat="1" applyFont="1" applyFill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26" xfId="77" applyNumberFormat="1" applyFont="1" applyFill="1" applyBorder="1" applyAlignment="1">
      <alignment/>
    </xf>
    <xf numFmtId="177" fontId="2" fillId="0" borderId="37" xfId="77" applyNumberFormat="1" applyFont="1" applyFill="1" applyBorder="1" applyAlignment="1">
      <alignment/>
    </xf>
    <xf numFmtId="177" fontId="1" fillId="0" borderId="34" xfId="0" applyNumberFormat="1" applyFont="1" applyFill="1" applyBorder="1" applyAlignment="1">
      <alignment/>
    </xf>
    <xf numFmtId="177" fontId="2" fillId="0" borderId="39" xfId="77" applyNumberFormat="1" applyFont="1" applyFill="1" applyBorder="1" applyAlignment="1">
      <alignment/>
    </xf>
    <xf numFmtId="177" fontId="1" fillId="0" borderId="36" xfId="0" applyNumberFormat="1" applyFont="1" applyFill="1" applyBorder="1" applyAlignment="1">
      <alignment/>
    </xf>
    <xf numFmtId="177" fontId="1" fillId="0" borderId="32" xfId="0" applyNumberFormat="1" applyFont="1" applyFill="1" applyBorder="1" applyAlignment="1">
      <alignment/>
    </xf>
    <xf numFmtId="177" fontId="13" fillId="0" borderId="40" xfId="0" applyNumberFormat="1" applyFont="1" applyFill="1" applyBorder="1" applyAlignment="1">
      <alignment wrapText="1"/>
    </xf>
    <xf numFmtId="177" fontId="1" fillId="0" borderId="41" xfId="51" applyNumberFormat="1" applyFont="1" applyFill="1" applyBorder="1" applyAlignment="1">
      <alignment/>
    </xf>
    <xf numFmtId="177" fontId="1" fillId="0" borderId="42" xfId="51" applyNumberFormat="1" applyFont="1" applyFill="1" applyBorder="1" applyAlignment="1">
      <alignment/>
    </xf>
    <xf numFmtId="177" fontId="1" fillId="33" borderId="24" xfId="51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51" applyNumberFormat="1" applyFont="1" applyFill="1" applyBorder="1" applyAlignment="1">
      <alignment/>
    </xf>
    <xf numFmtId="177" fontId="2" fillId="32" borderId="17" xfId="0" applyNumberFormat="1" applyFont="1" applyFill="1" applyBorder="1" applyAlignment="1">
      <alignment/>
    </xf>
    <xf numFmtId="177" fontId="2" fillId="32" borderId="10" xfId="0" applyNumberFormat="1" applyFont="1" applyFill="1" applyBorder="1" applyAlignment="1">
      <alignment/>
    </xf>
    <xf numFmtId="177" fontId="6" fillId="0" borderId="22" xfId="0" applyNumberFormat="1" applyFont="1" applyFill="1" applyBorder="1" applyAlignment="1">
      <alignment/>
    </xf>
    <xf numFmtId="177" fontId="2" fillId="0" borderId="43" xfId="0" applyNumberFormat="1" applyFont="1" applyFill="1" applyBorder="1" applyAlignment="1">
      <alignment/>
    </xf>
    <xf numFmtId="9" fontId="2" fillId="0" borderId="10" xfId="77" applyNumberFormat="1" applyFont="1" applyFill="1" applyBorder="1" applyAlignment="1">
      <alignment/>
    </xf>
    <xf numFmtId="9" fontId="2" fillId="0" borderId="12" xfId="77" applyNumberFormat="1" applyFont="1" applyFill="1" applyBorder="1" applyAlignment="1">
      <alignment/>
    </xf>
    <xf numFmtId="9" fontId="2" fillId="0" borderId="16" xfId="77" applyNumberFormat="1" applyFont="1" applyFill="1" applyBorder="1" applyAlignment="1">
      <alignment/>
    </xf>
    <xf numFmtId="9" fontId="1" fillId="0" borderId="10" xfId="77" applyNumberFormat="1" applyFont="1" applyFill="1" applyBorder="1" applyAlignment="1">
      <alignment/>
    </xf>
    <xf numFmtId="9" fontId="1" fillId="0" borderId="12" xfId="77" applyNumberFormat="1" applyFont="1" applyFill="1" applyBorder="1" applyAlignment="1">
      <alignment/>
    </xf>
    <xf numFmtId="9" fontId="2" fillId="0" borderId="33" xfId="77" applyNumberFormat="1" applyFont="1" applyFill="1" applyBorder="1" applyAlignment="1">
      <alignment/>
    </xf>
    <xf numFmtId="9" fontId="1" fillId="0" borderId="33" xfId="77" applyNumberFormat="1" applyFont="1" applyFill="1" applyBorder="1" applyAlignment="1">
      <alignment/>
    </xf>
    <xf numFmtId="9" fontId="2" fillId="0" borderId="41" xfId="77" applyNumberFormat="1" applyFont="1" applyFill="1" applyBorder="1" applyAlignment="1">
      <alignment/>
    </xf>
    <xf numFmtId="9" fontId="2" fillId="0" borderId="44" xfId="77" applyNumberFormat="1" applyFont="1" applyFill="1" applyBorder="1" applyAlignment="1">
      <alignment/>
    </xf>
    <xf numFmtId="180" fontId="2" fillId="0" borderId="10" xfId="51" applyNumberFormat="1" applyFont="1" applyFill="1" applyBorder="1" applyAlignment="1">
      <alignment horizontal="right"/>
    </xf>
    <xf numFmtId="185" fontId="2" fillId="0" borderId="10" xfId="51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77" fontId="1" fillId="0" borderId="45" xfId="0" applyNumberFormat="1" applyFont="1" applyBorder="1" applyAlignment="1">
      <alignment/>
    </xf>
    <xf numFmtId="0" fontId="2" fillId="0" borderId="10" xfId="77" applyNumberFormat="1" applyFont="1" applyFill="1" applyBorder="1" applyAlignment="1">
      <alignment/>
    </xf>
    <xf numFmtId="9" fontId="11" fillId="0" borderId="10" xfId="77" applyNumberFormat="1" applyFont="1" applyFill="1" applyBorder="1" applyAlignment="1">
      <alignment/>
    </xf>
    <xf numFmtId="9" fontId="2" fillId="0" borderId="14" xfId="77" applyNumberFormat="1" applyFont="1" applyFill="1" applyBorder="1" applyAlignment="1">
      <alignment/>
    </xf>
    <xf numFmtId="177" fontId="2" fillId="0" borderId="17" xfId="77" applyNumberFormat="1" applyFont="1" applyFill="1" applyBorder="1" applyAlignment="1">
      <alignment/>
    </xf>
    <xf numFmtId="9" fontId="1" fillId="33" borderId="24" xfId="77" applyNumberFormat="1" applyFont="1" applyFill="1" applyBorder="1" applyAlignment="1">
      <alignment/>
    </xf>
    <xf numFmtId="177" fontId="2" fillId="0" borderId="14" xfId="77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177" fontId="2" fillId="0" borderId="27" xfId="77" applyNumberFormat="1" applyFont="1" applyFill="1" applyBorder="1" applyAlignment="1">
      <alignment/>
    </xf>
    <xf numFmtId="177" fontId="1" fillId="0" borderId="22" xfId="0" applyNumberFormat="1" applyFont="1" applyFill="1" applyBorder="1" applyAlignment="1">
      <alignment/>
    </xf>
    <xf numFmtId="177" fontId="12" fillId="33" borderId="24" xfId="0" applyNumberFormat="1" applyFont="1" applyFill="1" applyBorder="1" applyAlignment="1">
      <alignment/>
    </xf>
    <xf numFmtId="177" fontId="2" fillId="0" borderId="43" xfId="77" applyNumberFormat="1" applyFont="1" applyFill="1" applyBorder="1" applyAlignment="1">
      <alignment/>
    </xf>
    <xf numFmtId="177" fontId="1" fillId="0" borderId="24" xfId="0" applyNumberFormat="1" applyFont="1" applyBorder="1" applyAlignment="1">
      <alignment/>
    </xf>
    <xf numFmtId="9" fontId="1" fillId="0" borderId="24" xfId="77" applyNumberFormat="1" applyFont="1" applyFill="1" applyBorder="1" applyAlignment="1">
      <alignment/>
    </xf>
    <xf numFmtId="9" fontId="2" fillId="0" borderId="43" xfId="77" applyNumberFormat="1" applyFont="1" applyFill="1" applyBorder="1" applyAlignment="1">
      <alignment/>
    </xf>
    <xf numFmtId="177" fontId="1" fillId="0" borderId="24" xfId="0" applyNumberFormat="1" applyFont="1" applyFill="1" applyBorder="1" applyAlignment="1">
      <alignment/>
    </xf>
    <xf numFmtId="9" fontId="1" fillId="0" borderId="24" xfId="0" applyNumberFormat="1" applyFont="1" applyFill="1" applyBorder="1" applyAlignment="1">
      <alignment/>
    </xf>
    <xf numFmtId="177" fontId="2" fillId="0" borderId="43" xfId="51" applyNumberFormat="1" applyFont="1" applyFill="1" applyBorder="1" applyAlignment="1">
      <alignment/>
    </xf>
    <xf numFmtId="9" fontId="2" fillId="0" borderId="17" xfId="77" applyNumberFormat="1" applyFont="1" applyFill="1" applyBorder="1" applyAlignment="1">
      <alignment/>
    </xf>
    <xf numFmtId="9" fontId="2" fillId="0" borderId="14" xfId="51" applyNumberFormat="1" applyFont="1" applyFill="1" applyBorder="1" applyAlignment="1">
      <alignment/>
    </xf>
    <xf numFmtId="9" fontId="2" fillId="0" borderId="43" xfId="51" applyNumberFormat="1" applyFont="1" applyFill="1" applyBorder="1" applyAlignment="1">
      <alignment/>
    </xf>
    <xf numFmtId="177" fontId="1" fillId="0" borderId="17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21" xfId="77" applyNumberFormat="1" applyFont="1" applyFill="1" applyBorder="1" applyAlignment="1">
      <alignment/>
    </xf>
    <xf numFmtId="177" fontId="1" fillId="0" borderId="46" xfId="0" applyNumberFormat="1" applyFont="1" applyBorder="1" applyAlignment="1">
      <alignment/>
    </xf>
    <xf numFmtId="177" fontId="2" fillId="0" borderId="47" xfId="0" applyNumberFormat="1" applyFont="1" applyFill="1" applyBorder="1" applyAlignment="1">
      <alignment/>
    </xf>
    <xf numFmtId="9" fontId="2" fillId="0" borderId="48" xfId="77" applyNumberFormat="1" applyFont="1" applyFill="1" applyBorder="1" applyAlignment="1">
      <alignment/>
    </xf>
    <xf numFmtId="177" fontId="2" fillId="0" borderId="49" xfId="0" applyNumberFormat="1" applyFont="1" applyFill="1" applyBorder="1" applyAlignment="1">
      <alignment/>
    </xf>
    <xf numFmtId="177" fontId="2" fillId="0" borderId="46" xfId="0" applyNumberFormat="1" applyFont="1" applyFill="1" applyBorder="1" applyAlignment="1">
      <alignment/>
    </xf>
    <xf numFmtId="177" fontId="2" fillId="0" borderId="50" xfId="77" applyNumberFormat="1" applyFont="1" applyFill="1" applyBorder="1" applyAlignment="1">
      <alignment/>
    </xf>
    <xf numFmtId="177" fontId="1" fillId="0" borderId="49" xfId="0" applyNumberFormat="1" applyFont="1" applyFill="1" applyBorder="1" applyAlignment="1">
      <alignment/>
    </xf>
    <xf numFmtId="9" fontId="2" fillId="0" borderId="50" xfId="77" applyNumberFormat="1" applyFont="1" applyFill="1" applyBorder="1" applyAlignment="1">
      <alignment/>
    </xf>
    <xf numFmtId="177" fontId="1" fillId="0" borderId="46" xfId="0" applyNumberFormat="1" applyFont="1" applyFill="1" applyBorder="1" applyAlignment="1">
      <alignment/>
    </xf>
    <xf numFmtId="9" fontId="1" fillId="0" borderId="48" xfId="77" applyNumberFormat="1" applyFont="1" applyFill="1" applyBorder="1" applyAlignment="1">
      <alignment/>
    </xf>
    <xf numFmtId="177" fontId="2" fillId="0" borderId="46" xfId="0" applyNumberFormat="1" applyFont="1" applyBorder="1" applyAlignment="1">
      <alignment/>
    </xf>
    <xf numFmtId="177" fontId="1" fillId="0" borderId="51" xfId="0" applyNumberFormat="1" applyFont="1" applyBorder="1" applyAlignment="1">
      <alignment/>
    </xf>
    <xf numFmtId="177" fontId="2" fillId="0" borderId="52" xfId="0" applyNumberFormat="1" applyFont="1" applyFill="1" applyBorder="1" applyAlignment="1">
      <alignment/>
    </xf>
    <xf numFmtId="9" fontId="2" fillId="0" borderId="53" xfId="77" applyNumberFormat="1" applyFont="1" applyFill="1" applyBorder="1" applyAlignment="1">
      <alignment/>
    </xf>
    <xf numFmtId="177" fontId="1" fillId="0" borderId="51" xfId="0" applyNumberFormat="1" applyFont="1" applyFill="1" applyBorder="1" applyAlignment="1">
      <alignment/>
    </xf>
    <xf numFmtId="177" fontId="2" fillId="0" borderId="54" xfId="77" applyNumberFormat="1" applyFont="1" applyFill="1" applyBorder="1" applyAlignment="1">
      <alignment/>
    </xf>
    <xf numFmtId="177" fontId="2" fillId="0" borderId="33" xfId="77" applyNumberFormat="1" applyFont="1" applyFill="1" applyBorder="1" applyAlignment="1">
      <alignment/>
    </xf>
    <xf numFmtId="177" fontId="2" fillId="0" borderId="53" xfId="77" applyNumberFormat="1" applyFont="1" applyFill="1" applyBorder="1" applyAlignment="1">
      <alignment/>
    </xf>
    <xf numFmtId="177" fontId="1" fillId="0" borderId="47" xfId="0" applyNumberFormat="1" applyFont="1" applyFill="1" applyBorder="1" applyAlignment="1">
      <alignment/>
    </xf>
    <xf numFmtId="177" fontId="1" fillId="0" borderId="51" xfId="0" applyNumberFormat="1" applyFont="1" applyFill="1" applyBorder="1" applyAlignment="1">
      <alignment horizontal="left" indent="1"/>
    </xf>
    <xf numFmtId="177" fontId="2" fillId="0" borderId="49" xfId="0" applyNumberFormat="1" applyFont="1" applyFill="1" applyBorder="1" applyAlignment="1">
      <alignment horizontal="left" indent="1"/>
    </xf>
    <xf numFmtId="9" fontId="11" fillId="0" borderId="33" xfId="77" applyNumberFormat="1" applyFont="1" applyFill="1" applyBorder="1" applyAlignment="1">
      <alignment/>
    </xf>
    <xf numFmtId="177" fontId="2" fillId="0" borderId="47" xfId="0" applyNumberFormat="1" applyFont="1" applyFill="1" applyBorder="1" applyAlignment="1">
      <alignment horizontal="left" indent="1"/>
    </xf>
    <xf numFmtId="177" fontId="2" fillId="0" borderId="55" xfId="77" applyNumberFormat="1" applyFont="1" applyFill="1" applyBorder="1" applyAlignment="1">
      <alignment/>
    </xf>
    <xf numFmtId="177" fontId="2" fillId="0" borderId="54" xfId="0" applyNumberFormat="1" applyFont="1" applyFill="1" applyBorder="1" applyAlignment="1">
      <alignment/>
    </xf>
    <xf numFmtId="177" fontId="1" fillId="0" borderId="14" xfId="77" applyNumberFormat="1" applyFont="1" applyFill="1" applyBorder="1" applyAlignment="1">
      <alignment/>
    </xf>
    <xf numFmtId="177" fontId="1" fillId="0" borderId="53" xfId="77" applyNumberFormat="1" applyFont="1" applyFill="1" applyBorder="1" applyAlignment="1">
      <alignment/>
    </xf>
    <xf numFmtId="180" fontId="1" fillId="33" borderId="24" xfId="0" applyNumberFormat="1" applyFont="1" applyFill="1" applyBorder="1" applyAlignment="1">
      <alignment/>
    </xf>
    <xf numFmtId="177" fontId="1" fillId="0" borderId="37" xfId="0" applyNumberFormat="1" applyFont="1" applyFill="1" applyBorder="1" applyAlignment="1">
      <alignment/>
    </xf>
    <xf numFmtId="177" fontId="1" fillId="0" borderId="54" xfId="0" applyNumberFormat="1" applyFont="1" applyFill="1" applyBorder="1" applyAlignment="1">
      <alignment/>
    </xf>
    <xf numFmtId="9" fontId="2" fillId="0" borderId="39" xfId="77" applyNumberFormat="1" applyFont="1" applyFill="1" applyBorder="1" applyAlignment="1">
      <alignment/>
    </xf>
    <xf numFmtId="9" fontId="2" fillId="0" borderId="26" xfId="77" applyNumberFormat="1" applyFont="1" applyFill="1" applyBorder="1" applyAlignment="1">
      <alignment/>
    </xf>
    <xf numFmtId="9" fontId="2" fillId="0" borderId="37" xfId="77" applyNumberFormat="1" applyFont="1" applyFill="1" applyBorder="1" applyAlignment="1">
      <alignment/>
    </xf>
    <xf numFmtId="177" fontId="1" fillId="0" borderId="47" xfId="0" applyNumberFormat="1" applyFont="1" applyBorder="1" applyAlignment="1">
      <alignment/>
    </xf>
    <xf numFmtId="0" fontId="2" fillId="0" borderId="49" xfId="0" applyNumberFormat="1" applyFont="1" applyFill="1" applyBorder="1" applyAlignment="1">
      <alignment horizontal="left" indent="2"/>
    </xf>
    <xf numFmtId="177" fontId="1" fillId="0" borderId="56" xfId="0" applyNumberFormat="1" applyFont="1" applyFill="1" applyBorder="1" applyAlignment="1">
      <alignment/>
    </xf>
    <xf numFmtId="177" fontId="2" fillId="0" borderId="45" xfId="0" applyNumberFormat="1" applyFont="1" applyFill="1" applyBorder="1" applyAlignment="1">
      <alignment/>
    </xf>
    <xf numFmtId="177" fontId="2" fillId="0" borderId="48" xfId="0" applyNumberFormat="1" applyFont="1" applyFill="1" applyBorder="1" applyAlignment="1">
      <alignment/>
    </xf>
    <xf numFmtId="177" fontId="2" fillId="0" borderId="57" xfId="0" applyNumberFormat="1" applyFont="1" applyFill="1" applyBorder="1" applyAlignment="1">
      <alignment/>
    </xf>
    <xf numFmtId="177" fontId="2" fillId="0" borderId="58" xfId="0" applyNumberFormat="1" applyFont="1" applyFill="1" applyBorder="1" applyAlignment="1">
      <alignment/>
    </xf>
    <xf numFmtId="177" fontId="1" fillId="0" borderId="45" xfId="51" applyNumberFormat="1" applyFont="1" applyFill="1" applyBorder="1" applyAlignment="1">
      <alignment/>
    </xf>
    <xf numFmtId="177" fontId="1" fillId="0" borderId="32" xfId="51" applyNumberFormat="1" applyFont="1" applyFill="1" applyBorder="1" applyAlignment="1">
      <alignment/>
    </xf>
    <xf numFmtId="177" fontId="2" fillId="0" borderId="32" xfId="51" applyNumberFormat="1" applyFont="1" applyFill="1" applyBorder="1" applyAlignment="1">
      <alignment/>
    </xf>
    <xf numFmtId="177" fontId="2" fillId="0" borderId="38" xfId="51" applyNumberFormat="1" applyFont="1" applyFill="1" applyBorder="1" applyAlignment="1">
      <alignment/>
    </xf>
    <xf numFmtId="177" fontId="2" fillId="0" borderId="45" xfId="51" applyNumberFormat="1" applyFont="1" applyFill="1" applyBorder="1" applyAlignment="1">
      <alignment/>
    </xf>
    <xf numFmtId="177" fontId="2" fillId="0" borderId="59" xfId="77" applyNumberFormat="1" applyFont="1" applyFill="1" applyBorder="1" applyAlignment="1">
      <alignment/>
    </xf>
    <xf numFmtId="177" fontId="13" fillId="33" borderId="24" xfId="0" applyNumberFormat="1" applyFont="1" applyFill="1" applyBorder="1" applyAlignment="1">
      <alignment/>
    </xf>
    <xf numFmtId="177" fontId="1" fillId="0" borderId="46" xfId="0" applyNumberFormat="1" applyFont="1" applyFill="1" applyBorder="1" applyAlignment="1">
      <alignment/>
    </xf>
    <xf numFmtId="177" fontId="1" fillId="0" borderId="17" xfId="77" applyNumberFormat="1" applyFont="1" applyFill="1" applyBorder="1" applyAlignment="1">
      <alignment/>
    </xf>
    <xf numFmtId="177" fontId="1" fillId="0" borderId="52" xfId="77" applyNumberFormat="1" applyFont="1" applyFill="1" applyBorder="1" applyAlignment="1">
      <alignment/>
    </xf>
    <xf numFmtId="177" fontId="1" fillId="0" borderId="49" xfId="0" applyNumberFormat="1" applyFont="1" applyFill="1" applyBorder="1" applyAlignment="1">
      <alignment/>
    </xf>
    <xf numFmtId="177" fontId="1" fillId="0" borderId="25" xfId="0" applyNumberFormat="1" applyFont="1" applyFill="1" applyBorder="1" applyAlignment="1">
      <alignment/>
    </xf>
    <xf numFmtId="177" fontId="2" fillId="0" borderId="25" xfId="0" applyNumberFormat="1" applyFont="1" applyFill="1" applyBorder="1" applyAlignment="1">
      <alignment horizontal="left" indent="1"/>
    </xf>
    <xf numFmtId="177" fontId="2" fillId="0" borderId="58" xfId="0" applyNumberFormat="1" applyFont="1" applyFill="1" applyBorder="1" applyAlignment="1">
      <alignment horizontal="left" indent="1"/>
    </xf>
    <xf numFmtId="177" fontId="1" fillId="0" borderId="60" xfId="0" applyNumberFormat="1" applyFont="1" applyFill="1" applyBorder="1" applyAlignment="1">
      <alignment/>
    </xf>
    <xf numFmtId="177" fontId="1" fillId="0" borderId="60" xfId="51" applyNumberFormat="1" applyFont="1" applyFill="1" applyBorder="1" applyAlignment="1">
      <alignment/>
    </xf>
    <xf numFmtId="177" fontId="2" fillId="0" borderId="46" xfId="0" applyNumberFormat="1" applyFont="1" applyFill="1" applyBorder="1" applyAlignment="1">
      <alignment horizontal="left" indent="1"/>
    </xf>
    <xf numFmtId="177" fontId="2" fillId="0" borderId="0" xfId="77" applyNumberFormat="1" applyFont="1" applyFill="1" applyBorder="1" applyAlignment="1">
      <alignment/>
    </xf>
    <xf numFmtId="177" fontId="2" fillId="0" borderId="61" xfId="0" applyNumberFormat="1" applyFont="1" applyFill="1" applyBorder="1" applyAlignment="1">
      <alignment/>
    </xf>
    <xf numFmtId="177" fontId="2" fillId="0" borderId="23" xfId="0" applyNumberFormat="1" applyFont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/>
    </xf>
    <xf numFmtId="177" fontId="1" fillId="0" borderId="23" xfId="0" applyNumberFormat="1" applyFont="1" applyFill="1" applyBorder="1" applyAlignment="1">
      <alignment horizontal="center"/>
    </xf>
    <xf numFmtId="177" fontId="1" fillId="0" borderId="62" xfId="0" applyNumberFormat="1" applyFont="1" applyFill="1" applyBorder="1" applyAlignment="1">
      <alignment horizontal="center"/>
    </xf>
    <xf numFmtId="177" fontId="1" fillId="0" borderId="63" xfId="0" applyNumberFormat="1" applyFont="1" applyFill="1" applyBorder="1" applyAlignment="1">
      <alignment horizontal="center"/>
    </xf>
    <xf numFmtId="177" fontId="1" fillId="0" borderId="64" xfId="0" applyNumberFormat="1" applyFont="1" applyFill="1" applyBorder="1" applyAlignment="1">
      <alignment horizontal="center"/>
    </xf>
    <xf numFmtId="177" fontId="1" fillId="0" borderId="65" xfId="0" applyNumberFormat="1" applyFont="1" applyFill="1" applyBorder="1" applyAlignment="1">
      <alignment horizontal="center"/>
    </xf>
    <xf numFmtId="3" fontId="22" fillId="0" borderId="66" xfId="0" applyNumberFormat="1" applyFont="1" applyFill="1" applyBorder="1" applyAlignment="1">
      <alignment/>
    </xf>
    <xf numFmtId="37" fontId="22" fillId="0" borderId="67" xfId="0" applyNumberFormat="1" applyFont="1" applyFill="1" applyBorder="1" applyAlignment="1">
      <alignment horizontal="left"/>
    </xf>
    <xf numFmtId="184" fontId="22" fillId="0" borderId="66" xfId="51" applyNumberFormat="1" applyFont="1" applyFill="1" applyBorder="1" applyAlignment="1">
      <alignment/>
    </xf>
    <xf numFmtId="3" fontId="22" fillId="0" borderId="68" xfId="0" applyNumberFormat="1" applyFont="1" applyFill="1" applyBorder="1" applyAlignment="1">
      <alignment/>
    </xf>
    <xf numFmtId="184" fontId="22" fillId="0" borderId="68" xfId="67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32" borderId="62" xfId="0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25" fillId="32" borderId="69" xfId="0" applyFont="1" applyFill="1" applyBorder="1" applyAlignment="1">
      <alignment horizontal="center"/>
    </xf>
    <xf numFmtId="0" fontId="25" fillId="0" borderId="69" xfId="0" applyFont="1" applyFill="1" applyBorder="1" applyAlignment="1">
      <alignment horizontal="center"/>
    </xf>
    <xf numFmtId="0" fontId="25" fillId="32" borderId="64" xfId="0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/>
    </xf>
    <xf numFmtId="0" fontId="25" fillId="0" borderId="70" xfId="0" applyFont="1" applyFill="1" applyBorder="1" applyAlignment="1">
      <alignment horizontal="left"/>
    </xf>
    <xf numFmtId="180" fontId="25" fillId="32" borderId="62" xfId="68" applyNumberFormat="1" applyFont="1" applyFill="1" applyBorder="1" applyAlignment="1">
      <alignment horizontal="center"/>
    </xf>
    <xf numFmtId="180" fontId="25" fillId="32" borderId="71" xfId="67" applyNumberFormat="1" applyFont="1" applyFill="1" applyBorder="1" applyAlignment="1">
      <alignment/>
    </xf>
    <xf numFmtId="180" fontId="25" fillId="0" borderId="71" xfId="67" applyNumberFormat="1" applyFont="1" applyFill="1" applyBorder="1" applyAlignment="1">
      <alignment/>
    </xf>
    <xf numFmtId="180" fontId="25" fillId="0" borderId="59" xfId="69" applyNumberFormat="1" applyFont="1" applyFill="1" applyBorder="1" applyAlignment="1">
      <alignment/>
    </xf>
    <xf numFmtId="180" fontId="25" fillId="0" borderId="59" xfId="68" applyNumberFormat="1" applyFont="1" applyFill="1" applyBorder="1" applyAlignment="1">
      <alignment horizontal="right"/>
    </xf>
    <xf numFmtId="10" fontId="25" fillId="0" borderId="71" xfId="77" applyNumberFormat="1" applyFont="1" applyFill="1" applyBorder="1" applyAlignment="1">
      <alignment horizontal="center"/>
    </xf>
    <xf numFmtId="9" fontId="22" fillId="0" borderId="71" xfId="77" applyFont="1" applyFill="1" applyBorder="1" applyAlignment="1">
      <alignment/>
    </xf>
    <xf numFmtId="0" fontId="22" fillId="0" borderId="72" xfId="0" applyFont="1" applyFill="1" applyBorder="1" applyAlignment="1">
      <alignment/>
    </xf>
    <xf numFmtId="180" fontId="22" fillId="32" borderId="73" xfId="67" applyNumberFormat="1" applyFont="1" applyFill="1" applyBorder="1" applyAlignment="1">
      <alignment/>
    </xf>
    <xf numFmtId="180" fontId="22" fillId="32" borderId="71" xfId="67" applyNumberFormat="1" applyFont="1" applyFill="1" applyBorder="1" applyAlignment="1">
      <alignment/>
    </xf>
    <xf numFmtId="180" fontId="22" fillId="0" borderId="71" xfId="67" applyNumberFormat="1" applyFont="1" applyFill="1" applyBorder="1" applyAlignment="1">
      <alignment/>
    </xf>
    <xf numFmtId="180" fontId="25" fillId="0" borderId="71" xfId="69" applyNumberFormat="1" applyFont="1" applyFill="1" applyBorder="1" applyAlignment="1">
      <alignment/>
    </xf>
    <xf numFmtId="180" fontId="22" fillId="0" borderId="71" xfId="69" applyNumberFormat="1" applyFont="1" applyFill="1" applyBorder="1" applyAlignment="1">
      <alignment/>
    </xf>
    <xf numFmtId="180" fontId="22" fillId="0" borderId="71" xfId="77" applyNumberFormat="1" applyFont="1" applyFill="1" applyBorder="1" applyAlignment="1">
      <alignment/>
    </xf>
    <xf numFmtId="10" fontId="22" fillId="0" borderId="71" xfId="77" applyNumberFormat="1" applyFont="1" applyFill="1" applyBorder="1" applyAlignment="1">
      <alignment horizontal="center"/>
    </xf>
    <xf numFmtId="184" fontId="22" fillId="0" borderId="71" xfId="67" applyNumberFormat="1" applyFont="1" applyFill="1" applyBorder="1" applyAlignment="1">
      <alignment/>
    </xf>
    <xf numFmtId="0" fontId="25" fillId="0" borderId="74" xfId="0" applyFont="1" applyFill="1" applyBorder="1" applyAlignment="1">
      <alignment/>
    </xf>
    <xf numFmtId="180" fontId="25" fillId="32" borderId="75" xfId="68" applyNumberFormat="1" applyFont="1" applyFill="1" applyBorder="1" applyAlignment="1">
      <alignment/>
    </xf>
    <xf numFmtId="180" fontId="25" fillId="0" borderId="71" xfId="67" applyNumberFormat="1" applyFont="1" applyFill="1" applyBorder="1" applyAlignment="1">
      <alignment/>
    </xf>
    <xf numFmtId="180" fontId="25" fillId="0" borderId="76" xfId="68" applyNumberFormat="1" applyFont="1" applyFill="1" applyBorder="1" applyAlignment="1">
      <alignment/>
    </xf>
    <xf numFmtId="180" fontId="23" fillId="0" borderId="71" xfId="67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25" fillId="0" borderId="72" xfId="0" applyFont="1" applyFill="1" applyBorder="1" applyAlignment="1">
      <alignment/>
    </xf>
    <xf numFmtId="180" fontId="25" fillId="32" borderId="73" xfId="67" applyNumberFormat="1" applyFont="1" applyFill="1" applyBorder="1" applyAlignment="1">
      <alignment/>
    </xf>
    <xf numFmtId="180" fontId="25" fillId="32" borderId="73" xfId="67" applyNumberFormat="1" applyFont="1" applyFill="1" applyBorder="1" applyAlignment="1">
      <alignment horizontal="right"/>
    </xf>
    <xf numFmtId="180" fontId="22" fillId="32" borderId="73" xfId="77" applyNumberFormat="1" applyFont="1" applyFill="1" applyBorder="1" applyAlignment="1">
      <alignment/>
    </xf>
    <xf numFmtId="180" fontId="22" fillId="32" borderId="73" xfId="77" applyNumberFormat="1" applyFont="1" applyFill="1" applyBorder="1" applyAlignment="1">
      <alignment horizontal="right"/>
    </xf>
    <xf numFmtId="180" fontId="22" fillId="32" borderId="73" xfId="67" applyNumberFormat="1" applyFont="1" applyFill="1" applyBorder="1" applyAlignment="1">
      <alignment horizontal="right"/>
    </xf>
    <xf numFmtId="180" fontId="25" fillId="0" borderId="73" xfId="67" applyNumberFormat="1" applyFont="1" applyFill="1" applyBorder="1" applyAlignment="1">
      <alignment/>
    </xf>
    <xf numFmtId="0" fontId="22" fillId="0" borderId="77" xfId="0" applyFont="1" applyFill="1" applyBorder="1" applyAlignment="1">
      <alignment/>
    </xf>
    <xf numFmtId="180" fontId="22" fillId="32" borderId="78" xfId="67" applyNumberFormat="1" applyFont="1" applyFill="1" applyBorder="1" applyAlignment="1">
      <alignment/>
    </xf>
    <xf numFmtId="180" fontId="22" fillId="32" borderId="79" xfId="67" applyNumberFormat="1" applyFont="1" applyFill="1" applyBorder="1" applyAlignment="1">
      <alignment/>
    </xf>
    <xf numFmtId="180" fontId="22" fillId="0" borderId="79" xfId="69" applyNumberFormat="1" applyFont="1" applyFill="1" applyBorder="1" applyAlignment="1">
      <alignment/>
    </xf>
    <xf numFmtId="180" fontId="22" fillId="0" borderId="79" xfId="67" applyNumberFormat="1" applyFont="1" applyFill="1" applyBorder="1" applyAlignment="1">
      <alignment/>
    </xf>
    <xf numFmtId="180" fontId="22" fillId="0" borderId="78" xfId="67" applyNumberFormat="1" applyFont="1" applyFill="1" applyBorder="1" applyAlignment="1">
      <alignment/>
    </xf>
    <xf numFmtId="180" fontId="22" fillId="32" borderId="79" xfId="69" applyNumberFormat="1" applyFont="1" applyFill="1" applyBorder="1" applyAlignment="1">
      <alignment/>
    </xf>
    <xf numFmtId="10" fontId="22" fillId="0" borderId="79" xfId="77" applyNumberFormat="1" applyFont="1" applyFill="1" applyBorder="1" applyAlignment="1">
      <alignment horizontal="center"/>
    </xf>
    <xf numFmtId="184" fontId="22" fillId="0" borderId="79" xfId="67" applyNumberFormat="1" applyFont="1" applyFill="1" applyBorder="1" applyAlignment="1">
      <alignment/>
    </xf>
    <xf numFmtId="9" fontId="22" fillId="0" borderId="79" xfId="77" applyFont="1" applyFill="1" applyBorder="1" applyAlignment="1">
      <alignment/>
    </xf>
    <xf numFmtId="0" fontId="25" fillId="0" borderId="40" xfId="0" applyFont="1" applyFill="1" applyBorder="1" applyAlignment="1">
      <alignment/>
    </xf>
    <xf numFmtId="180" fontId="25" fillId="0" borderId="24" xfId="0" applyNumberFormat="1" applyFont="1" applyFill="1" applyBorder="1" applyAlignment="1">
      <alignment/>
    </xf>
    <xf numFmtId="180" fontId="1" fillId="0" borderId="24" xfId="69" applyNumberFormat="1" applyFont="1" applyFill="1" applyBorder="1" applyAlignment="1">
      <alignment/>
    </xf>
    <xf numFmtId="180" fontId="25" fillId="0" borderId="24" xfId="0" applyNumberFormat="1" applyFont="1" applyFill="1" applyBorder="1" applyAlignment="1">
      <alignment horizontal="center"/>
    </xf>
    <xf numFmtId="10" fontId="25" fillId="0" borderId="80" xfId="77" applyNumberFormat="1" applyFont="1" applyFill="1" applyBorder="1" applyAlignment="1">
      <alignment horizontal="center"/>
    </xf>
    <xf numFmtId="18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6" fillId="0" borderId="31" xfId="0" applyFont="1" applyFill="1" applyBorder="1" applyAlignment="1">
      <alignment/>
    </xf>
    <xf numFmtId="3" fontId="27" fillId="0" borderId="31" xfId="0" applyNumberFormat="1" applyFont="1" applyFill="1" applyBorder="1" applyAlignment="1">
      <alignment/>
    </xf>
    <xf numFmtId="184" fontId="27" fillId="0" borderId="31" xfId="69" applyNumberFormat="1" applyFont="1" applyFill="1" applyBorder="1" applyAlignment="1">
      <alignment/>
    </xf>
    <xf numFmtId="3" fontId="26" fillId="0" borderId="31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84" fontId="26" fillId="0" borderId="31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right"/>
    </xf>
    <xf numFmtId="9" fontId="25" fillId="0" borderId="80" xfId="77" applyFont="1" applyFill="1" applyBorder="1" applyAlignment="1">
      <alignment/>
    </xf>
    <xf numFmtId="180" fontId="22" fillId="0" borderId="71" xfId="51" applyNumberFormat="1" applyFont="1" applyFill="1" applyBorder="1" applyAlignment="1">
      <alignment/>
    </xf>
    <xf numFmtId="177" fontId="1" fillId="0" borderId="0" xfId="0" applyNumberFormat="1" applyFont="1" applyFill="1" applyAlignment="1">
      <alignment horizontal="right"/>
    </xf>
    <xf numFmtId="177" fontId="1" fillId="0" borderId="0" xfId="75" applyNumberFormat="1" applyFont="1" applyFill="1">
      <alignment/>
      <protection/>
    </xf>
    <xf numFmtId="177" fontId="2" fillId="0" borderId="0" xfId="75" applyNumberFormat="1" applyFont="1" applyFill="1">
      <alignment/>
      <protection/>
    </xf>
    <xf numFmtId="177" fontId="10" fillId="0" borderId="0" xfId="75" applyNumberFormat="1" applyFont="1" applyFill="1">
      <alignment/>
      <protection/>
    </xf>
    <xf numFmtId="177" fontId="10" fillId="0" borderId="62" xfId="75" applyNumberFormat="1" applyFont="1" applyFill="1" applyBorder="1" applyAlignment="1">
      <alignment horizontal="center"/>
      <protection/>
    </xf>
    <xf numFmtId="177" fontId="10" fillId="0" borderId="64" xfId="75" applyNumberFormat="1" applyFont="1" applyFill="1" applyBorder="1" applyAlignment="1">
      <alignment horizontal="center"/>
      <protection/>
    </xf>
    <xf numFmtId="177" fontId="17" fillId="0" borderId="0" xfId="75" applyNumberFormat="1" applyFont="1" applyFill="1">
      <alignment/>
      <protection/>
    </xf>
    <xf numFmtId="177" fontId="18" fillId="0" borderId="0" xfId="75" applyNumberFormat="1" applyFont="1" applyFill="1">
      <alignment/>
      <protection/>
    </xf>
    <xf numFmtId="177" fontId="19" fillId="0" borderId="0" xfId="75" applyNumberFormat="1" applyFont="1" applyFill="1">
      <alignment/>
      <protection/>
    </xf>
    <xf numFmtId="177" fontId="1" fillId="0" borderId="23" xfId="75" applyNumberFormat="1" applyFont="1" applyFill="1" applyBorder="1">
      <alignment/>
      <protection/>
    </xf>
    <xf numFmtId="177" fontId="1" fillId="0" borderId="17" xfId="75" applyNumberFormat="1" applyFont="1" applyFill="1" applyBorder="1">
      <alignment/>
      <protection/>
    </xf>
    <xf numFmtId="177" fontId="2" fillId="0" borderId="19" xfId="75" applyNumberFormat="1" applyFont="1" applyFill="1" applyBorder="1">
      <alignment/>
      <protection/>
    </xf>
    <xf numFmtId="177" fontId="2" fillId="0" borderId="17" xfId="75" applyNumberFormat="1" applyFont="1" applyFill="1" applyBorder="1">
      <alignment/>
      <protection/>
    </xf>
    <xf numFmtId="177" fontId="2" fillId="0" borderId="18" xfId="75" applyNumberFormat="1" applyFont="1" applyFill="1" applyBorder="1">
      <alignment/>
      <protection/>
    </xf>
    <xf numFmtId="177" fontId="6" fillId="0" borderId="17" xfId="75" applyNumberFormat="1" applyFont="1" applyFill="1" applyBorder="1">
      <alignment/>
      <protection/>
    </xf>
    <xf numFmtId="177" fontId="6" fillId="0" borderId="17" xfId="79" applyNumberFormat="1" applyFont="1" applyFill="1" applyBorder="1" applyAlignment="1">
      <alignment/>
    </xf>
    <xf numFmtId="177" fontId="2" fillId="0" borderId="15" xfId="75" applyNumberFormat="1" applyFont="1" applyFill="1" applyBorder="1">
      <alignment/>
      <protection/>
    </xf>
    <xf numFmtId="177" fontId="1" fillId="0" borderId="10" xfId="75" applyNumberFormat="1" applyFont="1" applyFill="1" applyBorder="1">
      <alignment/>
      <protection/>
    </xf>
    <xf numFmtId="177" fontId="2" fillId="0" borderId="13" xfId="75" applyNumberFormat="1" applyFont="1" applyFill="1" applyBorder="1">
      <alignment/>
      <protection/>
    </xf>
    <xf numFmtId="177" fontId="2" fillId="0" borderId="10" xfId="75" applyNumberFormat="1" applyFont="1" applyFill="1" applyBorder="1">
      <alignment/>
      <protection/>
    </xf>
    <xf numFmtId="177" fontId="2" fillId="0" borderId="11" xfId="75" applyNumberFormat="1" applyFont="1" applyFill="1" applyBorder="1">
      <alignment/>
      <protection/>
    </xf>
    <xf numFmtId="177" fontId="6" fillId="0" borderId="10" xfId="75" applyNumberFormat="1" applyFont="1" applyFill="1" applyBorder="1">
      <alignment/>
      <protection/>
    </xf>
    <xf numFmtId="177" fontId="6" fillId="0" borderId="10" xfId="79" applyNumberFormat="1" applyFont="1" applyFill="1" applyBorder="1" applyAlignment="1">
      <alignment/>
    </xf>
    <xf numFmtId="9" fontId="6" fillId="0" borderId="10" xfId="79" applyNumberFormat="1" applyFont="1" applyFill="1" applyBorder="1" applyAlignment="1">
      <alignment/>
    </xf>
    <xf numFmtId="177" fontId="2" fillId="0" borderId="27" xfId="75" applyNumberFormat="1" applyFont="1" applyFill="1" applyBorder="1">
      <alignment/>
      <protection/>
    </xf>
    <xf numFmtId="177" fontId="2" fillId="0" borderId="22" xfId="75" applyNumberFormat="1" applyFont="1" applyFill="1" applyBorder="1">
      <alignment/>
      <protection/>
    </xf>
    <xf numFmtId="177" fontId="2" fillId="0" borderId="23" xfId="75" applyNumberFormat="1" applyFont="1" applyFill="1" applyBorder="1">
      <alignment/>
      <protection/>
    </xf>
    <xf numFmtId="177" fontId="2" fillId="0" borderId="14" xfId="75" applyNumberFormat="1" applyFont="1" applyFill="1" applyBorder="1">
      <alignment/>
      <protection/>
    </xf>
    <xf numFmtId="177" fontId="6" fillId="0" borderId="14" xfId="75" applyNumberFormat="1" applyFont="1" applyFill="1" applyBorder="1">
      <alignment/>
      <protection/>
    </xf>
    <xf numFmtId="9" fontId="6" fillId="0" borderId="14" xfId="79" applyNumberFormat="1" applyFont="1" applyFill="1" applyBorder="1" applyAlignment="1">
      <alignment/>
    </xf>
    <xf numFmtId="9" fontId="6" fillId="0" borderId="16" xfId="79" applyNumberFormat="1" applyFont="1" applyFill="1" applyBorder="1" applyAlignment="1">
      <alignment/>
    </xf>
    <xf numFmtId="177" fontId="1" fillId="33" borderId="44" xfId="75" applyNumberFormat="1" applyFont="1" applyFill="1" applyBorder="1">
      <alignment/>
      <protection/>
    </xf>
    <xf numFmtId="177" fontId="1" fillId="33" borderId="24" xfId="75" applyNumberFormat="1" applyFont="1" applyFill="1" applyBorder="1">
      <alignment/>
      <protection/>
    </xf>
    <xf numFmtId="9" fontId="12" fillId="33" borderId="24" xfId="79" applyNumberFormat="1" applyFont="1" applyFill="1" applyBorder="1" applyAlignment="1">
      <alignment/>
    </xf>
    <xf numFmtId="177" fontId="1" fillId="0" borderId="22" xfId="75" applyNumberFormat="1" applyFont="1" applyFill="1" applyBorder="1">
      <alignment/>
      <protection/>
    </xf>
    <xf numFmtId="177" fontId="1" fillId="0" borderId="19" xfId="75" applyNumberFormat="1" applyFont="1" applyFill="1" applyBorder="1">
      <alignment/>
      <protection/>
    </xf>
    <xf numFmtId="177" fontId="1" fillId="0" borderId="18" xfId="75" applyNumberFormat="1" applyFont="1" applyFill="1" applyBorder="1">
      <alignment/>
      <protection/>
    </xf>
    <xf numFmtId="177" fontId="1" fillId="0" borderId="11" xfId="75" applyNumberFormat="1" applyFont="1" applyFill="1" applyBorder="1">
      <alignment/>
      <protection/>
    </xf>
    <xf numFmtId="177" fontId="1" fillId="0" borderId="13" xfId="75" applyNumberFormat="1" applyFont="1" applyFill="1" applyBorder="1">
      <alignment/>
      <protection/>
    </xf>
    <xf numFmtId="177" fontId="11" fillId="0" borderId="10" xfId="75" applyNumberFormat="1" applyFont="1" applyFill="1" applyBorder="1">
      <alignment/>
      <protection/>
    </xf>
    <xf numFmtId="177" fontId="2" fillId="0" borderId="20" xfId="75" applyNumberFormat="1" applyFont="1" applyFill="1" applyBorder="1">
      <alignment/>
      <protection/>
    </xf>
    <xf numFmtId="177" fontId="1" fillId="0" borderId="27" xfId="75" applyNumberFormat="1" applyFont="1" applyFill="1" applyBorder="1">
      <alignment/>
      <protection/>
    </xf>
    <xf numFmtId="177" fontId="1" fillId="0" borderId="0" xfId="75" applyNumberFormat="1" applyFont="1" applyFill="1" applyBorder="1">
      <alignment/>
      <protection/>
    </xf>
    <xf numFmtId="177" fontId="2" fillId="0" borderId="21" xfId="75" applyNumberFormat="1" applyFont="1" applyFill="1" applyBorder="1">
      <alignment/>
      <protection/>
    </xf>
    <xf numFmtId="177" fontId="6" fillId="0" borderId="22" xfId="79" applyNumberFormat="1" applyFont="1" applyFill="1" applyBorder="1" applyAlignment="1">
      <alignment/>
    </xf>
    <xf numFmtId="177" fontId="1" fillId="0" borderId="15" xfId="75" applyNumberFormat="1" applyFont="1" applyFill="1" applyBorder="1">
      <alignment/>
      <protection/>
    </xf>
    <xf numFmtId="177" fontId="1" fillId="0" borderId="14" xfId="75" applyNumberFormat="1" applyFont="1" applyFill="1" applyBorder="1">
      <alignment/>
      <protection/>
    </xf>
    <xf numFmtId="177" fontId="1" fillId="0" borderId="43" xfId="75" applyNumberFormat="1" applyFont="1" applyFill="1" applyBorder="1">
      <alignment/>
      <protection/>
    </xf>
    <xf numFmtId="177" fontId="6" fillId="0" borderId="14" xfId="79" applyNumberFormat="1" applyFont="1" applyFill="1" applyBorder="1" applyAlignment="1">
      <alignment/>
    </xf>
    <xf numFmtId="177" fontId="6" fillId="0" borderId="16" xfId="79" applyNumberFormat="1" applyFont="1" applyFill="1" applyBorder="1" applyAlignment="1">
      <alignment/>
    </xf>
    <xf numFmtId="177" fontId="1" fillId="0" borderId="18" xfId="75" applyNumberFormat="1" applyFont="1" applyFill="1" applyBorder="1" applyAlignment="1">
      <alignment/>
      <protection/>
    </xf>
    <xf numFmtId="177" fontId="6" fillId="0" borderId="22" xfId="75" applyNumberFormat="1" applyFont="1" applyFill="1" applyBorder="1">
      <alignment/>
      <protection/>
    </xf>
    <xf numFmtId="9" fontId="6" fillId="0" borderId="22" xfId="79" applyNumberFormat="1" applyFont="1" applyFill="1" applyBorder="1" applyAlignment="1">
      <alignment/>
    </xf>
    <xf numFmtId="9" fontId="6" fillId="0" borderId="17" xfId="79" applyNumberFormat="1" applyFont="1" applyFill="1" applyBorder="1" applyAlignment="1">
      <alignment/>
    </xf>
    <xf numFmtId="177" fontId="1" fillId="0" borderId="11" xfId="75" applyNumberFormat="1" applyFont="1" applyFill="1" applyBorder="1" applyAlignment="1">
      <alignment/>
      <protection/>
    </xf>
    <xf numFmtId="9" fontId="12" fillId="0" borderId="10" xfId="79" applyNumberFormat="1" applyFont="1" applyFill="1" applyBorder="1" applyAlignment="1">
      <alignment/>
    </xf>
    <xf numFmtId="177" fontId="2" fillId="0" borderId="0" xfId="79" applyNumberFormat="1" applyFont="1" applyFill="1" applyAlignment="1">
      <alignment/>
    </xf>
    <xf numFmtId="177" fontId="2" fillId="0" borderId="11" xfId="75" applyNumberFormat="1" applyFont="1" applyFill="1" applyBorder="1" applyAlignment="1">
      <alignment horizontal="left" indent="1"/>
      <protection/>
    </xf>
    <xf numFmtId="177" fontId="6" fillId="0" borderId="15" xfId="75" applyNumberFormat="1" applyFont="1" applyFill="1" applyBorder="1">
      <alignment/>
      <protection/>
    </xf>
    <xf numFmtId="177" fontId="1" fillId="0" borderId="20" xfId="75" applyNumberFormat="1" applyFont="1" applyFill="1" applyBorder="1">
      <alignment/>
      <protection/>
    </xf>
    <xf numFmtId="177" fontId="6" fillId="32" borderId="10" xfId="75" applyNumberFormat="1" applyFont="1" applyFill="1" applyBorder="1">
      <alignment/>
      <protection/>
    </xf>
    <xf numFmtId="177" fontId="2" fillId="0" borderId="15" xfId="75" applyNumberFormat="1" applyFont="1" applyFill="1" applyBorder="1" applyAlignment="1">
      <alignment horizontal="left" indent="1"/>
      <protection/>
    </xf>
    <xf numFmtId="177" fontId="12" fillId="33" borderId="44" xfId="75" applyNumberFormat="1" applyFont="1" applyFill="1" applyBorder="1">
      <alignment/>
      <protection/>
    </xf>
    <xf numFmtId="177" fontId="12" fillId="33" borderId="24" xfId="75" applyNumberFormat="1" applyFont="1" applyFill="1" applyBorder="1">
      <alignment/>
      <protection/>
    </xf>
    <xf numFmtId="177" fontId="12" fillId="33" borderId="24" xfId="53" applyNumberFormat="1" applyFont="1" applyFill="1" applyBorder="1" applyAlignment="1">
      <alignment/>
    </xf>
    <xf numFmtId="177" fontId="12" fillId="0" borderId="23" xfId="75" applyNumberFormat="1" applyFont="1" applyFill="1" applyBorder="1">
      <alignment/>
      <protection/>
    </xf>
    <xf numFmtId="177" fontId="12" fillId="0" borderId="22" xfId="75" applyNumberFormat="1" applyFont="1" applyFill="1" applyBorder="1">
      <alignment/>
      <protection/>
    </xf>
    <xf numFmtId="177" fontId="12" fillId="0" borderId="0" xfId="75" applyNumberFormat="1" applyFont="1" applyFill="1" applyBorder="1">
      <alignment/>
      <protection/>
    </xf>
    <xf numFmtId="177" fontId="12" fillId="0" borderId="27" xfId="75" applyNumberFormat="1" applyFont="1" applyFill="1" applyBorder="1">
      <alignment/>
      <protection/>
    </xf>
    <xf numFmtId="177" fontId="6" fillId="0" borderId="23" xfId="79" applyNumberFormat="1" applyFont="1" applyFill="1" applyBorder="1" applyAlignment="1">
      <alignment/>
    </xf>
    <xf numFmtId="3" fontId="22" fillId="35" borderId="66" xfId="0" applyNumberFormat="1" applyFont="1" applyFill="1" applyBorder="1" applyAlignment="1">
      <alignment/>
    </xf>
    <xf numFmtId="3" fontId="22" fillId="35" borderId="68" xfId="0" applyNumberFormat="1" applyFont="1" applyFill="1" applyBorder="1" applyAlignment="1">
      <alignment/>
    </xf>
    <xf numFmtId="184" fontId="22" fillId="35" borderId="68" xfId="67" applyNumberFormat="1" applyFont="1" applyFill="1" applyBorder="1" applyAlignment="1">
      <alignment/>
    </xf>
    <xf numFmtId="177" fontId="1" fillId="0" borderId="27" xfId="0" applyNumberFormat="1" applyFont="1" applyFill="1" applyBorder="1" applyAlignment="1">
      <alignment/>
    </xf>
    <xf numFmtId="180" fontId="25" fillId="0" borderId="59" xfId="51" applyNumberFormat="1" applyFont="1" applyFill="1" applyBorder="1" applyAlignment="1">
      <alignment/>
    </xf>
    <xf numFmtId="180" fontId="25" fillId="0" borderId="71" xfId="51" applyNumberFormat="1" applyFont="1" applyFill="1" applyBorder="1" applyAlignment="1">
      <alignment/>
    </xf>
    <xf numFmtId="180" fontId="22" fillId="0" borderId="59" xfId="51" applyNumberFormat="1" applyFont="1" applyFill="1" applyBorder="1" applyAlignment="1">
      <alignment/>
    </xf>
    <xf numFmtId="180" fontId="22" fillId="0" borderId="79" xfId="51" applyNumberFormat="1" applyFont="1" applyFill="1" applyBorder="1" applyAlignment="1">
      <alignment/>
    </xf>
    <xf numFmtId="180" fontId="22" fillId="32" borderId="79" xfId="51" applyNumberFormat="1" applyFont="1" applyFill="1" applyBorder="1" applyAlignment="1">
      <alignment/>
    </xf>
    <xf numFmtId="180" fontId="1" fillId="0" borderId="24" xfId="51" applyNumberFormat="1" applyFont="1" applyFill="1" applyBorder="1" applyAlignment="1">
      <alignment/>
    </xf>
    <xf numFmtId="9" fontId="2" fillId="0" borderId="22" xfId="77" applyFont="1" applyFill="1" applyBorder="1" applyAlignment="1">
      <alignment/>
    </xf>
    <xf numFmtId="9" fontId="2" fillId="0" borderId="0" xfId="77" applyFont="1" applyAlignment="1">
      <alignment/>
    </xf>
    <xf numFmtId="9" fontId="2" fillId="0" borderId="0" xfId="77" applyFont="1" applyFill="1" applyAlignment="1">
      <alignment/>
    </xf>
    <xf numFmtId="9" fontId="2" fillId="0" borderId="0" xfId="77" applyFont="1" applyFill="1" applyBorder="1" applyAlignment="1">
      <alignment/>
    </xf>
    <xf numFmtId="181" fontId="2" fillId="0" borderId="20" xfId="77" applyNumberFormat="1" applyFont="1" applyFill="1" applyBorder="1" applyAlignment="1">
      <alignment/>
    </xf>
    <xf numFmtId="177" fontId="2" fillId="13" borderId="0" xfId="75" applyNumberFormat="1" applyFont="1" applyFill="1">
      <alignment/>
      <protection/>
    </xf>
    <xf numFmtId="177" fontId="74" fillId="36" borderId="62" xfId="0" applyNumberFormat="1" applyFont="1" applyFill="1" applyBorder="1" applyAlignment="1">
      <alignment horizontal="center"/>
    </xf>
    <xf numFmtId="177" fontId="74" fillId="36" borderId="64" xfId="0" applyNumberFormat="1" applyFont="1" applyFill="1" applyBorder="1" applyAlignment="1">
      <alignment horizontal="center"/>
    </xf>
    <xf numFmtId="177" fontId="12" fillId="33" borderId="64" xfId="75" applyNumberFormat="1" applyFont="1" applyFill="1" applyBorder="1">
      <alignment/>
      <protection/>
    </xf>
    <xf numFmtId="9" fontId="12" fillId="33" borderId="64" xfId="79" applyNumberFormat="1" applyFont="1" applyFill="1" applyBorder="1" applyAlignment="1">
      <alignment/>
    </xf>
    <xf numFmtId="177" fontId="6" fillId="0" borderId="81" xfId="75" applyNumberFormat="1" applyFont="1" applyFill="1" applyBorder="1">
      <alignment/>
      <protection/>
    </xf>
    <xf numFmtId="177" fontId="6" fillId="0" borderId="81" xfId="79" applyNumberFormat="1" applyFont="1" applyFill="1" applyBorder="1" applyAlignment="1">
      <alignment/>
    </xf>
    <xf numFmtId="9" fontId="1" fillId="33" borderId="24" xfId="77" applyFont="1" applyFill="1" applyBorder="1" applyAlignment="1">
      <alignment/>
    </xf>
    <xf numFmtId="177" fontId="74" fillId="36" borderId="24" xfId="0" applyNumberFormat="1" applyFont="1" applyFill="1" applyBorder="1" applyAlignment="1">
      <alignment horizontal="center"/>
    </xf>
    <xf numFmtId="177" fontId="74" fillId="36" borderId="0" xfId="0" applyNumberFormat="1" applyFont="1" applyFill="1" applyAlignment="1">
      <alignment/>
    </xf>
    <xf numFmtId="177" fontId="74" fillId="36" borderId="62" xfId="0" applyNumberFormat="1" applyFont="1" applyFill="1" applyBorder="1" applyAlignment="1">
      <alignment horizontal="center"/>
    </xf>
    <xf numFmtId="177" fontId="74" fillId="36" borderId="64" xfId="0" applyNumberFormat="1" applyFont="1" applyFill="1" applyBorder="1" applyAlignment="1">
      <alignment horizontal="center"/>
    </xf>
    <xf numFmtId="177" fontId="74" fillId="36" borderId="24" xfId="0" applyNumberFormat="1" applyFont="1" applyFill="1" applyBorder="1" applyAlignment="1">
      <alignment horizontal="center"/>
    </xf>
    <xf numFmtId="177" fontId="75" fillId="0" borderId="62" xfId="0" applyNumberFormat="1" applyFont="1" applyFill="1" applyBorder="1" applyAlignment="1">
      <alignment horizontal="center"/>
    </xf>
    <xf numFmtId="177" fontId="75" fillId="0" borderId="0" xfId="0" applyNumberFormat="1" applyFont="1" applyFill="1" applyAlignment="1">
      <alignment/>
    </xf>
    <xf numFmtId="177" fontId="75" fillId="0" borderId="0" xfId="0" applyNumberFormat="1" applyFont="1" applyAlignment="1">
      <alignment/>
    </xf>
    <xf numFmtId="177" fontId="75" fillId="0" borderId="64" xfId="0" applyNumberFormat="1" applyFont="1" applyFill="1" applyBorder="1" applyAlignment="1">
      <alignment horizontal="center"/>
    </xf>
    <xf numFmtId="177" fontId="74" fillId="0" borderId="62" xfId="0" applyNumberFormat="1" applyFont="1" applyFill="1" applyBorder="1" applyAlignment="1">
      <alignment horizontal="center"/>
    </xf>
    <xf numFmtId="177" fontId="74" fillId="0" borderId="0" xfId="0" applyNumberFormat="1" applyFont="1" applyFill="1" applyAlignment="1">
      <alignment/>
    </xf>
    <xf numFmtId="177" fontId="74" fillId="0" borderId="64" xfId="0" applyNumberFormat="1" applyFont="1" applyFill="1" applyBorder="1" applyAlignment="1">
      <alignment horizontal="center"/>
    </xf>
    <xf numFmtId="177" fontId="74" fillId="36" borderId="24" xfId="0" applyNumberFormat="1" applyFont="1" applyFill="1" applyBorder="1" applyAlignment="1">
      <alignment horizontal="center"/>
    </xf>
    <xf numFmtId="177" fontId="74" fillId="36" borderId="62" xfId="0" applyNumberFormat="1" applyFont="1" applyFill="1" applyBorder="1" applyAlignment="1">
      <alignment horizontal="center"/>
    </xf>
    <xf numFmtId="177" fontId="74" fillId="36" borderId="64" xfId="0" applyNumberFormat="1" applyFont="1" applyFill="1" applyBorder="1" applyAlignment="1">
      <alignment horizontal="center"/>
    </xf>
    <xf numFmtId="177" fontId="2" fillId="35" borderId="10" xfId="0" applyNumberFormat="1" applyFont="1" applyFill="1" applyBorder="1" applyAlignment="1">
      <alignment/>
    </xf>
    <xf numFmtId="177" fontId="1" fillId="35" borderId="10" xfId="51" applyNumberFormat="1" applyFont="1" applyFill="1" applyBorder="1" applyAlignment="1">
      <alignment/>
    </xf>
    <xf numFmtId="177" fontId="2" fillId="35" borderId="14" xfId="51" applyNumberFormat="1" applyFont="1" applyFill="1" applyBorder="1" applyAlignment="1">
      <alignment/>
    </xf>
    <xf numFmtId="177" fontId="2" fillId="35" borderId="10" xfId="51" applyNumberFormat="1" applyFont="1" applyFill="1" applyBorder="1" applyAlignment="1">
      <alignment/>
    </xf>
    <xf numFmtId="177" fontId="1" fillId="35" borderId="11" xfId="51" applyNumberFormat="1" applyFont="1" applyFill="1" applyBorder="1" applyAlignment="1">
      <alignment/>
    </xf>
    <xf numFmtId="177" fontId="2" fillId="35" borderId="13" xfId="51" applyNumberFormat="1" applyFont="1" applyFill="1" applyBorder="1" applyAlignment="1">
      <alignment/>
    </xf>
    <xf numFmtId="9" fontId="2" fillId="0" borderId="10" xfId="77" applyFont="1" applyFill="1" applyBorder="1" applyAlignment="1">
      <alignment/>
    </xf>
    <xf numFmtId="177" fontId="74" fillId="36" borderId="64" xfId="0" applyNumberFormat="1" applyFont="1" applyFill="1" applyBorder="1" applyAlignment="1">
      <alignment horizontal="center"/>
    </xf>
    <xf numFmtId="177" fontId="74" fillId="36" borderId="62" xfId="0" applyNumberFormat="1" applyFont="1" applyFill="1" applyBorder="1" applyAlignment="1">
      <alignment horizontal="center"/>
    </xf>
    <xf numFmtId="177" fontId="74" fillId="36" borderId="64" xfId="0" applyNumberFormat="1" applyFont="1" applyFill="1" applyBorder="1" applyAlignment="1">
      <alignment horizontal="center"/>
    </xf>
    <xf numFmtId="177" fontId="2" fillId="35" borderId="17" xfId="51" applyNumberFormat="1" applyFont="1" applyFill="1" applyBorder="1" applyAlignment="1">
      <alignment/>
    </xf>
    <xf numFmtId="177" fontId="2" fillId="35" borderId="19" xfId="51" applyNumberFormat="1" applyFont="1" applyFill="1" applyBorder="1" applyAlignment="1">
      <alignment/>
    </xf>
    <xf numFmtId="177" fontId="2" fillId="35" borderId="11" xfId="51" applyNumberFormat="1" applyFont="1" applyFill="1" applyBorder="1" applyAlignment="1">
      <alignment/>
    </xf>
    <xf numFmtId="177" fontId="2" fillId="35" borderId="11" xfId="0" applyNumberFormat="1" applyFont="1" applyFill="1" applyBorder="1" applyAlignment="1">
      <alignment/>
    </xf>
    <xf numFmtId="177" fontId="2" fillId="35" borderId="15" xfId="51" applyNumberFormat="1" applyFont="1" applyFill="1" applyBorder="1" applyAlignment="1">
      <alignment/>
    </xf>
    <xf numFmtId="177" fontId="2" fillId="35" borderId="18" xfId="51" applyNumberFormat="1" applyFont="1" applyFill="1" applyBorder="1" applyAlignment="1">
      <alignment/>
    </xf>
    <xf numFmtId="177" fontId="1" fillId="35" borderId="10" xfId="0" applyNumberFormat="1" applyFont="1" applyFill="1" applyBorder="1" applyAlignment="1">
      <alignment/>
    </xf>
    <xf numFmtId="9" fontId="6" fillId="0" borderId="10" xfId="77" applyFont="1" applyFill="1" applyBorder="1" applyAlignment="1">
      <alignment/>
    </xf>
    <xf numFmtId="0" fontId="0" fillId="0" borderId="0" xfId="75" applyFont="1">
      <alignment/>
      <protection/>
    </xf>
    <xf numFmtId="0" fontId="0" fillId="0" borderId="0" xfId="75">
      <alignment/>
      <protection/>
    </xf>
    <xf numFmtId="0" fontId="25" fillId="33" borderId="31" xfId="75" applyFont="1" applyFill="1" applyBorder="1" applyAlignment="1">
      <alignment horizontal="center"/>
      <protection/>
    </xf>
    <xf numFmtId="0" fontId="0" fillId="0" borderId="29" xfId="75" applyFont="1" applyFill="1" applyBorder="1" applyAlignment="1">
      <alignment horizontal="left" wrapText="1"/>
      <protection/>
    </xf>
    <xf numFmtId="0" fontId="0" fillId="0" borderId="82" xfId="75" applyFont="1" applyFill="1" applyBorder="1" applyAlignment="1">
      <alignment horizontal="left" wrapText="1"/>
      <protection/>
    </xf>
    <xf numFmtId="184" fontId="0" fillId="0" borderId="31" xfId="55" applyNumberFormat="1" applyFont="1" applyFill="1" applyBorder="1" applyAlignment="1">
      <alignment/>
    </xf>
    <xf numFmtId="184" fontId="8" fillId="33" borderId="31" xfId="75" applyNumberFormat="1" applyFont="1" applyFill="1" applyBorder="1">
      <alignment/>
      <protection/>
    </xf>
    <xf numFmtId="184" fontId="0" fillId="0" borderId="0" xfId="55" applyNumberFormat="1" applyFont="1" applyAlignment="1">
      <alignment/>
    </xf>
    <xf numFmtId="0" fontId="25" fillId="32" borderId="0" xfId="75" applyFont="1" applyFill="1" applyBorder="1" applyAlignment="1">
      <alignment horizontal="right"/>
      <protection/>
    </xf>
    <xf numFmtId="0" fontId="0" fillId="32" borderId="0" xfId="75" applyFill="1" applyBorder="1">
      <alignment/>
      <protection/>
    </xf>
    <xf numFmtId="184" fontId="0" fillId="32" borderId="0" xfId="55" applyNumberFormat="1" applyFont="1" applyFill="1" applyBorder="1" applyAlignment="1">
      <alignment/>
    </xf>
    <xf numFmtId="0" fontId="25" fillId="0" borderId="0" xfId="75" applyFont="1" applyFill="1" applyBorder="1" applyAlignment="1">
      <alignment horizontal="center"/>
      <protection/>
    </xf>
    <xf numFmtId="0" fontId="0" fillId="0" borderId="0" xfId="75" applyFill="1">
      <alignment/>
      <protection/>
    </xf>
    <xf numFmtId="184" fontId="0" fillId="32" borderId="31" xfId="55" applyNumberFormat="1" applyFont="1" applyFill="1" applyBorder="1" applyAlignment="1">
      <alignment/>
    </xf>
    <xf numFmtId="184" fontId="0" fillId="0" borderId="31" xfId="75" applyNumberFormat="1" applyFont="1" applyFill="1" applyBorder="1">
      <alignment/>
      <protection/>
    </xf>
    <xf numFmtId="0" fontId="0" fillId="0" borderId="0" xfId="75" applyFill="1" applyBorder="1">
      <alignment/>
      <protection/>
    </xf>
    <xf numFmtId="184" fontId="8" fillId="37" borderId="24" xfId="55" applyNumberFormat="1" applyFont="1" applyFill="1" applyBorder="1" applyAlignment="1">
      <alignment/>
    </xf>
    <xf numFmtId="184" fontId="8" fillId="0" borderId="0" xfId="55" applyNumberFormat="1" applyFont="1" applyAlignment="1">
      <alignment/>
    </xf>
    <xf numFmtId="184" fontId="0" fillId="0" borderId="0" xfId="55" applyNumberFormat="1" applyFont="1" applyAlignment="1">
      <alignment/>
    </xf>
    <xf numFmtId="0" fontId="29" fillId="0" borderId="0" xfId="75" applyFont="1">
      <alignment/>
      <protection/>
    </xf>
    <xf numFmtId="177" fontId="2" fillId="35" borderId="13" xfId="0" applyNumberFormat="1" applyFont="1" applyFill="1" applyBorder="1" applyAlignment="1">
      <alignment/>
    </xf>
    <xf numFmtId="177" fontId="2" fillId="35" borderId="22" xfId="0" applyNumberFormat="1" applyFont="1" applyFill="1" applyBorder="1" applyAlignment="1">
      <alignment/>
    </xf>
    <xf numFmtId="177" fontId="1" fillId="35" borderId="24" xfId="0" applyNumberFormat="1" applyFont="1" applyFill="1" applyBorder="1" applyAlignment="1">
      <alignment/>
    </xf>
    <xf numFmtId="177" fontId="2" fillId="35" borderId="20" xfId="0" applyNumberFormat="1" applyFont="1" applyFill="1" applyBorder="1" applyAlignment="1">
      <alignment/>
    </xf>
    <xf numFmtId="177" fontId="2" fillId="35" borderId="14" xfId="0" applyNumberFormat="1" applyFont="1" applyFill="1" applyBorder="1" applyAlignment="1">
      <alignment/>
    </xf>
    <xf numFmtId="177" fontId="2" fillId="35" borderId="27" xfId="0" applyNumberFormat="1" applyFont="1" applyFill="1" applyBorder="1" applyAlignment="1">
      <alignment/>
    </xf>
    <xf numFmtId="177" fontId="1" fillId="35" borderId="22" xfId="0" applyNumberFormat="1" applyFont="1" applyFill="1" applyBorder="1" applyAlignment="1">
      <alignment/>
    </xf>
    <xf numFmtId="177" fontId="2" fillId="35" borderId="17" xfId="0" applyNumberFormat="1" applyFont="1" applyFill="1" applyBorder="1" applyAlignment="1">
      <alignment/>
    </xf>
    <xf numFmtId="177" fontId="2" fillId="35" borderId="10" xfId="75" applyNumberFormat="1" applyFont="1" applyFill="1" applyBorder="1">
      <alignment/>
      <protection/>
    </xf>
    <xf numFmtId="177" fontId="1" fillId="35" borderId="10" xfId="75" applyNumberFormat="1" applyFont="1" applyFill="1" applyBorder="1">
      <alignment/>
      <protection/>
    </xf>
    <xf numFmtId="177" fontId="6" fillId="35" borderId="14" xfId="75" applyNumberFormat="1" applyFont="1" applyFill="1" applyBorder="1">
      <alignment/>
      <protection/>
    </xf>
    <xf numFmtId="177" fontId="1" fillId="35" borderId="14" xfId="75" applyNumberFormat="1" applyFont="1" applyFill="1" applyBorder="1">
      <alignment/>
      <protection/>
    </xf>
    <xf numFmtId="177" fontId="1" fillId="35" borderId="13" xfId="0" applyNumberFormat="1" applyFont="1" applyFill="1" applyBorder="1" applyAlignment="1">
      <alignment/>
    </xf>
    <xf numFmtId="177" fontId="1" fillId="35" borderId="14" xfId="0" applyNumberFormat="1" applyFont="1" applyFill="1" applyBorder="1" applyAlignment="1">
      <alignment/>
    </xf>
    <xf numFmtId="10" fontId="2" fillId="0" borderId="0" xfId="77" applyNumberFormat="1" applyFont="1" applyAlignment="1">
      <alignment/>
    </xf>
    <xf numFmtId="184" fontId="0" fillId="35" borderId="31" xfId="55" applyNumberFormat="1" applyFont="1" applyFill="1" applyBorder="1" applyAlignment="1">
      <alignment/>
    </xf>
    <xf numFmtId="184" fontId="0" fillId="35" borderId="31" xfId="75" applyNumberFormat="1" applyFont="1" applyFill="1" applyBorder="1">
      <alignment/>
      <protection/>
    </xf>
    <xf numFmtId="180" fontId="25" fillId="35" borderId="59" xfId="77" applyNumberFormat="1" applyFont="1" applyFill="1" applyBorder="1" applyAlignment="1">
      <alignment horizontal="right"/>
    </xf>
    <xf numFmtId="180" fontId="25" fillId="35" borderId="59" xfId="68" applyNumberFormat="1" applyFont="1" applyFill="1" applyBorder="1" applyAlignment="1">
      <alignment horizontal="center"/>
    </xf>
    <xf numFmtId="180" fontId="22" fillId="35" borderId="71" xfId="77" applyNumberFormat="1" applyFont="1" applyFill="1" applyBorder="1" applyAlignment="1">
      <alignment/>
    </xf>
    <xf numFmtId="180" fontId="22" fillId="35" borderId="71" xfId="67" applyNumberFormat="1" applyFont="1" applyFill="1" applyBorder="1" applyAlignment="1">
      <alignment/>
    </xf>
    <xf numFmtId="180" fontId="25" fillId="35" borderId="76" xfId="77" applyNumberFormat="1" applyFont="1" applyFill="1" applyBorder="1" applyAlignment="1">
      <alignment/>
    </xf>
    <xf numFmtId="180" fontId="25" fillId="35" borderId="76" xfId="68" applyNumberFormat="1" applyFont="1" applyFill="1" applyBorder="1" applyAlignment="1">
      <alignment/>
    </xf>
    <xf numFmtId="180" fontId="22" fillId="35" borderId="71" xfId="51" applyNumberFormat="1" applyFont="1" applyFill="1" applyBorder="1" applyAlignment="1">
      <alignment/>
    </xf>
    <xf numFmtId="180" fontId="22" fillId="35" borderId="71" xfId="78" applyNumberFormat="1" applyFont="1" applyFill="1" applyBorder="1" applyAlignment="1">
      <alignment/>
    </xf>
    <xf numFmtId="180" fontId="25" fillId="35" borderId="71" xfId="77" applyNumberFormat="1" applyFont="1" applyFill="1" applyBorder="1" applyAlignment="1">
      <alignment/>
    </xf>
    <xf numFmtId="180" fontId="25" fillId="35" borderId="71" xfId="67" applyNumberFormat="1" applyFont="1" applyFill="1" applyBorder="1" applyAlignment="1">
      <alignment/>
    </xf>
    <xf numFmtId="180" fontId="22" fillId="35" borderId="79" xfId="77" applyNumberFormat="1" applyFont="1" applyFill="1" applyBorder="1" applyAlignment="1">
      <alignment/>
    </xf>
    <xf numFmtId="180" fontId="22" fillId="35" borderId="79" xfId="67" applyNumberFormat="1" applyFont="1" applyFill="1" applyBorder="1" applyAlignment="1">
      <alignment/>
    </xf>
    <xf numFmtId="180" fontId="22" fillId="35" borderId="79" xfId="78" applyNumberFormat="1" applyFont="1" applyFill="1" applyBorder="1" applyAlignment="1">
      <alignment/>
    </xf>
    <xf numFmtId="180" fontId="25" fillId="35" borderId="24" xfId="0" applyNumberFormat="1" applyFont="1" applyFill="1" applyBorder="1" applyAlignment="1">
      <alignment/>
    </xf>
    <xf numFmtId="180" fontId="25" fillId="35" borderId="59" xfId="68" applyNumberFormat="1" applyFont="1" applyFill="1" applyBorder="1" applyAlignment="1">
      <alignment horizontal="right"/>
    </xf>
    <xf numFmtId="180" fontId="23" fillId="35" borderId="71" xfId="67" applyNumberFormat="1" applyFont="1" applyFill="1" applyBorder="1" applyAlignment="1">
      <alignment/>
    </xf>
    <xf numFmtId="184" fontId="27" fillId="35" borderId="31" xfId="69" applyNumberFormat="1" applyFont="1" applyFill="1" applyBorder="1" applyAlignment="1">
      <alignment/>
    </xf>
    <xf numFmtId="184" fontId="26" fillId="35" borderId="31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0" fontId="25" fillId="35" borderId="62" xfId="0" applyFont="1" applyFill="1" applyBorder="1" applyAlignment="1">
      <alignment horizontal="center"/>
    </xf>
    <xf numFmtId="0" fontId="25" fillId="35" borderId="69" xfId="0" applyFont="1" applyFill="1" applyBorder="1" applyAlignment="1">
      <alignment horizontal="center"/>
    </xf>
    <xf numFmtId="0" fontId="25" fillId="35" borderId="64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32" fillId="0" borderId="83" xfId="0" applyNumberFormat="1" applyFont="1" applyFill="1" applyBorder="1" applyAlignment="1">
      <alignment horizontal="centerContinuous"/>
    </xf>
    <xf numFmtId="0" fontId="25" fillId="0" borderId="83" xfId="0" applyFont="1" applyFill="1" applyBorder="1" applyAlignment="1">
      <alignment horizontal="centerContinuous"/>
    </xf>
    <xf numFmtId="0" fontId="32" fillId="0" borderId="83" xfId="0" applyFont="1" applyFill="1" applyBorder="1" applyAlignment="1">
      <alignment horizontal="centerContinuous"/>
    </xf>
    <xf numFmtId="0" fontId="33" fillId="0" borderId="0" xfId="0" applyFont="1" applyFill="1" applyAlignment="1">
      <alignment/>
    </xf>
    <xf numFmtId="0" fontId="25" fillId="0" borderId="84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 wrapText="1"/>
    </xf>
    <xf numFmtId="0" fontId="25" fillId="0" borderId="8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3" fontId="25" fillId="0" borderId="67" xfId="0" applyNumberFormat="1" applyFont="1" applyFill="1" applyBorder="1" applyAlignment="1">
      <alignment/>
    </xf>
    <xf numFmtId="0" fontId="22" fillId="0" borderId="66" xfId="0" applyFont="1" applyFill="1" applyBorder="1" applyAlignment="1">
      <alignment/>
    </xf>
    <xf numFmtId="0" fontId="34" fillId="0" borderId="0" xfId="0" applyFont="1" applyFill="1" applyAlignment="1">
      <alignment/>
    </xf>
    <xf numFmtId="3" fontId="25" fillId="0" borderId="67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3" fontId="22" fillId="0" borderId="67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10" fontId="0" fillId="0" borderId="0" xfId="88" applyNumberFormat="1" applyFont="1" applyFill="1" applyAlignment="1">
      <alignment/>
    </xf>
    <xf numFmtId="3" fontId="0" fillId="0" borderId="0" xfId="0" applyNumberFormat="1" applyFill="1" applyAlignment="1">
      <alignment/>
    </xf>
    <xf numFmtId="184" fontId="3" fillId="0" borderId="0" xfId="54" applyNumberFormat="1" applyFont="1" applyFill="1" applyAlignment="1">
      <alignment horizontal="right"/>
    </xf>
    <xf numFmtId="0" fontId="25" fillId="0" borderId="67" xfId="0" applyFont="1" applyFill="1" applyBorder="1" applyAlignment="1">
      <alignment/>
    </xf>
    <xf numFmtId="0" fontId="22" fillId="0" borderId="67" xfId="0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179" fontId="33" fillId="0" borderId="0" xfId="54" applyFont="1" applyFill="1" applyAlignment="1">
      <alignment/>
    </xf>
    <xf numFmtId="171" fontId="0" fillId="0" borderId="0" xfId="0" applyNumberFormat="1" applyFill="1" applyAlignment="1">
      <alignment/>
    </xf>
    <xf numFmtId="178" fontId="33" fillId="0" borderId="0" xfId="73" applyFont="1" applyFill="1" applyAlignment="1">
      <alignment/>
    </xf>
    <xf numFmtId="181" fontId="33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37" fontId="25" fillId="0" borderId="67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8" fillId="0" borderId="0" xfId="0" applyFont="1" applyFill="1" applyAlignment="1">
      <alignment/>
    </xf>
    <xf numFmtId="37" fontId="22" fillId="0" borderId="67" xfId="0" applyNumberFormat="1" applyFont="1" applyFill="1" applyBorder="1" applyAlignment="1">
      <alignment/>
    </xf>
    <xf numFmtId="0" fontId="22" fillId="0" borderId="67" xfId="0" applyFont="1" applyFill="1" applyBorder="1" applyAlignment="1">
      <alignment horizontal="left" indent="1"/>
    </xf>
    <xf numFmtId="0" fontId="22" fillId="0" borderId="67" xfId="0" applyFont="1" applyFill="1" applyBorder="1" applyAlignment="1">
      <alignment horizontal="left" indent="1"/>
    </xf>
    <xf numFmtId="10" fontId="36" fillId="0" borderId="0" xfId="0" applyNumberFormat="1" applyFont="1" applyFill="1" applyAlignment="1">
      <alignment/>
    </xf>
    <xf numFmtId="0" fontId="22" fillId="0" borderId="87" xfId="0" applyFont="1" applyFill="1" applyBorder="1" applyAlignment="1">
      <alignment horizontal="left" indent="1"/>
    </xf>
    <xf numFmtId="0" fontId="22" fillId="0" borderId="87" xfId="0" applyFont="1" applyFill="1" applyBorder="1" applyAlignment="1">
      <alignment horizontal="left" indent="1"/>
    </xf>
    <xf numFmtId="37" fontId="25" fillId="0" borderId="67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37" fontId="25" fillId="0" borderId="67" xfId="0" applyNumberFormat="1" applyFont="1" applyFill="1" applyBorder="1" applyAlignment="1">
      <alignment horizontal="left" wrapText="1"/>
    </xf>
    <xf numFmtId="37" fontId="22" fillId="0" borderId="67" xfId="0" applyNumberFormat="1" applyFont="1" applyFill="1" applyBorder="1" applyAlignment="1">
      <alignment horizontal="left"/>
    </xf>
    <xf numFmtId="0" fontId="22" fillId="0" borderId="88" xfId="0" applyFont="1" applyFill="1" applyBorder="1" applyAlignment="1">
      <alignment/>
    </xf>
    <xf numFmtId="0" fontId="33" fillId="0" borderId="0" xfId="0" applyFont="1" applyFill="1" applyAlignment="1">
      <alignment/>
    </xf>
    <xf numFmtId="3" fontId="37" fillId="0" borderId="0" xfId="0" applyNumberFormat="1" applyFont="1" applyFill="1" applyBorder="1" applyAlignment="1">
      <alignment/>
    </xf>
    <xf numFmtId="10" fontId="33" fillId="0" borderId="0" xfId="0" applyNumberFormat="1" applyFont="1" applyFill="1" applyAlignment="1">
      <alignment/>
    </xf>
    <xf numFmtId="9" fontId="33" fillId="0" borderId="0" xfId="88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3" fontId="39" fillId="0" borderId="0" xfId="0" applyNumberFormat="1" applyFont="1" applyFill="1" applyAlignment="1">
      <alignment horizontal="center"/>
    </xf>
    <xf numFmtId="3" fontId="33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/>
    </xf>
    <xf numFmtId="179" fontId="38" fillId="0" borderId="0" xfId="54" applyFont="1" applyFill="1" applyAlignment="1">
      <alignment/>
    </xf>
    <xf numFmtId="3" fontId="38" fillId="0" borderId="83" xfId="0" applyNumberFormat="1" applyFont="1" applyFill="1" applyBorder="1" applyAlignment="1">
      <alignment/>
    </xf>
    <xf numFmtId="179" fontId="38" fillId="0" borderId="83" xfId="54" applyFont="1" applyFill="1" applyBorder="1" applyAlignment="1">
      <alignment/>
    </xf>
    <xf numFmtId="184" fontId="38" fillId="0" borderId="0" xfId="54" applyNumberFormat="1" applyFont="1" applyFill="1" applyBorder="1" applyAlignment="1">
      <alignment horizontal="right"/>
    </xf>
    <xf numFmtId="3" fontId="39" fillId="0" borderId="0" xfId="0" applyNumberFormat="1" applyFont="1" applyFill="1" applyAlignment="1">
      <alignment/>
    </xf>
    <xf numFmtId="194" fontId="39" fillId="0" borderId="0" xfId="0" applyNumberFormat="1" applyFont="1" applyFill="1" applyAlignment="1">
      <alignment horizontal="right"/>
    </xf>
    <xf numFmtId="10" fontId="33" fillId="0" borderId="0" xfId="88" applyNumberFormat="1" applyFont="1" applyFill="1" applyAlignment="1">
      <alignment/>
    </xf>
    <xf numFmtId="177" fontId="74" fillId="36" borderId="62" xfId="0" applyNumberFormat="1" applyFont="1" applyFill="1" applyBorder="1" applyAlignment="1">
      <alignment horizontal="center"/>
    </xf>
    <xf numFmtId="177" fontId="74" fillId="36" borderId="64" xfId="0" applyNumberFormat="1" applyFont="1" applyFill="1" applyBorder="1" applyAlignment="1">
      <alignment horizontal="center"/>
    </xf>
    <xf numFmtId="184" fontId="22" fillId="35" borderId="68" xfId="54" applyNumberFormat="1" applyFont="1" applyFill="1" applyBorder="1" applyAlignment="1">
      <alignment/>
    </xf>
    <xf numFmtId="10" fontId="1" fillId="0" borderId="10" xfId="77" applyNumberFormat="1" applyFont="1" applyFill="1" applyBorder="1" applyAlignment="1">
      <alignment/>
    </xf>
    <xf numFmtId="10" fontId="1" fillId="0" borderId="24" xfId="77" applyNumberFormat="1" applyFont="1" applyFill="1" applyBorder="1" applyAlignment="1">
      <alignment/>
    </xf>
    <xf numFmtId="177" fontId="1" fillId="33" borderId="89" xfId="51" applyNumberFormat="1" applyFont="1" applyFill="1" applyBorder="1" applyAlignment="1">
      <alignment/>
    </xf>
    <xf numFmtId="177" fontId="1" fillId="33" borderId="89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177" fontId="12" fillId="33" borderId="89" xfId="0" applyNumberFormat="1" applyFont="1" applyFill="1" applyBorder="1" applyAlignment="1">
      <alignment/>
    </xf>
    <xf numFmtId="177" fontId="1" fillId="33" borderId="44" xfId="51" applyNumberFormat="1" applyFont="1" applyFill="1" applyBorder="1" applyAlignment="1">
      <alignment/>
    </xf>
    <xf numFmtId="177" fontId="1" fillId="33" borderId="44" xfId="0" applyNumberFormat="1" applyFont="1" applyFill="1" applyBorder="1" applyAlignment="1">
      <alignment/>
    </xf>
    <xf numFmtId="177" fontId="12" fillId="33" borderId="44" xfId="0" applyNumberFormat="1" applyFont="1" applyFill="1" applyBorder="1" applyAlignment="1">
      <alignment/>
    </xf>
    <xf numFmtId="177" fontId="1" fillId="38" borderId="62" xfId="0" applyNumberFormat="1" applyFont="1" applyFill="1" applyBorder="1" applyAlignment="1">
      <alignment horizontal="center"/>
    </xf>
    <xf numFmtId="177" fontId="12" fillId="38" borderId="62" xfId="0" applyNumberFormat="1" applyFont="1" applyFill="1" applyBorder="1" applyAlignment="1">
      <alignment horizontal="center"/>
    </xf>
    <xf numFmtId="177" fontId="1" fillId="38" borderId="63" xfId="0" applyNumberFormat="1" applyFont="1" applyFill="1" applyBorder="1" applyAlignment="1">
      <alignment horizontal="center"/>
    </xf>
    <xf numFmtId="177" fontId="2" fillId="38" borderId="64" xfId="0" applyNumberFormat="1" applyFont="1" applyFill="1" applyBorder="1" applyAlignment="1">
      <alignment horizontal="center"/>
    </xf>
    <xf numFmtId="177" fontId="1" fillId="38" borderId="64" xfId="0" applyNumberFormat="1" applyFont="1" applyFill="1" applyBorder="1" applyAlignment="1">
      <alignment horizontal="center"/>
    </xf>
    <xf numFmtId="177" fontId="1" fillId="38" borderId="65" xfId="0" applyNumberFormat="1" applyFont="1" applyFill="1" applyBorder="1" applyAlignment="1">
      <alignment horizontal="center"/>
    </xf>
    <xf numFmtId="177" fontId="12" fillId="38" borderId="64" xfId="0" applyNumberFormat="1" applyFont="1" applyFill="1" applyBorder="1" applyAlignment="1">
      <alignment horizontal="center"/>
    </xf>
    <xf numFmtId="177" fontId="1" fillId="38" borderId="24" xfId="0" applyNumberFormat="1" applyFont="1" applyFill="1" applyBorder="1" applyAlignment="1">
      <alignment/>
    </xf>
    <xf numFmtId="9" fontId="1" fillId="38" borderId="24" xfId="77" applyNumberFormat="1" applyFont="1" applyFill="1" applyBorder="1" applyAlignment="1">
      <alignment/>
    </xf>
    <xf numFmtId="3" fontId="25" fillId="35" borderId="67" xfId="0" applyNumberFormat="1" applyFont="1" applyFill="1" applyBorder="1" applyAlignment="1">
      <alignment/>
    </xf>
    <xf numFmtId="0" fontId="22" fillId="35" borderId="66" xfId="0" applyFont="1" applyFill="1" applyBorder="1" applyAlignment="1">
      <alignment/>
    </xf>
    <xf numFmtId="0" fontId="22" fillId="35" borderId="90" xfId="0" applyFont="1" applyFill="1" applyBorder="1" applyAlignment="1">
      <alignment/>
    </xf>
    <xf numFmtId="3" fontId="25" fillId="35" borderId="67" xfId="0" applyNumberFormat="1" applyFont="1" applyFill="1" applyBorder="1" applyAlignment="1">
      <alignment/>
    </xf>
    <xf numFmtId="3" fontId="25" fillId="35" borderId="66" xfId="0" applyNumberFormat="1" applyFont="1" applyFill="1" applyBorder="1" applyAlignment="1">
      <alignment/>
    </xf>
    <xf numFmtId="10" fontId="25" fillId="35" borderId="90" xfId="88" applyNumberFormat="1" applyFont="1" applyFill="1" applyBorder="1" applyAlignment="1">
      <alignment/>
    </xf>
    <xf numFmtId="3" fontId="22" fillId="35" borderId="67" xfId="0" applyNumberFormat="1" applyFont="1" applyFill="1" applyBorder="1" applyAlignment="1">
      <alignment/>
    </xf>
    <xf numFmtId="3" fontId="22" fillId="35" borderId="66" xfId="0" applyNumberFormat="1" applyFont="1" applyFill="1" applyBorder="1" applyAlignment="1">
      <alignment/>
    </xf>
    <xf numFmtId="10" fontId="22" fillId="35" borderId="90" xfId="88" applyNumberFormat="1" applyFont="1" applyFill="1" applyBorder="1" applyAlignment="1">
      <alignment/>
    </xf>
    <xf numFmtId="3" fontId="23" fillId="35" borderId="66" xfId="0" applyNumberFormat="1" applyFont="1" applyFill="1" applyBorder="1" applyAlignment="1">
      <alignment/>
    </xf>
    <xf numFmtId="0" fontId="25" fillId="35" borderId="67" xfId="0" applyFont="1" applyFill="1" applyBorder="1" applyAlignment="1">
      <alignment/>
    </xf>
    <xf numFmtId="3" fontId="25" fillId="35" borderId="66" xfId="0" applyNumberFormat="1" applyFont="1" applyFill="1" applyBorder="1" applyAlignment="1">
      <alignment/>
    </xf>
    <xf numFmtId="0" fontId="22" fillId="35" borderId="67" xfId="0" applyFont="1" applyFill="1" applyBorder="1" applyAlignment="1">
      <alignment/>
    </xf>
    <xf numFmtId="184" fontId="22" fillId="35" borderId="66" xfId="54" applyNumberFormat="1" applyFont="1" applyFill="1" applyBorder="1" applyAlignment="1">
      <alignment/>
    </xf>
    <xf numFmtId="0" fontId="25" fillId="35" borderId="66" xfId="0" applyFont="1" applyFill="1" applyBorder="1" applyAlignment="1">
      <alignment/>
    </xf>
    <xf numFmtId="184" fontId="25" fillId="35" borderId="66" xfId="54" applyNumberFormat="1" applyFont="1" applyFill="1" applyBorder="1" applyAlignment="1">
      <alignment/>
    </xf>
    <xf numFmtId="37" fontId="25" fillId="35" borderId="67" xfId="0" applyNumberFormat="1" applyFont="1" applyFill="1" applyBorder="1" applyAlignment="1">
      <alignment/>
    </xf>
    <xf numFmtId="37" fontId="22" fillId="35" borderId="67" xfId="0" applyNumberFormat="1" applyFont="1" applyFill="1" applyBorder="1" applyAlignment="1">
      <alignment/>
    </xf>
    <xf numFmtId="184" fontId="25" fillId="35" borderId="66" xfId="0" applyNumberFormat="1" applyFont="1" applyFill="1" applyBorder="1" applyAlignment="1">
      <alignment/>
    </xf>
    <xf numFmtId="179" fontId="25" fillId="35" borderId="66" xfId="0" applyNumberFormat="1" applyFont="1" applyFill="1" applyBorder="1" applyAlignment="1">
      <alignment/>
    </xf>
    <xf numFmtId="184" fontId="22" fillId="35" borderId="66" xfId="54" applyNumberFormat="1" applyFont="1" applyFill="1" applyBorder="1" applyAlignment="1">
      <alignment/>
    </xf>
    <xf numFmtId="179" fontId="22" fillId="35" borderId="66" xfId="0" applyNumberFormat="1" applyFont="1" applyFill="1" applyBorder="1" applyAlignment="1">
      <alignment/>
    </xf>
    <xf numFmtId="43" fontId="22" fillId="35" borderId="66" xfId="0" applyNumberFormat="1" applyFont="1" applyFill="1" applyBorder="1" applyAlignment="1">
      <alignment/>
    </xf>
    <xf numFmtId="0" fontId="22" fillId="35" borderId="67" xfId="0" applyFont="1" applyFill="1" applyBorder="1" applyAlignment="1">
      <alignment horizontal="left" indent="1"/>
    </xf>
    <xf numFmtId="184" fontId="22" fillId="35" borderId="66" xfId="0" applyNumberFormat="1" applyFont="1" applyFill="1" applyBorder="1" applyAlignment="1">
      <alignment/>
    </xf>
    <xf numFmtId="0" fontId="25" fillId="35" borderId="66" xfId="0" applyFont="1" applyFill="1" applyBorder="1" applyAlignment="1">
      <alignment/>
    </xf>
    <xf numFmtId="0" fontId="22" fillId="35" borderId="67" xfId="0" applyFont="1" applyFill="1" applyBorder="1" applyAlignment="1">
      <alignment horizontal="left" indent="1"/>
    </xf>
    <xf numFmtId="0" fontId="22" fillId="35" borderId="66" xfId="0" applyFont="1" applyFill="1" applyBorder="1" applyAlignment="1">
      <alignment/>
    </xf>
    <xf numFmtId="0" fontId="22" fillId="35" borderId="87" xfId="0" applyFont="1" applyFill="1" applyBorder="1" applyAlignment="1">
      <alignment horizontal="left" indent="1"/>
    </xf>
    <xf numFmtId="0" fontId="22" fillId="35" borderId="87" xfId="0" applyFont="1" applyFill="1" applyBorder="1" applyAlignment="1">
      <alignment horizontal="left" indent="1"/>
    </xf>
    <xf numFmtId="37" fontId="22" fillId="35" borderId="67" xfId="0" applyNumberFormat="1" applyFont="1" applyFill="1" applyBorder="1" applyAlignment="1">
      <alignment horizontal="left"/>
    </xf>
    <xf numFmtId="37" fontId="25" fillId="35" borderId="67" xfId="0" applyNumberFormat="1" applyFont="1" applyFill="1" applyBorder="1" applyAlignment="1">
      <alignment horizontal="left"/>
    </xf>
    <xf numFmtId="37" fontId="25" fillId="35" borderId="67" xfId="0" applyNumberFormat="1" applyFont="1" applyFill="1" applyBorder="1" applyAlignment="1">
      <alignment horizontal="left" wrapText="1"/>
    </xf>
    <xf numFmtId="37" fontId="22" fillId="35" borderId="67" xfId="0" applyNumberFormat="1" applyFont="1" applyFill="1" applyBorder="1" applyAlignment="1">
      <alignment horizontal="left"/>
    </xf>
    <xf numFmtId="0" fontId="22" fillId="35" borderId="67" xfId="0" applyFont="1" applyFill="1" applyBorder="1" applyAlignment="1">
      <alignment/>
    </xf>
    <xf numFmtId="3" fontId="22" fillId="35" borderId="0" xfId="0" applyNumberFormat="1" applyFont="1" applyFill="1" applyBorder="1" applyAlignment="1">
      <alignment/>
    </xf>
    <xf numFmtId="184" fontId="25" fillId="35" borderId="66" xfId="54" applyNumberFormat="1" applyFont="1" applyFill="1" applyBorder="1" applyAlignment="1">
      <alignment/>
    </xf>
    <xf numFmtId="0" fontId="22" fillId="35" borderId="88" xfId="0" applyFont="1" applyFill="1" applyBorder="1" applyAlignment="1">
      <alignment/>
    </xf>
    <xf numFmtId="0" fontId="22" fillId="35" borderId="91" xfId="0" applyFont="1" applyFill="1" applyBorder="1" applyAlignment="1">
      <alignment/>
    </xf>
    <xf numFmtId="3" fontId="25" fillId="35" borderId="91" xfId="0" applyNumberFormat="1" applyFont="1" applyFill="1" applyBorder="1" applyAlignment="1">
      <alignment/>
    </xf>
    <xf numFmtId="0" fontId="22" fillId="35" borderId="92" xfId="0" applyFont="1" applyFill="1" applyBorder="1" applyAlignment="1">
      <alignment/>
    </xf>
    <xf numFmtId="0" fontId="25" fillId="35" borderId="85" xfId="0" applyFont="1" applyFill="1" applyBorder="1" applyAlignment="1">
      <alignment horizontal="center" vertical="center" wrapText="1"/>
    </xf>
    <xf numFmtId="0" fontId="25" fillId="35" borderId="93" xfId="0" applyFont="1" applyFill="1" applyBorder="1" applyAlignment="1">
      <alignment horizontal="center" vertical="center" wrapText="1"/>
    </xf>
    <xf numFmtId="0" fontId="25" fillId="35" borderId="86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/>
    </xf>
    <xf numFmtId="3" fontId="22" fillId="35" borderId="12" xfId="0" applyNumberFormat="1" applyFont="1" applyFill="1" applyBorder="1" applyAlignment="1">
      <alignment/>
    </xf>
    <xf numFmtId="184" fontId="22" fillId="35" borderId="12" xfId="54" applyNumberFormat="1" applyFont="1" applyFill="1" applyBorder="1" applyAlignment="1">
      <alignment/>
    </xf>
    <xf numFmtId="3" fontId="22" fillId="35" borderId="12" xfId="0" applyNumberFormat="1" applyFont="1" applyFill="1" applyBorder="1" applyAlignment="1">
      <alignment/>
    </xf>
    <xf numFmtId="177" fontId="2" fillId="35" borderId="66" xfId="0" applyNumberFormat="1" applyFont="1" applyFill="1" applyBorder="1" applyAlignment="1">
      <alignment/>
    </xf>
    <xf numFmtId="184" fontId="25" fillId="35" borderId="12" xfId="54" applyNumberFormat="1" applyFont="1" applyFill="1" applyBorder="1" applyAlignment="1">
      <alignment/>
    </xf>
    <xf numFmtId="3" fontId="22" fillId="35" borderId="94" xfId="0" applyNumberFormat="1" applyFont="1" applyFill="1" applyBorder="1" applyAlignment="1">
      <alignment/>
    </xf>
    <xf numFmtId="3" fontId="25" fillId="35" borderId="12" xfId="0" applyNumberFormat="1" applyFont="1" applyFill="1" applyBorder="1" applyAlignment="1">
      <alignment/>
    </xf>
    <xf numFmtId="3" fontId="25" fillId="35" borderId="12" xfId="0" applyNumberFormat="1" applyFont="1" applyFill="1" applyBorder="1" applyAlignment="1">
      <alignment/>
    </xf>
    <xf numFmtId="0" fontId="22" fillId="35" borderId="95" xfId="0" applyFont="1" applyFill="1" applyBorder="1" applyAlignment="1">
      <alignment/>
    </xf>
    <xf numFmtId="177" fontId="2" fillId="35" borderId="20" xfId="75" applyNumberFormat="1" applyFont="1" applyFill="1" applyBorder="1">
      <alignment/>
      <protection/>
    </xf>
    <xf numFmtId="177" fontId="75" fillId="35" borderId="10" xfId="75" applyNumberFormat="1" applyFont="1" applyFill="1" applyBorder="1">
      <alignment/>
      <protection/>
    </xf>
    <xf numFmtId="177" fontId="6" fillId="35" borderId="15" xfId="75" applyNumberFormat="1" applyFont="1" applyFill="1" applyBorder="1">
      <alignment/>
      <protection/>
    </xf>
    <xf numFmtId="177" fontId="2" fillId="35" borderId="11" xfId="75" applyNumberFormat="1" applyFont="1" applyFill="1" applyBorder="1">
      <alignment/>
      <protection/>
    </xf>
    <xf numFmtId="177" fontId="76" fillId="35" borderId="20" xfId="75" applyNumberFormat="1" applyFont="1" applyFill="1" applyBorder="1">
      <alignment/>
      <protection/>
    </xf>
    <xf numFmtId="177" fontId="75" fillId="35" borderId="20" xfId="75" applyNumberFormat="1" applyFont="1" applyFill="1" applyBorder="1">
      <alignment/>
      <protection/>
    </xf>
    <xf numFmtId="177" fontId="2" fillId="35" borderId="49" xfId="0" applyNumberFormat="1" applyFont="1" applyFill="1" applyBorder="1" applyAlignment="1">
      <alignment horizontal="left" indent="1"/>
    </xf>
    <xf numFmtId="0" fontId="2" fillId="35" borderId="49" xfId="0" applyNumberFormat="1" applyFont="1" applyFill="1" applyBorder="1" applyAlignment="1">
      <alignment horizontal="left" indent="2"/>
    </xf>
    <xf numFmtId="177" fontId="1" fillId="35" borderId="11" xfId="0" applyNumberFormat="1" applyFont="1" applyFill="1" applyBorder="1" applyAlignment="1">
      <alignment/>
    </xf>
    <xf numFmtId="177" fontId="1" fillId="35" borderId="49" xfId="0" applyNumberFormat="1" applyFont="1" applyFill="1" applyBorder="1" applyAlignment="1">
      <alignment/>
    </xf>
    <xf numFmtId="177" fontId="1" fillId="35" borderId="13" xfId="51" applyNumberFormat="1" applyFont="1" applyFill="1" applyBorder="1" applyAlignment="1">
      <alignment/>
    </xf>
    <xf numFmtId="177" fontId="12" fillId="35" borderId="10" xfId="0" applyNumberFormat="1" applyFont="1" applyFill="1" applyBorder="1" applyAlignment="1">
      <alignment/>
    </xf>
    <xf numFmtId="177" fontId="6" fillId="35" borderId="10" xfId="0" applyNumberFormat="1" applyFont="1" applyFill="1" applyBorder="1" applyAlignment="1">
      <alignment/>
    </xf>
    <xf numFmtId="177" fontId="6" fillId="35" borderId="14" xfId="0" applyNumberFormat="1" applyFont="1" applyFill="1" applyBorder="1" applyAlignment="1">
      <alignment/>
    </xf>
    <xf numFmtId="43" fontId="2" fillId="0" borderId="0" xfId="51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80" fontId="22" fillId="0" borderId="71" xfId="77" applyNumberFormat="1" applyFont="1" applyFill="1" applyBorder="1" applyAlignment="1">
      <alignment horizontal="center"/>
    </xf>
    <xf numFmtId="0" fontId="25" fillId="0" borderId="93" xfId="0" applyFont="1" applyFill="1" applyBorder="1" applyAlignment="1">
      <alignment horizontal="center" vertical="center" wrapText="1"/>
    </xf>
    <xf numFmtId="0" fontId="22" fillId="35" borderId="68" xfId="0" applyFont="1" applyFill="1" applyBorder="1" applyAlignment="1">
      <alignment/>
    </xf>
    <xf numFmtId="3" fontId="25" fillId="35" borderId="68" xfId="0" applyNumberFormat="1" applyFont="1" applyFill="1" applyBorder="1" applyAlignment="1">
      <alignment/>
    </xf>
    <xf numFmtId="3" fontId="25" fillId="35" borderId="68" xfId="0" applyNumberFormat="1" applyFont="1" applyFill="1" applyBorder="1" applyAlignment="1">
      <alignment/>
    </xf>
    <xf numFmtId="184" fontId="22" fillId="35" borderId="68" xfId="54" applyNumberFormat="1" applyFont="1" applyFill="1" applyBorder="1" applyAlignment="1">
      <alignment/>
    </xf>
    <xf numFmtId="184" fontId="25" fillId="35" borderId="68" xfId="54" applyNumberFormat="1" applyFont="1" applyFill="1" applyBorder="1" applyAlignment="1">
      <alignment/>
    </xf>
    <xf numFmtId="3" fontId="22" fillId="35" borderId="68" xfId="0" applyNumberFormat="1" applyFont="1" applyFill="1" applyBorder="1" applyAlignment="1">
      <alignment/>
    </xf>
    <xf numFmtId="0" fontId="22" fillId="35" borderId="96" xfId="0" applyFont="1" applyFill="1" applyBorder="1" applyAlignment="1">
      <alignment/>
    </xf>
    <xf numFmtId="180" fontId="25" fillId="0" borderId="71" xfId="77" applyNumberFormat="1" applyFont="1" applyFill="1" applyBorder="1" applyAlignment="1">
      <alignment horizontal="center"/>
    </xf>
    <xf numFmtId="9" fontId="25" fillId="0" borderId="71" xfId="77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184" fontId="8" fillId="0" borderId="3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4" fontId="0" fillId="0" borderId="31" xfId="60" applyNumberFormat="1" applyFont="1" applyFill="1" applyBorder="1" applyAlignment="1">
      <alignment/>
    </xf>
    <xf numFmtId="184" fontId="8" fillId="0" borderId="31" xfId="60" applyNumberFormat="1" applyFont="1" applyFill="1" applyBorder="1" applyAlignment="1">
      <alignment/>
    </xf>
    <xf numFmtId="195" fontId="0" fillId="0" borderId="31" xfId="6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25" fillId="0" borderId="66" xfId="0" applyNumberFormat="1" applyFont="1" applyFill="1" applyBorder="1" applyAlignment="1">
      <alignment/>
    </xf>
    <xf numFmtId="3" fontId="25" fillId="0" borderId="66" xfId="0" applyNumberFormat="1" applyFont="1" applyFill="1" applyBorder="1" applyAlignment="1">
      <alignment/>
    </xf>
    <xf numFmtId="0" fontId="25" fillId="0" borderId="62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70" xfId="0" applyFont="1" applyFill="1" applyBorder="1" applyAlignment="1">
      <alignment horizontal="center"/>
    </xf>
    <xf numFmtId="0" fontId="25" fillId="0" borderId="97" xfId="0" applyFont="1" applyFill="1" applyBorder="1" applyAlignment="1">
      <alignment horizontal="center"/>
    </xf>
    <xf numFmtId="0" fontId="25" fillId="0" borderId="98" xfId="0" applyFont="1" applyFill="1" applyBorder="1" applyAlignment="1">
      <alignment horizontal="center"/>
    </xf>
    <xf numFmtId="0" fontId="8" fillId="39" borderId="31" xfId="75" applyFont="1" applyFill="1" applyBorder="1" applyAlignment="1">
      <alignment horizontal="center" vertical="center" wrapText="1"/>
      <protection/>
    </xf>
    <xf numFmtId="0" fontId="8" fillId="33" borderId="31" xfId="75" applyFont="1" applyFill="1" applyBorder="1" applyAlignment="1">
      <alignment horizontal="center" vertical="center" wrapText="1"/>
      <protection/>
    </xf>
    <xf numFmtId="0" fontId="8" fillId="39" borderId="29" xfId="75" applyFont="1" applyFill="1" applyBorder="1" applyAlignment="1">
      <alignment horizontal="center" vertical="center" wrapText="1"/>
      <protection/>
    </xf>
    <xf numFmtId="0" fontId="8" fillId="39" borderId="82" xfId="75" applyFont="1" applyFill="1" applyBorder="1" applyAlignment="1">
      <alignment horizontal="center" vertical="center" wrapText="1"/>
      <protection/>
    </xf>
    <xf numFmtId="0" fontId="8" fillId="33" borderId="29" xfId="75" applyFont="1" applyFill="1" applyBorder="1" applyAlignment="1">
      <alignment horizontal="center" vertical="center" wrapText="1"/>
      <protection/>
    </xf>
    <xf numFmtId="0" fontId="8" fillId="33" borderId="82" xfId="75" applyFont="1" applyFill="1" applyBorder="1" applyAlignment="1">
      <alignment horizontal="center" vertical="center" wrapText="1"/>
      <protection/>
    </xf>
    <xf numFmtId="0" fontId="25" fillId="32" borderId="0" xfId="75" applyFont="1" applyFill="1" applyBorder="1" applyAlignment="1">
      <alignment horizontal="right"/>
      <protection/>
    </xf>
    <xf numFmtId="0" fontId="25" fillId="0" borderId="0" xfId="75" applyFont="1" applyFill="1" applyAlignment="1">
      <alignment horizontal="center"/>
      <protection/>
    </xf>
    <xf numFmtId="3" fontId="8" fillId="37" borderId="89" xfId="55" applyNumberFormat="1" applyFont="1" applyFill="1" applyBorder="1" applyAlignment="1">
      <alignment horizontal="center" vertical="center"/>
    </xf>
    <xf numFmtId="3" fontId="8" fillId="37" borderId="80" xfId="55" applyNumberFormat="1" applyFont="1" applyFill="1" applyBorder="1" applyAlignment="1">
      <alignment horizontal="center" vertical="center"/>
    </xf>
    <xf numFmtId="0" fontId="25" fillId="33" borderId="29" xfId="75" applyFont="1" applyFill="1" applyBorder="1" applyAlignment="1">
      <alignment horizontal="center"/>
      <protection/>
    </xf>
    <xf numFmtId="0" fontId="25" fillId="33" borderId="82" xfId="75" applyFont="1" applyFill="1" applyBorder="1" applyAlignment="1">
      <alignment horizontal="center"/>
      <protection/>
    </xf>
    <xf numFmtId="0" fontId="25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8" fillId="0" borderId="99" xfId="0" applyFont="1" applyFill="1" applyBorder="1" applyAlignment="1">
      <alignment horizontal="justify" vertical="justify"/>
    </xf>
    <xf numFmtId="0" fontId="8" fillId="0" borderId="100" xfId="0" applyFont="1" applyFill="1" applyBorder="1" applyAlignment="1">
      <alignment horizontal="justify" vertical="justify"/>
    </xf>
    <xf numFmtId="0" fontId="0" fillId="0" borderId="99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184" fontId="8" fillId="0" borderId="99" xfId="0" applyNumberFormat="1" applyFont="1" applyFill="1" applyBorder="1" applyAlignment="1">
      <alignment horizontal="center"/>
    </xf>
    <xf numFmtId="184" fontId="8" fillId="0" borderId="100" xfId="0" applyNumberFormat="1" applyFont="1" applyFill="1" applyBorder="1" applyAlignment="1">
      <alignment horizontal="center"/>
    </xf>
    <xf numFmtId="0" fontId="8" fillId="0" borderId="100" xfId="0" applyFont="1" applyFill="1" applyBorder="1" applyAlignment="1">
      <alignment horizontal="center"/>
    </xf>
    <xf numFmtId="177" fontId="1" fillId="38" borderId="63" xfId="0" applyNumberFormat="1" applyFont="1" applyFill="1" applyBorder="1" applyAlignment="1">
      <alignment horizontal="center"/>
    </xf>
    <xf numFmtId="177" fontId="1" fillId="38" borderId="62" xfId="0" applyNumberFormat="1" applyFont="1" applyFill="1" applyBorder="1" applyAlignment="1">
      <alignment horizontal="center" wrapText="1"/>
    </xf>
    <xf numFmtId="177" fontId="1" fillId="38" borderId="64" xfId="0" applyNumberFormat="1" applyFont="1" applyFill="1" applyBorder="1" applyAlignment="1">
      <alignment horizontal="center" wrapText="1"/>
    </xf>
    <xf numFmtId="177" fontId="74" fillId="36" borderId="89" xfId="0" applyNumberFormat="1" applyFont="1" applyFill="1" applyBorder="1" applyAlignment="1">
      <alignment horizontal="center"/>
    </xf>
    <xf numFmtId="177" fontId="74" fillId="36" borderId="101" xfId="0" applyNumberFormat="1" applyFont="1" applyFill="1" applyBorder="1" applyAlignment="1">
      <alignment horizontal="center"/>
    </xf>
    <xf numFmtId="177" fontId="74" fillId="36" borderId="80" xfId="0" applyNumberFormat="1" applyFont="1" applyFill="1" applyBorder="1" applyAlignment="1">
      <alignment horizontal="center"/>
    </xf>
    <xf numFmtId="177" fontId="74" fillId="36" borderId="24" xfId="0" applyNumberFormat="1" applyFont="1" applyFill="1" applyBorder="1" applyAlignment="1">
      <alignment horizontal="center"/>
    </xf>
    <xf numFmtId="177" fontId="74" fillId="36" borderId="62" xfId="0" applyNumberFormat="1" applyFont="1" applyFill="1" applyBorder="1" applyAlignment="1">
      <alignment horizontal="center"/>
    </xf>
    <xf numFmtId="177" fontId="74" fillId="36" borderId="64" xfId="0" applyNumberFormat="1" applyFont="1" applyFill="1" applyBorder="1" applyAlignment="1">
      <alignment horizontal="center"/>
    </xf>
    <xf numFmtId="177" fontId="74" fillId="36" borderId="62" xfId="0" applyNumberFormat="1" applyFont="1" applyFill="1" applyBorder="1" applyAlignment="1">
      <alignment horizontal="center" wrapText="1"/>
    </xf>
    <xf numFmtId="177" fontId="74" fillId="36" borderId="24" xfId="0" applyNumberFormat="1" applyFont="1" applyFill="1" applyBorder="1" applyAlignment="1">
      <alignment horizontal="center" wrapText="1"/>
    </xf>
    <xf numFmtId="177" fontId="74" fillId="36" borderId="89" xfId="0" applyNumberFormat="1" applyFont="1" applyFill="1" applyBorder="1" applyAlignment="1">
      <alignment horizontal="center" wrapText="1"/>
    </xf>
    <xf numFmtId="177" fontId="74" fillId="36" borderId="101" xfId="0" applyNumberFormat="1" applyFont="1" applyFill="1" applyBorder="1" applyAlignment="1">
      <alignment horizontal="center" wrapText="1"/>
    </xf>
    <xf numFmtId="177" fontId="74" fillId="36" borderId="80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Alignment="1">
      <alignment horizontal="left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40% - Énfšsis3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Millares 10" xfId="53"/>
    <cellStyle name="Millares 11" xfId="54"/>
    <cellStyle name="Millares 2" xfId="55"/>
    <cellStyle name="Millares 2 2" xfId="56"/>
    <cellStyle name="Millares 3" xfId="57"/>
    <cellStyle name="Millares 4" xfId="58"/>
    <cellStyle name="Millares 4 2" xfId="59"/>
    <cellStyle name="Millares 5" xfId="60"/>
    <cellStyle name="Millares 6" xfId="61"/>
    <cellStyle name="Millares 6 2" xfId="62"/>
    <cellStyle name="Millares 7" xfId="63"/>
    <cellStyle name="Millares 7 2" xfId="64"/>
    <cellStyle name="Millares 8" xfId="65"/>
    <cellStyle name="Millares 9" xfId="66"/>
    <cellStyle name="Millares_Formato Presupuesto Minagricultura" xfId="67"/>
    <cellStyle name="Millares_INGRESOS 2005" xfId="68"/>
    <cellStyle name="Millares_PRESUPUESTO INGRESOS 2011" xfId="69"/>
    <cellStyle name="Currency" xfId="70"/>
    <cellStyle name="Currency [0]" xfId="71"/>
    <cellStyle name="Moneda 2" xfId="72"/>
    <cellStyle name="Moneda 3" xfId="73"/>
    <cellStyle name="Neutral" xfId="74"/>
    <cellStyle name="Normal 2" xfId="75"/>
    <cellStyle name="Notas" xfId="76"/>
    <cellStyle name="Percent" xfId="77"/>
    <cellStyle name="Porcentaje 2" xfId="78"/>
    <cellStyle name="Porcentaje 3" xfId="79"/>
    <cellStyle name="Porcentaje 4" xfId="80"/>
    <cellStyle name="Porcentual 2" xfId="81"/>
    <cellStyle name="Porcentual 2 2" xfId="82"/>
    <cellStyle name="Porcentual 3" xfId="83"/>
    <cellStyle name="Porcentual 3 2" xfId="84"/>
    <cellStyle name="Porcentual 4" xfId="85"/>
    <cellStyle name="Porcentual 5" xfId="86"/>
    <cellStyle name="Porcentual 6" xfId="87"/>
    <cellStyle name="Porcentual 7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09\MANEJO%20PPTO%202009\ACUERDOS%202009\ANEXO%20ACUERDO%2021-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DAD\ANEXO%20CIERRE%20DE%20INGRESOS%20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10\MANEJO%20PTO%202010\Presupuesto%202010%20versi&#243;n%203\desagregado%20ppc%20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09\MANEJO%20PPTO%202009\ACUERDOS%202009\ANEXO%20ACUERDO%2020-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ennyBenavides.PORCICOLSERVER\Mis%20documentos\EJECUTADO%20A&#209;O%202011%20ECONOMIC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10\A&#241;o%202010\MANEJO%20PTO%202010\ANEXO%20CIERRE%20DE%20INGRESOS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esagregado%20Econ&#243;mic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esagregado%20Mercade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esagregado%20T&#233;cnic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esagregado%20PP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ACUERDOS%202010\ANEXO%20ACUERDO%2015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11\MANEJO%20PRESUPUESTO%202011\GASTOS%20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tinezp\Configuraci&#243;n%20local\Archivos%20temporales%20de%20Internet\Content.Outlook\QF5D3KDQ\ACUERDOS%202010\ANEXO%20ACUERDO%206-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supuesto%202010%20oct21\desagregado%20ppc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10\ACUERDOS%202010\ANEXO%20ACUERDO%209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11\MANEJO%20PRESUPUESTO%202011\GASTOS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10\CIERRES%202010\ACUERDOS%202010\ANEXO%20ACUERDO%206-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triciaMart&#237;nez\Configuraci&#243;n%20local\Archivos%20temporales%20de%20Internet\Content.Outlook\RD6RDTKZ\A&#241;o%202008\Presupuesto%202009\nomina%202009%20pp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efeControlRegional\Presupuesto%202008\Presupuesto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%202010%20oct21\desagregado%20ppc%2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10\A&#241;o%202010\MANEJO%20PTO%202010\PRESUPUESTO%20INGRESOS%20ESTIMAD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 TRIM."/>
      <sheetName val="Inversión total en programas"/>
      <sheetName val="MODELO CONTRATISTAS"/>
      <sheetName val="Servicios personal 2005"/>
      <sheetName val="Nómina 2004"/>
    </sheetNames>
    <sheetDataSet>
      <sheetData sheetId="4">
        <row r="112">
          <cell r="C112">
            <v>0</v>
          </cell>
        </row>
        <row r="113">
          <cell r="C113">
            <v>0</v>
          </cell>
        </row>
        <row r="129">
          <cell r="C129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  <sheetName val="otro"/>
      <sheetName val="Hoja2"/>
    </sheetNames>
    <sheetDataSet>
      <sheetData sheetId="0">
        <row r="18">
          <cell r="D18">
            <v>82500000</v>
          </cell>
        </row>
        <row r="19">
          <cell r="D19">
            <v>27500000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CO"/>
      <sheetName val="ECO ENE-MAR"/>
      <sheetName val="ECO ABR-JUN"/>
      <sheetName val="ECO JUL-SEP"/>
    </sheetNames>
    <sheetDataSet>
      <sheetData sheetId="0">
        <row r="11">
          <cell r="B11">
            <v>591477600</v>
          </cell>
          <cell r="AA11">
            <v>120703028</v>
          </cell>
          <cell r="AB11">
            <v>137746505</v>
          </cell>
        </row>
        <row r="12">
          <cell r="B12">
            <v>43644726</v>
          </cell>
          <cell r="AA12">
            <v>8409384</v>
          </cell>
          <cell r="AB12">
            <v>10547286</v>
          </cell>
        </row>
        <row r="13">
          <cell r="B13">
            <v>5237366.5</v>
          </cell>
          <cell r="AA13">
            <v>1009126</v>
          </cell>
          <cell r="AB13">
            <v>100106</v>
          </cell>
        </row>
        <row r="14">
          <cell r="B14">
            <v>43644726</v>
          </cell>
          <cell r="AA14">
            <v>8409384</v>
          </cell>
          <cell r="AB14">
            <v>10547286</v>
          </cell>
        </row>
        <row r="15">
          <cell r="B15">
            <v>25303763</v>
          </cell>
          <cell r="AA15">
            <v>5029294</v>
          </cell>
          <cell r="AB15">
            <v>4449039</v>
          </cell>
        </row>
        <row r="17">
          <cell r="B17">
            <v>120044534.09204145</v>
          </cell>
          <cell r="AA17">
            <v>26286423</v>
          </cell>
          <cell r="AB17">
            <v>27985424</v>
          </cell>
        </row>
        <row r="18">
          <cell r="B18">
            <v>22602626.067778535</v>
          </cell>
          <cell r="AA18">
            <v>4963800</v>
          </cell>
          <cell r="AB18">
            <v>5164900</v>
          </cell>
        </row>
        <row r="19">
          <cell r="B19">
            <v>28253282.584723167</v>
          </cell>
          <cell r="AA19">
            <v>6206100</v>
          </cell>
          <cell r="AB19">
            <v>6457600</v>
          </cell>
        </row>
        <row r="20">
          <cell r="B20">
            <v>600000</v>
          </cell>
          <cell r="AA20">
            <v>0</v>
          </cell>
          <cell r="AB20">
            <v>300000</v>
          </cell>
        </row>
        <row r="21">
          <cell r="B21">
            <v>48166976</v>
          </cell>
          <cell r="AA21">
            <v>7676027</v>
          </cell>
          <cell r="AB21">
            <v>11334040</v>
          </cell>
        </row>
        <row r="25">
          <cell r="B25">
            <v>14260000</v>
          </cell>
          <cell r="AA25">
            <v>13596852</v>
          </cell>
          <cell r="AB25">
            <v>0</v>
          </cell>
        </row>
        <row r="26">
          <cell r="B26">
            <v>6190200</v>
          </cell>
          <cell r="AA26">
            <v>1545000</v>
          </cell>
          <cell r="AB26">
            <v>1545000</v>
          </cell>
        </row>
        <row r="27">
          <cell r="B27">
            <v>8986533.0921</v>
          </cell>
          <cell r="AA27">
            <v>1751568</v>
          </cell>
          <cell r="AB27">
            <v>1773903</v>
          </cell>
        </row>
        <row r="28">
          <cell r="B28">
            <v>2500000</v>
          </cell>
          <cell r="AA28">
            <v>2498909</v>
          </cell>
          <cell r="AB28">
            <v>0</v>
          </cell>
        </row>
        <row r="29">
          <cell r="B29">
            <v>11000000</v>
          </cell>
          <cell r="AA29">
            <v>2392095</v>
          </cell>
          <cell r="AB29">
            <v>3000000</v>
          </cell>
        </row>
        <row r="30">
          <cell r="B30">
            <v>24308078.204192</v>
          </cell>
          <cell r="AA30">
            <v>2359440</v>
          </cell>
          <cell r="AB30">
            <v>0</v>
          </cell>
        </row>
        <row r="31">
          <cell r="B31">
            <v>45687645.59616</v>
          </cell>
          <cell r="AA31">
            <v>10742290</v>
          </cell>
          <cell r="AB31">
            <v>10629150</v>
          </cell>
        </row>
        <row r="32">
          <cell r="B32">
            <v>15000000</v>
          </cell>
          <cell r="AA32">
            <v>71200</v>
          </cell>
          <cell r="AB32">
            <v>600000</v>
          </cell>
        </row>
        <row r="36">
          <cell r="AA36">
            <v>338318289.99999976</v>
          </cell>
        </row>
        <row r="64">
          <cell r="B64">
            <v>2260118760.375</v>
          </cell>
          <cell r="AB64">
            <v>415186710</v>
          </cell>
        </row>
        <row r="66">
          <cell r="AA66">
            <v>561968209.9999998</v>
          </cell>
          <cell r="AB66">
            <v>647366949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  <sheetName val="Hoja2"/>
    </sheetNames>
    <sheetDataSet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gregado"/>
      <sheetName val="Inversión Económica 2011"/>
      <sheetName val="Gastos Generales"/>
      <sheetName val="Otros"/>
      <sheetName val="Regionalizado"/>
    </sheetNames>
    <sheetDataSet>
      <sheetData sheetId="0">
        <row r="26">
          <cell r="B26">
            <v>35349600</v>
          </cell>
        </row>
        <row r="27">
          <cell r="B27">
            <v>15000000</v>
          </cell>
        </row>
        <row r="28">
          <cell r="B28">
            <v>56286167.400000006</v>
          </cell>
        </row>
        <row r="29">
          <cell r="B29">
            <v>0</v>
          </cell>
        </row>
        <row r="32">
          <cell r="B32">
            <v>88637350.00000001</v>
          </cell>
        </row>
        <row r="33">
          <cell r="B33">
            <v>34693269.13</v>
          </cell>
        </row>
        <row r="34">
          <cell r="B34">
            <v>61625000</v>
          </cell>
        </row>
        <row r="36">
          <cell r="B36">
            <v>107922642.80000001</v>
          </cell>
        </row>
        <row r="37">
          <cell r="B37">
            <v>10507000</v>
          </cell>
        </row>
        <row r="38">
          <cell r="B38">
            <v>28639400</v>
          </cell>
        </row>
        <row r="39">
          <cell r="B39">
            <v>83200000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rsion Final"/>
    </sheetNames>
    <sheetDataSet>
      <sheetData sheetId="0">
        <row r="6">
          <cell r="G6">
            <v>34507018.800000004</v>
          </cell>
        </row>
        <row r="7">
          <cell r="G7">
            <v>56758149.58799999</v>
          </cell>
        </row>
        <row r="9">
          <cell r="G9">
            <v>10753200</v>
          </cell>
        </row>
        <row r="13">
          <cell r="G13">
            <v>65836620</v>
          </cell>
        </row>
        <row r="14">
          <cell r="G14">
            <v>10000000</v>
          </cell>
        </row>
        <row r="15">
          <cell r="G15">
            <v>10500000</v>
          </cell>
        </row>
        <row r="16">
          <cell r="G16">
            <v>15000000</v>
          </cell>
        </row>
        <row r="17">
          <cell r="G17">
            <v>172073793</v>
          </cell>
        </row>
        <row r="23">
          <cell r="G23">
            <v>162766578</v>
          </cell>
        </row>
        <row r="26">
          <cell r="G26">
            <v>111062789.85</v>
          </cell>
        </row>
        <row r="29">
          <cell r="G29">
            <v>92481000</v>
          </cell>
        </row>
        <row r="37">
          <cell r="G37">
            <v>31000000</v>
          </cell>
        </row>
        <row r="38">
          <cell r="G38">
            <v>5250000</v>
          </cell>
        </row>
        <row r="42">
          <cell r="G42">
            <v>20000000</v>
          </cell>
        </row>
        <row r="46">
          <cell r="G46">
            <v>100000000</v>
          </cell>
        </row>
        <row r="48">
          <cell r="G48">
            <v>900000000</v>
          </cell>
        </row>
        <row r="51">
          <cell r="G51">
            <v>0</v>
          </cell>
        </row>
        <row r="52">
          <cell r="G52">
            <v>15000000</v>
          </cell>
        </row>
        <row r="55">
          <cell r="G55">
            <v>43400000</v>
          </cell>
        </row>
        <row r="61">
          <cell r="G61">
            <v>5000000</v>
          </cell>
        </row>
        <row r="65">
          <cell r="G65">
            <v>15000000</v>
          </cell>
        </row>
        <row r="69">
          <cell r="G69">
            <v>41649200</v>
          </cell>
        </row>
        <row r="75">
          <cell r="G75">
            <v>50000000</v>
          </cell>
        </row>
        <row r="77">
          <cell r="G77">
            <v>73739131.3584</v>
          </cell>
        </row>
        <row r="80">
          <cell r="G80">
            <v>12400000</v>
          </cell>
        </row>
        <row r="84">
          <cell r="G84">
            <v>270000000</v>
          </cell>
        </row>
        <row r="88">
          <cell r="G88">
            <v>95728000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TECNICA 2011-Final"/>
      <sheetName val="Desglosado CARs"/>
    </sheetNames>
    <sheetDataSet>
      <sheetData sheetId="0">
        <row r="9">
          <cell r="E9">
            <v>57792321</v>
          </cell>
        </row>
        <row r="12">
          <cell r="E12">
            <v>10000000</v>
          </cell>
        </row>
        <row r="14">
          <cell r="E14">
            <v>0</v>
          </cell>
        </row>
        <row r="16">
          <cell r="E16">
            <v>50000000</v>
          </cell>
        </row>
        <row r="18">
          <cell r="E18">
            <v>12000000</v>
          </cell>
        </row>
        <row r="22">
          <cell r="E22">
            <v>180000000</v>
          </cell>
        </row>
        <row r="27">
          <cell r="E27">
            <v>24000000</v>
          </cell>
        </row>
        <row r="29">
          <cell r="E29">
            <v>155674300</v>
          </cell>
        </row>
        <row r="37">
          <cell r="E37">
            <v>23000000</v>
          </cell>
        </row>
        <row r="40">
          <cell r="E40">
            <v>126035116</v>
          </cell>
        </row>
        <row r="46">
          <cell r="E46">
            <v>22080000</v>
          </cell>
        </row>
        <row r="47">
          <cell r="E47">
            <v>6000000</v>
          </cell>
        </row>
        <row r="49">
          <cell r="E49">
            <v>42900000</v>
          </cell>
        </row>
        <row r="55">
          <cell r="E55">
            <v>42300000</v>
          </cell>
        </row>
        <row r="59">
          <cell r="E59">
            <v>23180000</v>
          </cell>
        </row>
        <row r="63">
          <cell r="E63">
            <v>161320000</v>
          </cell>
        </row>
        <row r="73">
          <cell r="E73">
            <v>174500000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1"/>
      <sheetName val="anexo viaticos gastos de viaje"/>
      <sheetName val="anexo materiales y dotaciones"/>
      <sheetName val="anexo publicidad"/>
      <sheetName val="anexo impresos y publicaciones"/>
      <sheetName val="Escenario PPC"/>
      <sheetName val="Participación x dosis"/>
      <sheetName val="Auxilios distribuidores"/>
      <sheetName val="NOMINA HONORARIOS 2011"/>
      <sheetName val="REUNIÓN"/>
      <sheetName val="SIMULACROS"/>
      <sheetName val="Hoja1"/>
    </sheetNames>
    <sheetDataSet>
      <sheetData sheetId="0">
        <row r="31">
          <cell r="D31">
            <v>1456755237.58464</v>
          </cell>
        </row>
        <row r="35">
          <cell r="D35">
            <v>90875000</v>
          </cell>
        </row>
        <row r="45">
          <cell r="D45">
            <v>717284324.7360001</v>
          </cell>
        </row>
        <row r="50">
          <cell r="D50">
            <v>361725785.68</v>
          </cell>
        </row>
        <row r="66">
          <cell r="D66">
            <v>90000000</v>
          </cell>
        </row>
        <row r="67">
          <cell r="D67">
            <v>25000000</v>
          </cell>
        </row>
        <row r="68">
          <cell r="D68">
            <v>20000000</v>
          </cell>
        </row>
        <row r="69">
          <cell r="D69">
            <v>5000000</v>
          </cell>
        </row>
        <row r="70">
          <cell r="D70">
            <v>290700000</v>
          </cell>
        </row>
        <row r="77">
          <cell r="D77">
            <v>1124275295.8416</v>
          </cell>
        </row>
        <row r="81">
          <cell r="D81">
            <v>12000000</v>
          </cell>
        </row>
        <row r="82">
          <cell r="D82">
            <v>104425302.49199998</v>
          </cell>
        </row>
        <row r="85">
          <cell r="D85">
            <v>36000000</v>
          </cell>
        </row>
        <row r="86">
          <cell r="D86">
            <v>7800000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rendimientos"/>
      <sheetName val="Escenario PPC "/>
      <sheetName val="Ejecución ingresos 2010"/>
      <sheetName val="Ejecución gastos 2010"/>
      <sheetName val="Superavit 2010"/>
      <sheetName val="Anexo 2 "/>
      <sheetName val="Anexo 3 "/>
      <sheetName val="Anexo 4"/>
      <sheetName val="Funcionamiento"/>
      <sheetName val="Nómina y honorarios 2011"/>
      <sheetName val="Comparativo nómina 2010-2011"/>
      <sheetName val="Inversión total en programas"/>
      <sheetName val="MODELO CONTRATISTAS"/>
      <sheetName val="Servicios personal 2005"/>
      <sheetName val="Nómina 2004"/>
    </sheetNames>
    <sheetDataSet>
      <sheetData sheetId="0">
        <row r="13">
          <cell r="D13">
            <v>9160819531.50546</v>
          </cell>
        </row>
        <row r="17">
          <cell r="D17">
            <v>110000000</v>
          </cell>
        </row>
        <row r="42">
          <cell r="F42">
            <v>10306424761.38981</v>
          </cell>
        </row>
        <row r="43">
          <cell r="F43">
            <v>6622943823.75826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CO ENE-MAR 10"/>
      <sheetName val="TÉC ENE-MAR 10"/>
      <sheetName val="PPC ENE-MAR 10"/>
      <sheetName val="MER ENE-MAR 10"/>
      <sheetName val="FUN ENE-MAR 10"/>
      <sheetName val="ECO AB-JUN10"/>
      <sheetName val="TÉC AB-JUN10"/>
      <sheetName val="PPC AB-JUN10 "/>
      <sheetName val="MER AB-JUN10"/>
      <sheetName val="FUN AB-JUN10"/>
      <sheetName val="ECO JUL-SEP10"/>
      <sheetName val="TÉC JUL-SEP10"/>
      <sheetName val="PPC JUL-SEP10"/>
      <sheetName val="MER JUL-SEP10"/>
      <sheetName val="FUN JUL-SEP10"/>
      <sheetName val="ECO OCT-DIC10"/>
      <sheetName val="TEC OCT-DIC10"/>
      <sheetName val="PPC OCT-DIC10"/>
      <sheetName val="MER OCT-DIC10"/>
      <sheetName val="FUN OCT-DOC1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7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10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I TRIM."/>
      <sheetName val="Inversión total en programas"/>
      <sheetName val="MODELO CONTRATISTAS"/>
      <sheetName val="Servicios personal 2005"/>
      <sheetName val="Nómina 2004"/>
      <sheetName val="Nómina y honorarios II TRIM."/>
    </sheetNames>
    <sheetDataSet>
      <sheetData sheetId="4">
        <row r="32">
          <cell r="C3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CO ENE-MAR-11"/>
      <sheetName val="TÉC ENE-MAR-11"/>
      <sheetName val="PPC ENE-MAR-11"/>
      <sheetName val="MER ENE-MAR-11"/>
      <sheetName val="FUN ENE-MAR-11"/>
      <sheetName val="ECO ABR-JUN-11"/>
      <sheetName val="TÉC ABR-JUN-11"/>
      <sheetName val="PPC ABR-JUN-11"/>
      <sheetName val="MER ABR-JUN-11"/>
      <sheetName val="FUN ABR-JUN-11"/>
      <sheetName val="ECO JUL-SEP-11"/>
      <sheetName val="TEC JUL-SEP-11"/>
      <sheetName val="PPC JUL-SEP-11"/>
      <sheetName val="MER JUL-SEP-11"/>
      <sheetName val="FUN JUL-SEP-11"/>
      <sheetName val="ECO OCT-DIC-11"/>
      <sheetName val="TEC OCT-DIC"/>
      <sheetName val="PPC OCT-DIC-11"/>
      <sheetName val="MER OCT-DIC-11"/>
      <sheetName val="FUN OCT-DIC-11"/>
      <sheetName val="IMPORTACION FELIXCAN 1"/>
      <sheetName val="IMPORTACION FELIXCAN 2"/>
      <sheetName val="IMPORTACION"/>
    </sheetNames>
    <sheetDataSet>
      <sheetData sheetId="0">
        <row r="9">
          <cell r="G9">
            <v>120703028</v>
          </cell>
        </row>
        <row r="19">
          <cell r="G19">
            <v>8409384</v>
          </cell>
        </row>
        <row r="26">
          <cell r="G26">
            <v>1009126</v>
          </cell>
        </row>
        <row r="33">
          <cell r="G33">
            <v>8409384</v>
          </cell>
        </row>
        <row r="40">
          <cell r="G40">
            <v>5029294</v>
          </cell>
        </row>
        <row r="47">
          <cell r="G47">
            <v>26286423</v>
          </cell>
        </row>
        <row r="54">
          <cell r="G54">
            <v>4963800</v>
          </cell>
        </row>
        <row r="61">
          <cell r="G61">
            <v>6206100</v>
          </cell>
        </row>
        <row r="68">
          <cell r="G68">
            <v>0</v>
          </cell>
        </row>
        <row r="72">
          <cell r="G72">
            <v>7676027</v>
          </cell>
        </row>
        <row r="85">
          <cell r="G85">
            <v>13596852</v>
          </cell>
        </row>
        <row r="91">
          <cell r="G91">
            <v>1545000</v>
          </cell>
        </row>
        <row r="99">
          <cell r="G99">
            <v>1751568</v>
          </cell>
        </row>
        <row r="109">
          <cell r="G109">
            <v>2498909</v>
          </cell>
        </row>
        <row r="114">
          <cell r="G114">
            <v>2392095</v>
          </cell>
        </row>
        <row r="124">
          <cell r="G124">
            <v>2359440</v>
          </cell>
        </row>
        <row r="130">
          <cell r="G130">
            <v>10742290</v>
          </cell>
        </row>
        <row r="142">
          <cell r="G142">
            <v>71200</v>
          </cell>
        </row>
        <row r="154">
          <cell r="G154">
            <v>136194792.79999983</v>
          </cell>
        </row>
        <row r="302">
          <cell r="G302">
            <v>34048698.19999996</v>
          </cell>
        </row>
        <row r="451">
          <cell r="G451">
            <v>0</v>
          </cell>
        </row>
        <row r="455">
          <cell r="G455">
            <v>0</v>
          </cell>
        </row>
        <row r="459">
          <cell r="G459">
            <v>1762400</v>
          </cell>
        </row>
        <row r="465">
          <cell r="G465">
            <v>13947778</v>
          </cell>
        </row>
        <row r="486">
          <cell r="G486">
            <v>6293697</v>
          </cell>
        </row>
        <row r="510">
          <cell r="G510">
            <v>8837400</v>
          </cell>
        </row>
        <row r="516">
          <cell r="G516">
            <v>0</v>
          </cell>
        </row>
        <row r="521">
          <cell r="G521">
            <v>9180432</v>
          </cell>
        </row>
        <row r="535">
          <cell r="G535">
            <v>27809470</v>
          </cell>
        </row>
        <row r="589">
          <cell r="G589">
            <v>10248372</v>
          </cell>
        </row>
        <row r="604">
          <cell r="G604">
            <v>44040907</v>
          </cell>
        </row>
        <row r="656">
          <cell r="G656">
            <v>17855537</v>
          </cell>
        </row>
        <row r="682">
          <cell r="G682">
            <v>10650937</v>
          </cell>
        </row>
        <row r="705">
          <cell r="G705">
            <v>8117951</v>
          </cell>
        </row>
        <row r="734">
          <cell r="G734">
            <v>9329918</v>
          </cell>
        </row>
      </sheetData>
      <sheetData sheetId="1">
        <row r="9">
          <cell r="G9">
            <v>39941371</v>
          </cell>
        </row>
        <row r="20">
          <cell r="G20">
            <v>1680734</v>
          </cell>
        </row>
        <row r="27">
          <cell r="G27">
            <v>201688</v>
          </cell>
        </row>
        <row r="34">
          <cell r="G34">
            <v>1680734</v>
          </cell>
        </row>
        <row r="41">
          <cell r="G41">
            <v>1664225</v>
          </cell>
        </row>
        <row r="48">
          <cell r="G48">
            <v>7555806</v>
          </cell>
        </row>
        <row r="55">
          <cell r="G55">
            <v>1440200</v>
          </cell>
        </row>
        <row r="62">
          <cell r="G62">
            <v>1800000</v>
          </cell>
        </row>
        <row r="69">
          <cell r="G69">
            <v>0</v>
          </cell>
        </row>
        <row r="76">
          <cell r="G76">
            <v>1545000</v>
          </cell>
        </row>
        <row r="84">
          <cell r="G84">
            <v>522035</v>
          </cell>
        </row>
        <row r="94">
          <cell r="G94">
            <v>1798184</v>
          </cell>
        </row>
        <row r="106">
          <cell r="G106">
            <v>713015</v>
          </cell>
        </row>
        <row r="115">
          <cell r="G115">
            <v>0</v>
          </cell>
        </row>
        <row r="123">
          <cell r="G123">
            <v>0</v>
          </cell>
        </row>
        <row r="128">
          <cell r="G128">
            <v>0</v>
          </cell>
        </row>
        <row r="133">
          <cell r="G133">
            <v>0</v>
          </cell>
        </row>
        <row r="137">
          <cell r="G137">
            <v>0</v>
          </cell>
        </row>
        <row r="144">
          <cell r="G144">
            <v>0</v>
          </cell>
        </row>
        <row r="150">
          <cell r="G150">
            <v>1502500</v>
          </cell>
        </row>
        <row r="157">
          <cell r="G157">
            <v>8365720</v>
          </cell>
        </row>
        <row r="165">
          <cell r="G165">
            <v>1852489</v>
          </cell>
        </row>
        <row r="177">
          <cell r="G177">
            <v>4619950</v>
          </cell>
        </row>
        <row r="183">
          <cell r="G183">
            <v>3190431.2</v>
          </cell>
        </row>
        <row r="191">
          <cell r="G191">
            <v>0</v>
          </cell>
        </row>
        <row r="200">
          <cell r="G200">
            <v>0</v>
          </cell>
        </row>
        <row r="206">
          <cell r="G206">
            <v>0</v>
          </cell>
        </row>
        <row r="212">
          <cell r="G212">
            <v>4513363</v>
          </cell>
        </row>
        <row r="233">
          <cell r="G233">
            <v>23142478</v>
          </cell>
        </row>
        <row r="265">
          <cell r="G265">
            <v>33138428</v>
          </cell>
        </row>
      </sheetData>
      <sheetData sheetId="2">
        <row r="10">
          <cell r="G10">
            <v>129970005</v>
          </cell>
        </row>
        <row r="23">
          <cell r="G23">
            <v>9207228</v>
          </cell>
        </row>
        <row r="30">
          <cell r="G30">
            <v>1104868</v>
          </cell>
        </row>
        <row r="37">
          <cell r="G37">
            <v>9207228</v>
          </cell>
        </row>
        <row r="44">
          <cell r="G44">
            <v>5385283</v>
          </cell>
        </row>
        <row r="51">
          <cell r="G51">
            <v>29170940</v>
          </cell>
        </row>
        <row r="58">
          <cell r="G58">
            <v>5468400</v>
          </cell>
        </row>
        <row r="65">
          <cell r="G65">
            <v>6836900</v>
          </cell>
        </row>
        <row r="72">
          <cell r="G72">
            <v>0</v>
          </cell>
        </row>
        <row r="78">
          <cell r="G78">
            <v>0</v>
          </cell>
        </row>
        <row r="84">
          <cell r="G84">
            <v>4715169</v>
          </cell>
        </row>
        <row r="92">
          <cell r="G92">
            <v>1205146</v>
          </cell>
        </row>
        <row r="104">
          <cell r="G104">
            <v>1545000</v>
          </cell>
        </row>
        <row r="112">
          <cell r="G112">
            <v>1435522</v>
          </cell>
        </row>
        <row r="126">
          <cell r="G126">
            <v>413253</v>
          </cell>
        </row>
        <row r="134">
          <cell r="G134">
            <v>31696748</v>
          </cell>
        </row>
        <row r="172">
          <cell r="G172">
            <v>2970652</v>
          </cell>
        </row>
        <row r="181">
          <cell r="G181">
            <v>12497639</v>
          </cell>
        </row>
        <row r="194">
          <cell r="G194">
            <v>322600</v>
          </cell>
        </row>
        <row r="208">
          <cell r="G208">
            <v>5040000</v>
          </cell>
        </row>
        <row r="214">
          <cell r="G214">
            <v>4420099.25</v>
          </cell>
        </row>
        <row r="234">
          <cell r="G234">
            <v>232342487.42000002</v>
          </cell>
        </row>
        <row r="269">
          <cell r="G269">
            <v>53428741</v>
          </cell>
        </row>
        <row r="285">
          <cell r="G285">
            <v>160516549</v>
          </cell>
        </row>
        <row r="393">
          <cell r="G393">
            <v>23079741</v>
          </cell>
        </row>
        <row r="439">
          <cell r="G439">
            <v>23593359</v>
          </cell>
        </row>
        <row r="459">
          <cell r="G459">
            <v>29785267</v>
          </cell>
        </row>
        <row r="479">
          <cell r="G479">
            <v>15014503</v>
          </cell>
        </row>
        <row r="490">
          <cell r="G490">
            <v>17692494</v>
          </cell>
        </row>
        <row r="505">
          <cell r="G505">
            <v>19999999.75</v>
          </cell>
        </row>
        <row r="512">
          <cell r="G512">
            <v>5000000</v>
          </cell>
        </row>
        <row r="517">
          <cell r="G517">
            <v>4999726</v>
          </cell>
        </row>
        <row r="523">
          <cell r="G523">
            <v>0</v>
          </cell>
        </row>
        <row r="528">
          <cell r="G528">
            <v>11464916</v>
          </cell>
        </row>
        <row r="539">
          <cell r="G539">
            <v>345623740</v>
          </cell>
        </row>
        <row r="547">
          <cell r="G547">
            <v>1496968</v>
          </cell>
        </row>
        <row r="557">
          <cell r="G557">
            <v>17529000</v>
          </cell>
        </row>
        <row r="586">
          <cell r="G586">
            <v>8241306</v>
          </cell>
        </row>
        <row r="609">
          <cell r="G609">
            <v>1894562</v>
          </cell>
        </row>
      </sheetData>
      <sheetData sheetId="3">
        <row r="9">
          <cell r="G9">
            <v>29224717</v>
          </cell>
        </row>
        <row r="20">
          <cell r="G20">
            <v>1893842</v>
          </cell>
        </row>
        <row r="27">
          <cell r="G27">
            <v>227261</v>
          </cell>
        </row>
        <row r="34">
          <cell r="G34">
            <v>1893842</v>
          </cell>
        </row>
        <row r="41">
          <cell r="G41">
            <v>1217698</v>
          </cell>
        </row>
        <row r="48">
          <cell r="G48">
            <v>6760756</v>
          </cell>
        </row>
        <row r="55">
          <cell r="G55">
            <v>1291200</v>
          </cell>
        </row>
        <row r="62">
          <cell r="G62">
            <v>1614100</v>
          </cell>
        </row>
        <row r="69">
          <cell r="G69">
            <v>0</v>
          </cell>
        </row>
        <row r="75">
          <cell r="G75">
            <v>1545000</v>
          </cell>
        </row>
        <row r="83">
          <cell r="G83">
            <v>982021</v>
          </cell>
        </row>
        <row r="98">
          <cell r="G98">
            <v>2684462</v>
          </cell>
        </row>
        <row r="110">
          <cell r="G110">
            <v>41905</v>
          </cell>
        </row>
        <row r="120">
          <cell r="G120">
            <v>0</v>
          </cell>
        </row>
        <row r="126">
          <cell r="G126">
            <v>0</v>
          </cell>
        </row>
        <row r="132">
          <cell r="G132">
            <v>0</v>
          </cell>
        </row>
        <row r="139">
          <cell r="G139">
            <v>2150640</v>
          </cell>
        </row>
        <row r="146">
          <cell r="G146">
            <v>0</v>
          </cell>
        </row>
        <row r="153">
          <cell r="G153">
            <v>13134148</v>
          </cell>
        </row>
        <row r="172">
          <cell r="G172">
            <v>1962963</v>
          </cell>
        </row>
        <row r="184">
          <cell r="G184">
            <v>0</v>
          </cell>
        </row>
        <row r="189">
          <cell r="G189">
            <v>7997962</v>
          </cell>
        </row>
        <row r="195">
          <cell r="G195">
            <v>40744296</v>
          </cell>
        </row>
        <row r="250">
          <cell r="G250">
            <v>31302158</v>
          </cell>
        </row>
        <row r="285">
          <cell r="G285">
            <v>20412261</v>
          </cell>
        </row>
        <row r="319">
          <cell r="G319">
            <v>48038804</v>
          </cell>
        </row>
        <row r="347">
          <cell r="G347">
            <v>0</v>
          </cell>
        </row>
        <row r="353">
          <cell r="G353">
            <v>990640</v>
          </cell>
        </row>
        <row r="359">
          <cell r="G359">
            <v>3891046</v>
          </cell>
        </row>
        <row r="373">
          <cell r="G373">
            <v>2857142</v>
          </cell>
        </row>
        <row r="380">
          <cell r="G380">
            <v>48342505</v>
          </cell>
        </row>
        <row r="392">
          <cell r="G392">
            <v>0</v>
          </cell>
        </row>
        <row r="396">
          <cell r="G396">
            <v>0</v>
          </cell>
        </row>
        <row r="401">
          <cell r="G401">
            <v>18487442</v>
          </cell>
        </row>
        <row r="409">
          <cell r="G409">
            <v>530000</v>
          </cell>
        </row>
        <row r="415">
          <cell r="G415">
            <v>4014064</v>
          </cell>
        </row>
        <row r="423">
          <cell r="G423">
            <v>4928566</v>
          </cell>
        </row>
        <row r="433">
          <cell r="G433">
            <v>0</v>
          </cell>
        </row>
        <row r="440">
          <cell r="G440">
            <v>11577700</v>
          </cell>
        </row>
        <row r="449">
          <cell r="G449">
            <v>0</v>
          </cell>
        </row>
        <row r="455">
          <cell r="G455">
            <v>4761904</v>
          </cell>
        </row>
        <row r="463">
          <cell r="G463">
            <v>11472352</v>
          </cell>
        </row>
      </sheetData>
      <sheetData sheetId="4">
        <row r="9">
          <cell r="G9">
            <v>25481876</v>
          </cell>
        </row>
        <row r="22">
          <cell r="G22">
            <v>1938262</v>
          </cell>
        </row>
        <row r="31">
          <cell r="G31">
            <v>232591</v>
          </cell>
        </row>
        <row r="40">
          <cell r="G40">
            <v>1938262</v>
          </cell>
        </row>
        <row r="49">
          <cell r="G49">
            <v>969130</v>
          </cell>
        </row>
        <row r="56">
          <cell r="G56">
            <v>0</v>
          </cell>
        </row>
        <row r="63">
          <cell r="G63">
            <v>5361308</v>
          </cell>
        </row>
        <row r="71">
          <cell r="G71">
            <v>939340</v>
          </cell>
        </row>
        <row r="78">
          <cell r="G78">
            <v>1174210</v>
          </cell>
        </row>
        <row r="85">
          <cell r="G85">
            <v>0</v>
          </cell>
        </row>
        <row r="91">
          <cell r="G91">
            <v>17662000</v>
          </cell>
        </row>
        <row r="103">
          <cell r="G103">
            <v>18043241.64</v>
          </cell>
        </row>
        <row r="113">
          <cell r="G113">
            <v>3109320</v>
          </cell>
        </row>
        <row r="121">
          <cell r="G121">
            <v>4243859</v>
          </cell>
        </row>
        <row r="130">
          <cell r="G130">
            <v>5528743</v>
          </cell>
        </row>
        <row r="141">
          <cell r="G141">
            <v>5872985</v>
          </cell>
        </row>
        <row r="174">
          <cell r="G174">
            <v>9697426</v>
          </cell>
        </row>
        <row r="184">
          <cell r="G184">
            <v>3870049</v>
          </cell>
        </row>
        <row r="197">
          <cell r="G197">
            <v>1765686</v>
          </cell>
        </row>
        <row r="211">
          <cell r="G211">
            <v>4754655</v>
          </cell>
        </row>
        <row r="222">
          <cell r="G222">
            <v>596500</v>
          </cell>
        </row>
        <row r="271">
          <cell r="G271">
            <v>2118590</v>
          </cell>
        </row>
        <row r="282">
          <cell r="G282">
            <v>3927925</v>
          </cell>
        </row>
        <row r="301">
          <cell r="G301">
            <v>14991772.000000002</v>
          </cell>
        </row>
        <row r="317">
          <cell r="G317">
            <v>0</v>
          </cell>
        </row>
        <row r="322">
          <cell r="G322">
            <v>216532596</v>
          </cell>
        </row>
      </sheetData>
      <sheetData sheetId="5">
        <row r="9">
          <cell r="G9">
            <v>137746505</v>
          </cell>
        </row>
        <row r="23">
          <cell r="G23">
            <v>10547286</v>
          </cell>
        </row>
        <row r="31">
          <cell r="G31">
            <v>100106</v>
          </cell>
        </row>
        <row r="39">
          <cell r="G39">
            <v>10547286</v>
          </cell>
        </row>
        <row r="47">
          <cell r="G47">
            <v>4449039</v>
          </cell>
        </row>
        <row r="56">
          <cell r="G56">
            <v>27985424</v>
          </cell>
        </row>
        <row r="65">
          <cell r="G65">
            <v>5164900</v>
          </cell>
        </row>
        <row r="72">
          <cell r="G72">
            <v>6457600</v>
          </cell>
        </row>
        <row r="79">
          <cell r="G79">
            <v>300000</v>
          </cell>
        </row>
        <row r="84">
          <cell r="G84">
            <v>11334040</v>
          </cell>
        </row>
        <row r="102">
          <cell r="G102">
            <v>0</v>
          </cell>
        </row>
        <row r="110">
          <cell r="G110">
            <v>1545000</v>
          </cell>
        </row>
        <row r="118">
          <cell r="G118">
            <v>1773903</v>
          </cell>
        </row>
        <row r="129">
          <cell r="G129">
            <v>0</v>
          </cell>
        </row>
        <row r="133">
          <cell r="G133">
            <v>3000000</v>
          </cell>
        </row>
        <row r="146">
          <cell r="G146">
            <v>0</v>
          </cell>
        </row>
        <row r="150">
          <cell r="G150">
            <v>10629150</v>
          </cell>
        </row>
        <row r="167">
          <cell r="G167">
            <v>600000</v>
          </cell>
        </row>
        <row r="180">
          <cell r="G180">
            <v>159613645.2</v>
          </cell>
        </row>
        <row r="332">
          <cell r="G332">
            <v>66724973.80000004</v>
          </cell>
        </row>
        <row r="494">
          <cell r="G494">
            <v>5997250</v>
          </cell>
        </row>
        <row r="504">
          <cell r="G504">
            <v>29838264</v>
          </cell>
        </row>
        <row r="539">
          <cell r="G539">
            <v>9502789</v>
          </cell>
        </row>
        <row r="562">
          <cell r="G562">
            <v>8837400</v>
          </cell>
        </row>
        <row r="569">
          <cell r="G569">
            <v>10409784</v>
          </cell>
        </row>
        <row r="575">
          <cell r="G575">
            <v>14336971</v>
          </cell>
        </row>
        <row r="592">
          <cell r="G592">
            <v>19081652</v>
          </cell>
        </row>
        <row r="637">
          <cell r="G637">
            <v>4972289</v>
          </cell>
        </row>
        <row r="652">
          <cell r="G652">
            <v>24654614</v>
          </cell>
        </row>
        <row r="681">
          <cell r="G681">
            <v>30323996</v>
          </cell>
        </row>
        <row r="730">
          <cell r="G730">
            <v>0</v>
          </cell>
        </row>
        <row r="736">
          <cell r="G736">
            <v>7733245</v>
          </cell>
        </row>
        <row r="757">
          <cell r="G757">
            <v>23159837</v>
          </cell>
        </row>
      </sheetData>
      <sheetData sheetId="6">
        <row r="9">
          <cell r="G9">
            <v>44614649</v>
          </cell>
        </row>
        <row r="23">
          <cell r="G23">
            <v>2102341</v>
          </cell>
        </row>
        <row r="31">
          <cell r="G31">
            <v>15196</v>
          </cell>
        </row>
        <row r="39">
          <cell r="G39">
            <v>2102341</v>
          </cell>
        </row>
        <row r="47">
          <cell r="G47">
            <v>1968013</v>
          </cell>
        </row>
        <row r="55">
          <cell r="G55">
            <v>8040943</v>
          </cell>
        </row>
        <row r="62">
          <cell r="G62">
            <v>1516600</v>
          </cell>
        </row>
        <row r="69">
          <cell r="G69">
            <v>1895500</v>
          </cell>
        </row>
        <row r="76">
          <cell r="G76">
            <v>300000</v>
          </cell>
        </row>
        <row r="84">
          <cell r="G84">
            <v>1545000</v>
          </cell>
        </row>
        <row r="92">
          <cell r="G92">
            <v>565213</v>
          </cell>
        </row>
        <row r="105">
          <cell r="G105">
            <v>4896033</v>
          </cell>
        </row>
        <row r="129">
          <cell r="G129">
            <v>749570</v>
          </cell>
        </row>
        <row r="165">
          <cell r="G165">
            <v>2053200</v>
          </cell>
        </row>
        <row r="173">
          <cell r="G173">
            <v>0</v>
          </cell>
        </row>
        <row r="181">
          <cell r="G181">
            <v>2061250</v>
          </cell>
        </row>
        <row r="193">
          <cell r="G193">
            <v>9900000</v>
          </cell>
        </row>
        <row r="201">
          <cell r="G201">
            <v>7517647</v>
          </cell>
        </row>
        <row r="228">
          <cell r="G228">
            <v>11530250</v>
          </cell>
        </row>
        <row r="240">
          <cell r="G240">
            <v>3031228</v>
          </cell>
        </row>
        <row r="246">
          <cell r="G246">
            <v>0</v>
          </cell>
        </row>
        <row r="255">
          <cell r="G255">
            <v>0</v>
          </cell>
        </row>
        <row r="263">
          <cell r="G263">
            <v>11376458</v>
          </cell>
        </row>
        <row r="288">
          <cell r="G288">
            <v>11999800</v>
          </cell>
        </row>
        <row r="306">
          <cell r="G306">
            <v>44303186</v>
          </cell>
        </row>
        <row r="350">
          <cell r="G350">
            <v>39443388</v>
          </cell>
        </row>
      </sheetData>
      <sheetData sheetId="7">
        <row r="10">
          <cell r="G10">
            <v>144878657</v>
          </cell>
        </row>
        <row r="25">
          <cell r="G25">
            <v>11431227</v>
          </cell>
        </row>
        <row r="33">
          <cell r="G33">
            <v>88067</v>
          </cell>
        </row>
        <row r="41">
          <cell r="G41">
            <v>11431227</v>
          </cell>
        </row>
        <row r="49">
          <cell r="G49">
            <v>6737878</v>
          </cell>
        </row>
        <row r="57">
          <cell r="G57">
            <v>29643253</v>
          </cell>
        </row>
        <row r="66">
          <cell r="G66">
            <v>5518300</v>
          </cell>
        </row>
        <row r="74">
          <cell r="G74">
            <v>6899500</v>
          </cell>
        </row>
        <row r="82">
          <cell r="G82">
            <v>896100</v>
          </cell>
        </row>
        <row r="88">
          <cell r="G88">
            <v>0</v>
          </cell>
        </row>
        <row r="97">
          <cell r="G97">
            <v>3729485</v>
          </cell>
        </row>
        <row r="107">
          <cell r="G107">
            <v>1241151</v>
          </cell>
        </row>
        <row r="122">
          <cell r="G122">
            <v>1545000</v>
          </cell>
        </row>
        <row r="130">
          <cell r="G130">
            <v>1168864</v>
          </cell>
        </row>
        <row r="143">
          <cell r="G143">
            <v>3560140</v>
          </cell>
        </row>
        <row r="153">
          <cell r="G153">
            <v>41543321</v>
          </cell>
        </row>
        <row r="200">
          <cell r="G200">
            <v>2992000</v>
          </cell>
        </row>
        <row r="211">
          <cell r="G211">
            <v>10325839</v>
          </cell>
        </row>
        <row r="222">
          <cell r="G222">
            <v>341200</v>
          </cell>
        </row>
        <row r="237">
          <cell r="G237">
            <v>5757713</v>
          </cell>
        </row>
        <row r="247">
          <cell r="G247">
            <v>9822107.63</v>
          </cell>
        </row>
        <row r="270">
          <cell r="G270">
            <v>354507436.8</v>
          </cell>
        </row>
        <row r="323">
          <cell r="G323">
            <v>18511332</v>
          </cell>
        </row>
        <row r="339">
          <cell r="G339">
            <v>161687867</v>
          </cell>
        </row>
        <row r="455">
          <cell r="G455">
            <v>49657032</v>
          </cell>
        </row>
        <row r="523">
          <cell r="G523">
            <v>0</v>
          </cell>
        </row>
        <row r="528">
          <cell r="G528">
            <v>17557962</v>
          </cell>
        </row>
        <row r="551">
          <cell r="G551">
            <v>0</v>
          </cell>
        </row>
        <row r="557">
          <cell r="G557">
            <v>17043726</v>
          </cell>
        </row>
        <row r="574">
          <cell r="G574">
            <v>59996982.25</v>
          </cell>
        </row>
        <row r="624">
          <cell r="G624">
            <v>20000000</v>
          </cell>
        </row>
        <row r="630">
          <cell r="G630">
            <v>5000000</v>
          </cell>
        </row>
        <row r="636">
          <cell r="G636">
            <v>5000000</v>
          </cell>
        </row>
        <row r="641">
          <cell r="G641">
            <v>50416939</v>
          </cell>
        </row>
        <row r="657">
          <cell r="G657">
            <v>258694001</v>
          </cell>
        </row>
        <row r="667">
          <cell r="G667">
            <v>2264000</v>
          </cell>
        </row>
        <row r="674">
          <cell r="G674">
            <v>18548000</v>
          </cell>
        </row>
        <row r="709">
          <cell r="G709">
            <v>7019990</v>
          </cell>
        </row>
        <row r="732">
          <cell r="G732">
            <v>2850000</v>
          </cell>
        </row>
      </sheetData>
      <sheetData sheetId="8">
        <row r="9">
          <cell r="G9">
            <v>47375728</v>
          </cell>
        </row>
        <row r="22">
          <cell r="G22">
            <v>2379916</v>
          </cell>
        </row>
        <row r="30">
          <cell r="G30">
            <v>29164</v>
          </cell>
        </row>
        <row r="38">
          <cell r="G38">
            <v>2379916</v>
          </cell>
        </row>
        <row r="46">
          <cell r="G46">
            <v>2195695</v>
          </cell>
        </row>
        <row r="54">
          <cell r="G54">
            <v>8422884</v>
          </cell>
        </row>
        <row r="61">
          <cell r="G61">
            <v>1603200</v>
          </cell>
        </row>
        <row r="68">
          <cell r="G68">
            <v>2003800</v>
          </cell>
        </row>
        <row r="75">
          <cell r="G75">
            <v>300000</v>
          </cell>
        </row>
        <row r="81">
          <cell r="G81">
            <v>1500000</v>
          </cell>
        </row>
        <row r="87">
          <cell r="G87">
            <v>1545000</v>
          </cell>
        </row>
        <row r="95">
          <cell r="G95">
            <v>1111040</v>
          </cell>
        </row>
        <row r="112">
          <cell r="G112">
            <v>7135750</v>
          </cell>
        </row>
        <row r="141">
          <cell r="G141">
            <v>2727540</v>
          </cell>
        </row>
        <row r="152">
          <cell r="G152">
            <v>0</v>
          </cell>
        </row>
        <row r="158">
          <cell r="G158">
            <v>0</v>
          </cell>
        </row>
        <row r="164">
          <cell r="G164">
            <v>0</v>
          </cell>
        </row>
        <row r="171">
          <cell r="G171">
            <v>3225960</v>
          </cell>
        </row>
        <row r="179">
          <cell r="G179">
            <v>0</v>
          </cell>
        </row>
        <row r="186">
          <cell r="G186">
            <v>19706114</v>
          </cell>
        </row>
        <row r="212">
          <cell r="G212">
            <v>2979426</v>
          </cell>
        </row>
        <row r="227">
          <cell r="G227">
            <v>2574693</v>
          </cell>
        </row>
        <row r="238">
          <cell r="G238">
            <v>7000000</v>
          </cell>
        </row>
        <row r="246">
          <cell r="G246">
            <v>53517400</v>
          </cell>
        </row>
        <row r="299">
          <cell r="G299">
            <v>44958070</v>
          </cell>
        </row>
        <row r="349">
          <cell r="G349">
            <v>29979401</v>
          </cell>
        </row>
        <row r="392">
          <cell r="G392">
            <v>9198009</v>
          </cell>
        </row>
        <row r="427">
          <cell r="G427">
            <v>13664360</v>
          </cell>
        </row>
        <row r="433">
          <cell r="G433">
            <v>741240</v>
          </cell>
        </row>
        <row r="439">
          <cell r="G439">
            <v>14878090</v>
          </cell>
        </row>
        <row r="453">
          <cell r="G453">
            <v>53847650</v>
          </cell>
        </row>
        <row r="485">
          <cell r="G485">
            <v>246846849</v>
          </cell>
        </row>
        <row r="512">
          <cell r="G512">
            <v>0</v>
          </cell>
        </row>
        <row r="517">
          <cell r="G517">
            <v>0</v>
          </cell>
        </row>
        <row r="526">
          <cell r="G526">
            <v>8020472</v>
          </cell>
        </row>
        <row r="536">
          <cell r="G536">
            <v>1464250</v>
          </cell>
        </row>
        <row r="548">
          <cell r="G548">
            <v>4984363</v>
          </cell>
        </row>
        <row r="559">
          <cell r="G559">
            <v>10391382</v>
          </cell>
        </row>
        <row r="574">
          <cell r="G574">
            <v>0</v>
          </cell>
        </row>
        <row r="581">
          <cell r="G581">
            <v>27772780</v>
          </cell>
        </row>
        <row r="595">
          <cell r="G595">
            <v>0</v>
          </cell>
        </row>
        <row r="600">
          <cell r="G600">
            <v>36702256</v>
          </cell>
        </row>
        <row r="614">
          <cell r="G614">
            <v>41945548</v>
          </cell>
        </row>
      </sheetData>
      <sheetData sheetId="9">
        <row r="9">
          <cell r="G9">
            <v>27623804</v>
          </cell>
        </row>
        <row r="26">
          <cell r="G26">
            <v>2241798</v>
          </cell>
        </row>
        <row r="35">
          <cell r="G35">
            <v>9469</v>
          </cell>
        </row>
        <row r="44">
          <cell r="G44">
            <v>2241798</v>
          </cell>
        </row>
        <row r="53">
          <cell r="G53">
            <v>1120899</v>
          </cell>
        </row>
        <row r="61">
          <cell r="G61">
            <v>13352885</v>
          </cell>
        </row>
        <row r="77">
          <cell r="G77">
            <v>5667757</v>
          </cell>
        </row>
        <row r="85">
          <cell r="G85">
            <v>973660</v>
          </cell>
        </row>
        <row r="92">
          <cell r="G92">
            <v>1217431</v>
          </cell>
        </row>
        <row r="99">
          <cell r="G99">
            <v>600000</v>
          </cell>
        </row>
        <row r="105">
          <cell r="G105">
            <v>18754100</v>
          </cell>
        </row>
        <row r="118">
          <cell r="G118">
            <v>33639125</v>
          </cell>
        </row>
        <row r="131">
          <cell r="G131">
            <v>1019480</v>
          </cell>
        </row>
        <row r="139">
          <cell r="G139">
            <v>4163090.8</v>
          </cell>
        </row>
        <row r="150">
          <cell r="G150">
            <v>2417139</v>
          </cell>
        </row>
        <row r="161">
          <cell r="G161">
            <v>6395546</v>
          </cell>
        </row>
        <row r="193">
          <cell r="G193">
            <v>10886324</v>
          </cell>
        </row>
        <row r="205">
          <cell r="G205">
            <v>1085497</v>
          </cell>
        </row>
        <row r="218">
          <cell r="G218">
            <v>3569826</v>
          </cell>
        </row>
        <row r="229">
          <cell r="G229">
            <v>1155810</v>
          </cell>
        </row>
        <row r="239">
          <cell r="G239">
            <v>912300</v>
          </cell>
        </row>
        <row r="308">
          <cell r="G308">
            <v>1182559</v>
          </cell>
        </row>
        <row r="323">
          <cell r="G323">
            <v>1612932</v>
          </cell>
        </row>
        <row r="336">
          <cell r="G336">
            <v>15544566.13</v>
          </cell>
        </row>
        <row r="352">
          <cell r="G352">
            <v>0</v>
          </cell>
        </row>
        <row r="357">
          <cell r="G357">
            <v>236955666.5</v>
          </cell>
        </row>
      </sheetData>
      <sheetData sheetId="10">
        <row r="9">
          <cell r="G9">
            <v>135579548</v>
          </cell>
        </row>
        <row r="25">
          <cell r="G25">
            <v>9817445</v>
          </cell>
        </row>
        <row r="32">
          <cell r="G32">
            <v>1431923</v>
          </cell>
        </row>
        <row r="39">
          <cell r="G39">
            <v>9817445</v>
          </cell>
        </row>
        <row r="46">
          <cell r="G46">
            <v>7495927</v>
          </cell>
        </row>
        <row r="53">
          <cell r="G53">
            <v>28014826</v>
          </cell>
        </row>
        <row r="60">
          <cell r="G60">
            <v>5166600</v>
          </cell>
        </row>
        <row r="67">
          <cell r="G67">
            <v>6459700</v>
          </cell>
        </row>
        <row r="74">
          <cell r="G74">
            <v>0</v>
          </cell>
        </row>
        <row r="79">
          <cell r="G79">
            <v>11214040</v>
          </cell>
        </row>
        <row r="94">
          <cell r="G94">
            <v>0</v>
          </cell>
        </row>
        <row r="102">
          <cell r="G102">
            <v>1545000</v>
          </cell>
        </row>
        <row r="109">
          <cell r="G109">
            <v>1970676.6800000002</v>
          </cell>
        </row>
        <row r="120">
          <cell r="G120">
            <v>0</v>
          </cell>
        </row>
        <row r="124">
          <cell r="G124">
            <v>2920225</v>
          </cell>
        </row>
        <row r="136">
          <cell r="G136">
            <v>8091968</v>
          </cell>
        </row>
        <row r="144">
          <cell r="G144">
            <v>6763317</v>
          </cell>
        </row>
        <row r="168">
          <cell r="G168">
            <v>162328648.39999995</v>
          </cell>
        </row>
        <row r="300">
          <cell r="G300">
            <v>127033349.6000002</v>
          </cell>
        </row>
        <row r="433">
          <cell r="G433">
            <v>0</v>
          </cell>
        </row>
        <row r="437">
          <cell r="G437">
            <v>0</v>
          </cell>
        </row>
        <row r="441">
          <cell r="G441">
            <v>2336412</v>
          </cell>
        </row>
        <row r="450">
          <cell r="G450">
            <v>34589357</v>
          </cell>
        </row>
        <row r="495">
          <cell r="G495">
            <v>13759601</v>
          </cell>
        </row>
        <row r="521">
          <cell r="G521">
            <v>5891600</v>
          </cell>
        </row>
        <row r="527">
          <cell r="G527">
            <v>1322657</v>
          </cell>
        </row>
        <row r="532">
          <cell r="G532">
            <v>15208554</v>
          </cell>
        </row>
        <row r="546">
          <cell r="G546">
            <v>19028077</v>
          </cell>
        </row>
        <row r="589">
          <cell r="G589">
            <v>5949289</v>
          </cell>
        </row>
        <row r="601">
          <cell r="G601">
            <v>16992677</v>
          </cell>
        </row>
        <row r="611">
          <cell r="G611">
            <v>25608908</v>
          </cell>
        </row>
        <row r="650">
          <cell r="G650">
            <v>0</v>
          </cell>
        </row>
        <row r="654">
          <cell r="G654">
            <v>6847303</v>
          </cell>
        </row>
        <row r="679">
          <cell r="G679">
            <v>17107401</v>
          </cell>
        </row>
      </sheetData>
      <sheetData sheetId="11">
        <row r="9">
          <cell r="G9">
            <v>46754700</v>
          </cell>
        </row>
        <row r="21">
          <cell r="G21">
            <v>2576325</v>
          </cell>
        </row>
        <row r="28">
          <cell r="G28">
            <v>336546</v>
          </cell>
        </row>
        <row r="35">
          <cell r="G35">
            <v>2576325</v>
          </cell>
        </row>
        <row r="42">
          <cell r="G42">
            <v>2134663</v>
          </cell>
        </row>
        <row r="50">
          <cell r="G50">
            <v>8565902</v>
          </cell>
        </row>
        <row r="57">
          <cell r="G57">
            <v>1611000</v>
          </cell>
        </row>
        <row r="64">
          <cell r="G64">
            <v>2013600</v>
          </cell>
        </row>
        <row r="71">
          <cell r="G71">
            <v>0</v>
          </cell>
        </row>
        <row r="79">
          <cell r="G79">
            <v>1545000</v>
          </cell>
        </row>
        <row r="86">
          <cell r="G86">
            <v>951182.5599999999</v>
          </cell>
        </row>
        <row r="99">
          <cell r="G99">
            <v>1506779</v>
          </cell>
        </row>
        <row r="116">
          <cell r="G116">
            <v>0</v>
          </cell>
        </row>
        <row r="122">
          <cell r="G122">
            <v>3000000</v>
          </cell>
        </row>
        <row r="131">
          <cell r="G131">
            <v>0</v>
          </cell>
        </row>
        <row r="142">
          <cell r="G142">
            <v>57792321</v>
          </cell>
        </row>
        <row r="148">
          <cell r="G148">
            <v>0</v>
          </cell>
        </row>
        <row r="152">
          <cell r="G152">
            <v>0</v>
          </cell>
        </row>
        <row r="156">
          <cell r="G156">
            <v>13000</v>
          </cell>
        </row>
        <row r="164">
          <cell r="G164">
            <v>0</v>
          </cell>
        </row>
        <row r="168">
          <cell r="G168">
            <v>1675800</v>
          </cell>
        </row>
        <row r="179">
          <cell r="G179">
            <v>1483120</v>
          </cell>
        </row>
        <row r="185">
          <cell r="G185">
            <v>5976782</v>
          </cell>
        </row>
        <row r="202">
          <cell r="G202">
            <v>6849350</v>
          </cell>
        </row>
        <row r="212">
          <cell r="G212">
            <v>0</v>
          </cell>
        </row>
        <row r="216">
          <cell r="G216">
            <v>2000000</v>
          </cell>
        </row>
        <row r="224">
          <cell r="G224">
            <v>6195675</v>
          </cell>
        </row>
        <row r="230">
          <cell r="G230">
            <v>13945984</v>
          </cell>
        </row>
        <row r="248">
          <cell r="G248">
            <v>5769768</v>
          </cell>
        </row>
        <row r="272">
          <cell r="G272">
            <v>39201336</v>
          </cell>
        </row>
        <row r="313">
          <cell r="G313">
            <v>46888196</v>
          </cell>
        </row>
        <row r="336">
          <cell r="G336">
            <v>62988319</v>
          </cell>
        </row>
      </sheetData>
      <sheetData sheetId="12">
        <row r="10">
          <cell r="G10">
            <v>149265903</v>
          </cell>
        </row>
        <row r="22">
          <cell r="G22">
            <v>10715371</v>
          </cell>
        </row>
        <row r="29">
          <cell r="G29">
            <v>1497697</v>
          </cell>
        </row>
        <row r="36">
          <cell r="G36">
            <v>10715371</v>
          </cell>
        </row>
        <row r="43">
          <cell r="G43">
            <v>6093253</v>
          </cell>
        </row>
        <row r="50">
          <cell r="G50">
            <v>30566053</v>
          </cell>
        </row>
        <row r="57">
          <cell r="G57">
            <v>5704700</v>
          </cell>
        </row>
        <row r="64">
          <cell r="G64">
            <v>7132500</v>
          </cell>
        </row>
        <row r="71">
          <cell r="G71">
            <v>0</v>
          </cell>
        </row>
        <row r="75">
          <cell r="G75">
            <v>0</v>
          </cell>
        </row>
        <row r="80">
          <cell r="G80">
            <v>0</v>
          </cell>
        </row>
        <row r="84">
          <cell r="G84">
            <v>1225327.8</v>
          </cell>
        </row>
        <row r="93">
          <cell r="G93">
            <v>1545000</v>
          </cell>
        </row>
        <row r="100">
          <cell r="G100">
            <v>1142051</v>
          </cell>
        </row>
        <row r="113">
          <cell r="G113">
            <v>413253</v>
          </cell>
        </row>
        <row r="120">
          <cell r="G120">
            <v>48722918</v>
          </cell>
        </row>
        <row r="176">
          <cell r="G176">
            <v>3320000</v>
          </cell>
        </row>
        <row r="184">
          <cell r="G184">
            <v>12245707</v>
          </cell>
        </row>
        <row r="200">
          <cell r="G200">
            <v>396000</v>
          </cell>
        </row>
        <row r="217">
          <cell r="G217">
            <v>12502918</v>
          </cell>
        </row>
        <row r="229">
          <cell r="G229">
            <v>5696328.469999999</v>
          </cell>
        </row>
        <row r="248">
          <cell r="G248">
            <v>422270900</v>
          </cell>
        </row>
        <row r="324">
          <cell r="G324">
            <v>11981008</v>
          </cell>
        </row>
        <row r="342">
          <cell r="G342">
            <v>164458149</v>
          </cell>
        </row>
        <row r="455">
          <cell r="G455">
            <v>52145320</v>
          </cell>
        </row>
        <row r="512">
          <cell r="G512">
            <v>0</v>
          </cell>
        </row>
        <row r="516">
          <cell r="G516">
            <v>61351833</v>
          </cell>
        </row>
        <row r="560">
          <cell r="G560">
            <v>9531145</v>
          </cell>
        </row>
        <row r="569">
          <cell r="G569">
            <v>24399620</v>
          </cell>
        </row>
        <row r="591">
          <cell r="G591">
            <v>63636000</v>
          </cell>
        </row>
        <row r="671">
          <cell r="G671">
            <v>0</v>
          </cell>
        </row>
        <row r="675">
          <cell r="G675">
            <v>9610644</v>
          </cell>
        </row>
        <row r="682">
          <cell r="G682">
            <v>0</v>
          </cell>
        </row>
        <row r="687">
          <cell r="G687">
            <v>61125053</v>
          </cell>
        </row>
        <row r="704">
          <cell r="G704">
            <v>234805427</v>
          </cell>
        </row>
        <row r="711">
          <cell r="G711">
            <v>2672392</v>
          </cell>
        </row>
        <row r="720">
          <cell r="G720">
            <v>16274000</v>
          </cell>
        </row>
        <row r="752">
          <cell r="G752">
            <v>7261120</v>
          </cell>
        </row>
        <row r="774">
          <cell r="G774">
            <v>1950000</v>
          </cell>
        </row>
      </sheetData>
      <sheetData sheetId="13">
        <row r="9">
          <cell r="G9">
            <v>46507700</v>
          </cell>
        </row>
        <row r="20">
          <cell r="G20">
            <v>2136878</v>
          </cell>
        </row>
        <row r="27">
          <cell r="G27">
            <v>320532</v>
          </cell>
        </row>
        <row r="34">
          <cell r="G34">
            <v>2136878</v>
          </cell>
        </row>
        <row r="41">
          <cell r="G41">
            <v>1914940</v>
          </cell>
        </row>
        <row r="48">
          <cell r="G48">
            <v>8422384</v>
          </cell>
        </row>
        <row r="55">
          <cell r="G55">
            <v>1592500</v>
          </cell>
        </row>
        <row r="62">
          <cell r="G62">
            <v>1990600</v>
          </cell>
        </row>
        <row r="69">
          <cell r="G69">
            <v>0</v>
          </cell>
        </row>
        <row r="74">
          <cell r="G74">
            <v>0</v>
          </cell>
        </row>
        <row r="78">
          <cell r="G78">
            <v>1545000</v>
          </cell>
        </row>
        <row r="85">
          <cell r="G85">
            <v>2213003.4</v>
          </cell>
        </row>
        <row r="105">
          <cell r="G105">
            <v>2631040</v>
          </cell>
        </row>
        <row r="121">
          <cell r="G121">
            <v>2500000</v>
          </cell>
        </row>
        <row r="133">
          <cell r="G133">
            <v>0</v>
          </cell>
        </row>
        <row r="137">
          <cell r="G137">
            <v>0</v>
          </cell>
        </row>
        <row r="141">
          <cell r="G141">
            <v>0</v>
          </cell>
        </row>
        <row r="145">
          <cell r="G145">
            <v>3225960</v>
          </cell>
        </row>
        <row r="153">
          <cell r="G153">
            <v>0</v>
          </cell>
        </row>
        <row r="159">
          <cell r="G159">
            <v>19701222</v>
          </cell>
        </row>
        <row r="181">
          <cell r="G181">
            <v>2565186</v>
          </cell>
        </row>
        <row r="193">
          <cell r="G193">
            <v>371200</v>
          </cell>
        </row>
        <row r="199">
          <cell r="G199">
            <v>0</v>
          </cell>
        </row>
        <row r="203">
          <cell r="G203">
            <v>50020330</v>
          </cell>
        </row>
        <row r="248">
          <cell r="G248">
            <v>46659308</v>
          </cell>
        </row>
        <row r="295">
          <cell r="G295">
            <v>31546764</v>
          </cell>
        </row>
        <row r="342">
          <cell r="G342">
            <v>12977386</v>
          </cell>
        </row>
        <row r="371">
          <cell r="G371">
            <v>10751954</v>
          </cell>
        </row>
        <row r="382">
          <cell r="G382">
            <v>1695400</v>
          </cell>
        </row>
        <row r="389">
          <cell r="G389">
            <v>0</v>
          </cell>
        </row>
        <row r="395">
          <cell r="G395">
            <v>46781253</v>
          </cell>
        </row>
        <row r="420">
          <cell r="G420">
            <v>319909290</v>
          </cell>
        </row>
        <row r="447">
          <cell r="G447">
            <v>0</v>
          </cell>
        </row>
        <row r="450">
          <cell r="G450">
            <v>0</v>
          </cell>
        </row>
        <row r="454">
          <cell r="G454">
            <v>9651199.6</v>
          </cell>
        </row>
        <row r="461">
          <cell r="G461">
            <v>2000000</v>
          </cell>
        </row>
        <row r="468">
          <cell r="G468">
            <v>4588888</v>
          </cell>
        </row>
        <row r="486">
          <cell r="G486">
            <v>11518056</v>
          </cell>
        </row>
        <row r="499">
          <cell r="G499">
            <v>0</v>
          </cell>
        </row>
        <row r="504">
          <cell r="G504">
            <v>17956908</v>
          </cell>
        </row>
        <row r="515">
          <cell r="G515">
            <v>0</v>
          </cell>
        </row>
        <row r="519">
          <cell r="G519">
            <v>219963359</v>
          </cell>
        </row>
        <row r="608">
          <cell r="G608">
            <v>37222055.2</v>
          </cell>
        </row>
        <row r="664">
          <cell r="G664">
            <v>0</v>
          </cell>
        </row>
      </sheetData>
      <sheetData sheetId="14">
        <row r="9">
          <cell r="G9">
            <v>27985213</v>
          </cell>
        </row>
        <row r="21">
          <cell r="G21">
            <v>2160337</v>
          </cell>
        </row>
        <row r="30">
          <cell r="G30">
            <v>286598</v>
          </cell>
        </row>
        <row r="37">
          <cell r="G37">
            <v>2160337</v>
          </cell>
        </row>
        <row r="46">
          <cell r="G46">
            <v>1009238</v>
          </cell>
        </row>
        <row r="53">
          <cell r="G53">
            <v>0</v>
          </cell>
        </row>
        <row r="60">
          <cell r="G60">
            <v>5750728</v>
          </cell>
        </row>
        <row r="68">
          <cell r="G68">
            <v>1015020</v>
          </cell>
        </row>
        <row r="75">
          <cell r="G75">
            <v>1269070</v>
          </cell>
        </row>
        <row r="82">
          <cell r="G82">
            <v>300000</v>
          </cell>
        </row>
        <row r="88">
          <cell r="G88">
            <v>17434000</v>
          </cell>
        </row>
        <row r="98">
          <cell r="G98">
            <v>4203958</v>
          </cell>
        </row>
        <row r="104">
          <cell r="G104">
            <v>1104900</v>
          </cell>
        </row>
        <row r="110">
          <cell r="G110">
            <v>4257234</v>
          </cell>
        </row>
        <row r="121">
          <cell r="G121">
            <v>3862010</v>
          </cell>
        </row>
        <row r="132">
          <cell r="G132">
            <v>6395545.9</v>
          </cell>
        </row>
        <row r="160">
          <cell r="G160">
            <v>10291873</v>
          </cell>
        </row>
        <row r="170">
          <cell r="G170">
            <v>3984689</v>
          </cell>
        </row>
        <row r="187">
          <cell r="G187">
            <v>1459000</v>
          </cell>
        </row>
        <row r="199">
          <cell r="G199">
            <v>3572910</v>
          </cell>
        </row>
        <row r="213">
          <cell r="G213">
            <v>997500</v>
          </cell>
        </row>
        <row r="291">
          <cell r="G291">
            <v>1999094</v>
          </cell>
        </row>
        <row r="301">
          <cell r="G301">
            <v>2184579</v>
          </cell>
        </row>
        <row r="309">
          <cell r="G309">
            <v>15717305.51</v>
          </cell>
        </row>
        <row r="325">
          <cell r="G325">
            <v>27390843</v>
          </cell>
        </row>
        <row r="331">
          <cell r="G331">
            <v>251791255</v>
          </cell>
        </row>
      </sheetData>
      <sheetData sheetId="15">
        <row r="9">
          <cell r="G9">
            <v>133385336</v>
          </cell>
        </row>
        <row r="26">
          <cell r="G26">
            <v>9787202</v>
          </cell>
        </row>
        <row r="33">
          <cell r="G33">
            <v>2015091</v>
          </cell>
        </row>
        <row r="40">
          <cell r="G40">
            <v>9787202</v>
          </cell>
        </row>
        <row r="47">
          <cell r="G47">
            <v>5140080</v>
          </cell>
        </row>
        <row r="55">
          <cell r="G55">
            <v>27930532</v>
          </cell>
        </row>
        <row r="64">
          <cell r="G64">
            <v>5219300</v>
          </cell>
        </row>
        <row r="71">
          <cell r="G71">
            <v>6525800</v>
          </cell>
        </row>
        <row r="78">
          <cell r="G78">
            <v>0</v>
          </cell>
        </row>
        <row r="83">
          <cell r="G83">
            <v>11616380</v>
          </cell>
        </row>
        <row r="97">
          <cell r="G97">
            <v>0</v>
          </cell>
        </row>
        <row r="105">
          <cell r="G105">
            <v>1545000</v>
          </cell>
        </row>
        <row r="113">
          <cell r="G113">
            <v>3211433</v>
          </cell>
        </row>
        <row r="130">
          <cell r="G130">
            <v>0</v>
          </cell>
        </row>
        <row r="134">
          <cell r="G134">
            <v>2687680</v>
          </cell>
        </row>
        <row r="146">
          <cell r="G146">
            <v>13435139</v>
          </cell>
        </row>
        <row r="160">
          <cell r="G160">
            <v>6232330</v>
          </cell>
        </row>
        <row r="183">
          <cell r="G183">
            <v>61950</v>
          </cell>
        </row>
        <row r="194">
          <cell r="G194">
            <v>214885774.40000007</v>
          </cell>
        </row>
        <row r="377">
          <cell r="G377">
            <v>119164217.60000011</v>
          </cell>
        </row>
        <row r="561">
          <cell r="G561">
            <v>0</v>
          </cell>
        </row>
        <row r="565">
          <cell r="G565">
            <v>0</v>
          </cell>
        </row>
        <row r="569">
          <cell r="G569">
            <v>19563408</v>
          </cell>
        </row>
        <row r="586">
          <cell r="G586">
            <v>29924278</v>
          </cell>
        </row>
        <row r="629">
          <cell r="G629">
            <v>11675885</v>
          </cell>
        </row>
        <row r="650">
          <cell r="G650">
            <v>11783200</v>
          </cell>
        </row>
        <row r="659">
          <cell r="G659">
            <v>18267558.95</v>
          </cell>
        </row>
        <row r="672">
          <cell r="G672">
            <v>17560210</v>
          </cell>
        </row>
        <row r="690">
          <cell r="G690">
            <v>18956867</v>
          </cell>
        </row>
        <row r="735">
          <cell r="G735">
            <v>8710303</v>
          </cell>
        </row>
        <row r="750">
          <cell r="G750">
            <v>0</v>
          </cell>
        </row>
        <row r="761">
          <cell r="G761">
            <v>2148423</v>
          </cell>
        </row>
        <row r="773">
          <cell r="G773">
            <v>29415553</v>
          </cell>
        </row>
        <row r="821">
          <cell r="G821">
            <v>0</v>
          </cell>
        </row>
        <row r="827">
          <cell r="G827">
            <v>5867639</v>
          </cell>
        </row>
        <row r="856">
          <cell r="G856">
            <v>29815118</v>
          </cell>
        </row>
      </sheetData>
      <sheetData sheetId="16">
        <row r="9">
          <cell r="G9">
            <v>45651865</v>
          </cell>
        </row>
        <row r="22">
          <cell r="G22">
            <v>2195173</v>
          </cell>
        </row>
        <row r="29">
          <cell r="G29">
            <v>447418</v>
          </cell>
        </row>
        <row r="36">
          <cell r="G36">
            <v>1814018</v>
          </cell>
        </row>
        <row r="43">
          <cell r="G43">
            <v>2038674</v>
          </cell>
        </row>
        <row r="50">
          <cell r="G50">
            <v>8559402</v>
          </cell>
        </row>
        <row r="57">
          <cell r="G57">
            <v>1631400</v>
          </cell>
        </row>
        <row r="64">
          <cell r="G64">
            <v>2039100</v>
          </cell>
        </row>
        <row r="71">
          <cell r="G71">
            <v>0</v>
          </cell>
        </row>
        <row r="79">
          <cell r="G79">
            <v>1545000</v>
          </cell>
        </row>
        <row r="87">
          <cell r="G87">
            <v>1699698</v>
          </cell>
        </row>
        <row r="103">
          <cell r="G103">
            <v>6265379</v>
          </cell>
        </row>
        <row r="129">
          <cell r="G129">
            <v>1532790</v>
          </cell>
        </row>
        <row r="145">
          <cell r="G145">
            <v>0</v>
          </cell>
        </row>
        <row r="150">
          <cell r="G150">
            <v>0</v>
          </cell>
        </row>
        <row r="155">
          <cell r="G155">
            <v>0</v>
          </cell>
        </row>
        <row r="159">
          <cell r="G159">
            <v>9899403</v>
          </cell>
        </row>
        <row r="173">
          <cell r="G173">
            <v>0</v>
          </cell>
        </row>
        <row r="178">
          <cell r="G178">
            <v>2861450</v>
          </cell>
        </row>
        <row r="189">
          <cell r="G189">
            <v>2189062</v>
          </cell>
        </row>
        <row r="197">
          <cell r="G197">
            <v>8983206</v>
          </cell>
        </row>
        <row r="223">
          <cell r="G223">
            <v>19081805</v>
          </cell>
        </row>
        <row r="236">
          <cell r="G236">
            <v>8167788</v>
          </cell>
        </row>
        <row r="245">
          <cell r="G245">
            <v>0</v>
          </cell>
        </row>
        <row r="254">
          <cell r="G254">
            <v>42030010</v>
          </cell>
        </row>
        <row r="292">
          <cell r="G292">
            <v>8997997</v>
          </cell>
        </row>
        <row r="307">
          <cell r="G307">
            <v>53387856</v>
          </cell>
        </row>
        <row r="329">
          <cell r="G329">
            <v>39469486</v>
          </cell>
        </row>
        <row r="370">
          <cell r="G370">
            <v>69122408</v>
          </cell>
        </row>
        <row r="430">
          <cell r="G430">
            <v>14042589</v>
          </cell>
        </row>
      </sheetData>
      <sheetData sheetId="17">
        <row r="10">
          <cell r="G10">
            <v>138971568</v>
          </cell>
        </row>
        <row r="26">
          <cell r="G26">
            <v>10594377</v>
          </cell>
        </row>
        <row r="34">
          <cell r="G34">
            <v>2095583</v>
          </cell>
        </row>
        <row r="41">
          <cell r="G41">
            <v>10594377</v>
          </cell>
        </row>
        <row r="49">
          <cell r="G49">
            <v>6452683</v>
          </cell>
        </row>
        <row r="56">
          <cell r="G56">
            <v>30115908</v>
          </cell>
        </row>
        <row r="65">
          <cell r="G65">
            <v>5646600</v>
          </cell>
        </row>
        <row r="74">
          <cell r="G74">
            <v>7059900</v>
          </cell>
        </row>
        <row r="82">
          <cell r="G82">
            <v>0</v>
          </cell>
        </row>
        <row r="88">
          <cell r="G88">
            <v>0</v>
          </cell>
        </row>
        <row r="97">
          <cell r="G97">
            <v>2878284</v>
          </cell>
        </row>
        <row r="107">
          <cell r="G107">
            <v>1265886</v>
          </cell>
        </row>
        <row r="119">
          <cell r="G119">
            <v>1545000</v>
          </cell>
        </row>
        <row r="127">
          <cell r="G127">
            <v>2018743</v>
          </cell>
        </row>
        <row r="145">
          <cell r="G145">
            <v>413253</v>
          </cell>
        </row>
        <row r="155">
          <cell r="G155">
            <v>33099619</v>
          </cell>
        </row>
        <row r="177">
          <cell r="G177">
            <v>2017510</v>
          </cell>
        </row>
        <row r="187">
          <cell r="G187">
            <v>6930815</v>
          </cell>
        </row>
        <row r="202">
          <cell r="G202">
            <v>394000</v>
          </cell>
        </row>
        <row r="223">
          <cell r="G223">
            <v>12458174</v>
          </cell>
        </row>
        <row r="232">
          <cell r="G232">
            <v>7400412.22</v>
          </cell>
        </row>
        <row r="252">
          <cell r="G252">
            <v>784687978.68</v>
          </cell>
        </row>
        <row r="253">
          <cell r="G253">
            <v>530863202</v>
          </cell>
        </row>
        <row r="363">
          <cell r="G363">
            <v>6944766.68</v>
          </cell>
        </row>
        <row r="375">
          <cell r="G375">
            <v>164591040</v>
          </cell>
        </row>
        <row r="483">
          <cell r="G483">
            <v>82288970</v>
          </cell>
        </row>
        <row r="543">
          <cell r="G543">
            <v>50924205</v>
          </cell>
        </row>
        <row r="544">
          <cell r="G544">
            <v>44396715</v>
          </cell>
        </row>
        <row r="545">
          <cell r="G545">
            <v>0</v>
          </cell>
        </row>
        <row r="550">
          <cell r="G550">
            <v>14775272</v>
          </cell>
        </row>
        <row r="574">
          <cell r="G574">
            <v>29621443</v>
          </cell>
        </row>
        <row r="590">
          <cell r="G590">
            <v>6527490</v>
          </cell>
        </row>
        <row r="591">
          <cell r="G591">
            <v>6527490</v>
          </cell>
        </row>
        <row r="607">
          <cell r="G607">
            <v>383890</v>
          </cell>
        </row>
        <row r="608">
          <cell r="G608">
            <v>0</v>
          </cell>
        </row>
        <row r="621">
          <cell r="G621">
            <v>0</v>
          </cell>
        </row>
        <row r="627">
          <cell r="G627">
            <v>383890</v>
          </cell>
        </row>
        <row r="634">
          <cell r="G634">
            <v>0</v>
          </cell>
        </row>
        <row r="639">
          <cell r="G639">
            <v>69793099</v>
          </cell>
        </row>
        <row r="640">
          <cell r="G640">
            <v>69793099</v>
          </cell>
        </row>
        <row r="655">
          <cell r="G655">
            <v>436674568</v>
          </cell>
        </row>
        <row r="656">
          <cell r="G656">
            <v>395572682</v>
          </cell>
        </row>
        <row r="663">
          <cell r="G663">
            <v>3671319</v>
          </cell>
        </row>
        <row r="674">
          <cell r="G674">
            <v>25405000</v>
          </cell>
        </row>
        <row r="710">
          <cell r="G710">
            <v>8091560</v>
          </cell>
        </row>
        <row r="734">
          <cell r="G734">
            <v>3934007</v>
          </cell>
        </row>
      </sheetData>
      <sheetData sheetId="18">
        <row r="6">
          <cell r="G6">
            <v>752175128</v>
          </cell>
        </row>
        <row r="9">
          <cell r="G9">
            <v>44499798</v>
          </cell>
        </row>
        <row r="22">
          <cell r="G22">
            <v>2067479</v>
          </cell>
        </row>
        <row r="29">
          <cell r="G29">
            <v>384121</v>
          </cell>
        </row>
        <row r="36">
          <cell r="G36">
            <v>2067481</v>
          </cell>
        </row>
        <row r="43">
          <cell r="G43">
            <v>1939761</v>
          </cell>
        </row>
        <row r="50">
          <cell r="G50">
            <v>8240296</v>
          </cell>
        </row>
        <row r="57">
          <cell r="G57">
            <v>1569800</v>
          </cell>
        </row>
        <row r="64">
          <cell r="G64">
            <v>1962300</v>
          </cell>
        </row>
        <row r="71">
          <cell r="G71">
            <v>0</v>
          </cell>
        </row>
        <row r="77">
          <cell r="G77">
            <v>0</v>
          </cell>
        </row>
        <row r="82">
          <cell r="G82">
            <v>1545000</v>
          </cell>
        </row>
        <row r="90">
          <cell r="G90">
            <v>2196777</v>
          </cell>
        </row>
        <row r="115">
          <cell r="G115">
            <v>2548748</v>
          </cell>
        </row>
        <row r="131">
          <cell r="G131">
            <v>3204670</v>
          </cell>
        </row>
        <row r="148">
          <cell r="G148">
            <v>34507019</v>
          </cell>
        </row>
        <row r="154">
          <cell r="G154">
            <v>56758150</v>
          </cell>
        </row>
        <row r="160">
          <cell r="G160">
            <v>0</v>
          </cell>
        </row>
        <row r="167">
          <cell r="G167">
            <v>2150640</v>
          </cell>
        </row>
        <row r="175">
          <cell r="G175">
            <v>28658957</v>
          </cell>
        </row>
        <row r="183">
          <cell r="G183">
            <v>13134148</v>
          </cell>
        </row>
        <row r="203">
          <cell r="G203">
            <v>2432853</v>
          </cell>
        </row>
        <row r="218">
          <cell r="G218">
            <v>0</v>
          </cell>
        </row>
        <row r="223">
          <cell r="G223">
            <v>0</v>
          </cell>
        </row>
        <row r="228">
          <cell r="G228">
            <v>35295111</v>
          </cell>
        </row>
        <row r="268">
          <cell r="G268">
            <v>39817328</v>
          </cell>
        </row>
        <row r="315">
          <cell r="G315">
            <v>27403995</v>
          </cell>
        </row>
        <row r="367">
          <cell r="G367">
            <v>20330470</v>
          </cell>
        </row>
        <row r="408">
          <cell r="G408">
            <v>3244054</v>
          </cell>
        </row>
        <row r="418">
          <cell r="G418">
            <v>6687922</v>
          </cell>
        </row>
        <row r="430">
          <cell r="G430">
            <v>1230864</v>
          </cell>
        </row>
        <row r="440">
          <cell r="G440">
            <v>20016136</v>
          </cell>
        </row>
        <row r="451">
          <cell r="G451">
            <v>203837511</v>
          </cell>
        </row>
        <row r="469">
          <cell r="G469">
            <v>0</v>
          </cell>
        </row>
        <row r="474">
          <cell r="G474">
            <v>14056068</v>
          </cell>
        </row>
        <row r="483">
          <cell r="G483">
            <v>9643998</v>
          </cell>
        </row>
        <row r="492">
          <cell r="G492">
            <v>350000</v>
          </cell>
        </row>
        <row r="500">
          <cell r="G500">
            <v>1423356</v>
          </cell>
        </row>
        <row r="514">
          <cell r="G514">
            <v>12505169</v>
          </cell>
        </row>
        <row r="531">
          <cell r="G531">
            <v>69998856</v>
          </cell>
        </row>
        <row r="572">
          <cell r="G572">
            <v>20135623</v>
          </cell>
        </row>
        <row r="587">
          <cell r="G587">
            <v>28400000</v>
          </cell>
        </row>
        <row r="593">
          <cell r="G593">
            <v>5953380</v>
          </cell>
        </row>
        <row r="604">
          <cell r="G604">
            <v>21977289</v>
          </cell>
        </row>
        <row r="641">
          <cell r="G641">
            <v>0</v>
          </cell>
        </row>
      </sheetData>
      <sheetData sheetId="19">
        <row r="9">
          <cell r="G9">
            <v>25915428</v>
          </cell>
        </row>
        <row r="28">
          <cell r="G28">
            <v>2054802</v>
          </cell>
        </row>
        <row r="38">
          <cell r="G38">
            <v>276003</v>
          </cell>
        </row>
        <row r="47">
          <cell r="G47">
            <v>2054802</v>
          </cell>
        </row>
        <row r="57">
          <cell r="G57">
            <v>1047107</v>
          </cell>
        </row>
        <row r="64">
          <cell r="G64">
            <v>3853001</v>
          </cell>
        </row>
        <row r="72">
          <cell r="G72">
            <v>5465465</v>
          </cell>
        </row>
        <row r="80">
          <cell r="G80">
            <v>963820</v>
          </cell>
        </row>
        <row r="88">
          <cell r="G88">
            <v>1204890</v>
          </cell>
        </row>
        <row r="95">
          <cell r="G95">
            <v>0</v>
          </cell>
        </row>
        <row r="101">
          <cell r="G101">
            <v>17400000</v>
          </cell>
        </row>
        <row r="110">
          <cell r="G110">
            <v>10659163</v>
          </cell>
        </row>
        <row r="123">
          <cell r="G123">
            <v>1107550</v>
          </cell>
        </row>
        <row r="131">
          <cell r="G131">
            <v>4367516</v>
          </cell>
        </row>
        <row r="144">
          <cell r="G144">
            <v>7171890</v>
          </cell>
        </row>
        <row r="157">
          <cell r="G157">
            <v>3550969</v>
          </cell>
        </row>
        <row r="187">
          <cell r="G187">
            <v>10291875</v>
          </cell>
        </row>
        <row r="198">
          <cell r="G198">
            <v>6980258</v>
          </cell>
        </row>
        <row r="224">
          <cell r="G224">
            <v>2932346</v>
          </cell>
        </row>
        <row r="232">
          <cell r="G232">
            <v>787090</v>
          </cell>
        </row>
        <row r="242">
          <cell r="G242">
            <v>574600</v>
          </cell>
        </row>
        <row r="285">
          <cell r="G285">
            <v>11641767</v>
          </cell>
        </row>
        <row r="296">
          <cell r="G296">
            <v>2556372</v>
          </cell>
        </row>
        <row r="307">
          <cell r="G307">
            <v>14800073.819999998</v>
          </cell>
        </row>
        <row r="334">
          <cell r="G334">
            <v>269310139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7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10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6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5"/>
  <sheetViews>
    <sheetView tabSelected="1" zoomScale="75" zoomScaleNormal="75" zoomScalePageLayoutView="0" workbookViewId="0" topLeftCell="A1">
      <pane xSplit="1" ySplit="10" topLeftCell="B1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6" sqref="A26"/>
    </sheetView>
  </sheetViews>
  <sheetFormatPr defaultColWidth="11.421875" defaultRowHeight="12.75" outlineLevelCol="2"/>
  <cols>
    <col min="1" max="1" width="38.28125" style="240" customWidth="1"/>
    <col min="2" max="2" width="19.8515625" style="240" customWidth="1"/>
    <col min="3" max="3" width="3.57421875" style="240" hidden="1" customWidth="1" outlineLevel="1"/>
    <col min="4" max="4" width="18.57421875" style="240" hidden="1" customWidth="1" outlineLevel="1"/>
    <col min="5" max="5" width="18.140625" style="240" hidden="1" customWidth="1" outlineLevel="1"/>
    <col min="6" max="7" width="18.7109375" style="240" hidden="1" customWidth="1" outlineLevel="1"/>
    <col min="8" max="8" width="21.00390625" style="239" customWidth="1" collapsed="1"/>
    <col min="9" max="9" width="22.00390625" style="239" hidden="1" customWidth="1" outlineLevel="2"/>
    <col min="10" max="10" width="20.57421875" style="239" hidden="1" customWidth="1" outlineLevel="2"/>
    <col min="11" max="11" width="28.00390625" style="239" hidden="1" customWidth="1" outlineLevel="1"/>
    <col min="12" max="12" width="22.57421875" style="239" hidden="1" customWidth="1" outlineLevel="2" collapsed="1"/>
    <col min="13" max="13" width="20.421875" style="239" hidden="1" customWidth="1" outlineLevel="2"/>
    <col min="14" max="14" width="27.00390625" style="239" hidden="1" customWidth="1" outlineLevel="1"/>
    <col min="15" max="15" width="22.421875" style="239" hidden="1" customWidth="1" outlineLevel="2"/>
    <col min="16" max="16" width="19.140625" style="239" hidden="1" customWidth="1" outlineLevel="2"/>
    <col min="17" max="17" width="25.57421875" style="239" hidden="1" customWidth="1" outlineLevel="1"/>
    <col min="18" max="18" width="31.00390625" style="239" hidden="1" customWidth="1" outlineLevel="2"/>
    <col min="19" max="19" width="22.7109375" style="239" hidden="1" customWidth="1" outlineLevel="2"/>
    <col min="20" max="20" width="29.8515625" style="239" hidden="1" customWidth="1" outlineLevel="1"/>
    <col min="21" max="21" width="20.140625" style="239" hidden="1" customWidth="1" collapsed="1"/>
    <col min="22" max="22" width="21.7109375" style="239" hidden="1" customWidth="1" outlineLevel="1"/>
    <col min="23" max="23" width="18.57421875" style="239" hidden="1" customWidth="1" outlineLevel="1"/>
    <col min="24" max="24" width="22.421875" style="239" hidden="1" customWidth="1" outlineLevel="1"/>
    <col min="25" max="25" width="21.421875" style="239" hidden="1" customWidth="1" outlineLevel="1"/>
    <col min="26" max="26" width="20.7109375" style="239" bestFit="1" customWidth="1" collapsed="1"/>
    <col min="27" max="27" width="19.8515625" style="239" hidden="1" customWidth="1"/>
    <col min="28" max="28" width="17.421875" style="239" hidden="1" customWidth="1" outlineLevel="1"/>
    <col min="29" max="29" width="16.28125" style="239" hidden="1" customWidth="1" outlineLevel="1"/>
    <col min="30" max="30" width="17.7109375" style="239" hidden="1" customWidth="1" outlineLevel="1"/>
    <col min="31" max="31" width="21.421875" style="239" hidden="1" customWidth="1" outlineLevel="1"/>
    <col min="32" max="32" width="19.00390625" style="239" hidden="1" customWidth="1" collapsed="1"/>
    <col min="33" max="33" width="22.140625" style="239" hidden="1" customWidth="1"/>
    <col min="34" max="34" width="19.421875" style="239" hidden="1" customWidth="1" outlineLevel="1"/>
    <col min="35" max="35" width="13.421875" style="239" hidden="1" customWidth="1" outlineLevel="1"/>
    <col min="36" max="37" width="13.140625" style="239" hidden="1" customWidth="1" outlineLevel="1"/>
    <col min="38" max="38" width="16.57421875" style="239" customWidth="1" outlineLevel="1"/>
    <col min="39" max="39" width="11.00390625" style="239" customWidth="1"/>
    <col min="40" max="40" width="16.00390625" style="239" bestFit="1" customWidth="1"/>
    <col min="41" max="41" width="18.28125" style="239" bestFit="1" customWidth="1"/>
    <col min="42" max="54" width="11.421875" style="239" customWidth="1"/>
    <col min="55" max="16384" width="11.421875" style="240" customWidth="1"/>
  </cols>
  <sheetData>
    <row r="1" spans="1:8" ht="15">
      <c r="A1" s="238"/>
      <c r="B1" s="239"/>
      <c r="C1" s="238"/>
      <c r="D1" s="238"/>
      <c r="E1" s="238"/>
      <c r="F1" s="238"/>
      <c r="G1" s="238"/>
      <c r="H1" s="238"/>
    </row>
    <row r="2" spans="1:32" ht="15">
      <c r="A2" s="668" t="s">
        <v>0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</row>
    <row r="3" spans="1:33" ht="15">
      <c r="A3" s="668" t="s">
        <v>314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</row>
    <row r="4" spans="1:32" ht="15">
      <c r="A4" s="668" t="s">
        <v>235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</row>
    <row r="5" spans="1:32" ht="15">
      <c r="A5" s="668"/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</row>
    <row r="6" spans="1:32" ht="15">
      <c r="A6" s="668"/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8"/>
      <c r="AA6" s="668"/>
      <c r="AB6" s="668"/>
      <c r="AC6" s="668"/>
      <c r="AD6" s="668"/>
      <c r="AE6" s="668"/>
      <c r="AF6" s="668"/>
    </row>
    <row r="7" spans="1:34" ht="15.75" thickBot="1">
      <c r="A7" s="241"/>
      <c r="B7" s="241"/>
      <c r="C7" s="241"/>
      <c r="D7" s="241"/>
      <c r="E7" s="241"/>
      <c r="F7" s="241"/>
      <c r="G7" s="241"/>
      <c r="H7" s="241"/>
      <c r="U7" s="271"/>
      <c r="V7" s="271"/>
      <c r="W7" s="271"/>
      <c r="AH7" s="271"/>
    </row>
    <row r="8" spans="1:39" ht="15.75" customHeight="1">
      <c r="A8" s="669" t="s">
        <v>236</v>
      </c>
      <c r="B8" s="242" t="s">
        <v>3</v>
      </c>
      <c r="C8" s="663" t="s">
        <v>232</v>
      </c>
      <c r="D8" s="663" t="s">
        <v>227</v>
      </c>
      <c r="E8" s="663" t="s">
        <v>281</v>
      </c>
      <c r="F8" s="663" t="s">
        <v>286</v>
      </c>
      <c r="G8" s="663" t="s">
        <v>304</v>
      </c>
      <c r="H8" s="243" t="s">
        <v>3</v>
      </c>
      <c r="I8" s="243" t="s">
        <v>5</v>
      </c>
      <c r="J8" s="663" t="s">
        <v>288</v>
      </c>
      <c r="K8" s="243" t="s">
        <v>237</v>
      </c>
      <c r="L8" s="243" t="s">
        <v>5</v>
      </c>
      <c r="M8" s="663" t="s">
        <v>290</v>
      </c>
      <c r="N8" s="243" t="s">
        <v>237</v>
      </c>
      <c r="O8" s="243" t="s">
        <v>5</v>
      </c>
      <c r="P8" s="243" t="s">
        <v>309</v>
      </c>
      <c r="Q8" s="243" t="s">
        <v>238</v>
      </c>
      <c r="R8" s="243" t="s">
        <v>5</v>
      </c>
      <c r="S8" s="243" t="s">
        <v>355</v>
      </c>
      <c r="T8" s="243" t="s">
        <v>238</v>
      </c>
      <c r="U8" s="243" t="s">
        <v>5</v>
      </c>
      <c r="V8" s="488" t="s">
        <v>239</v>
      </c>
      <c r="W8" s="488" t="s">
        <v>239</v>
      </c>
      <c r="X8" s="488" t="s">
        <v>239</v>
      </c>
      <c r="Y8" s="488" t="s">
        <v>239</v>
      </c>
      <c r="Z8" s="243" t="s">
        <v>239</v>
      </c>
      <c r="AA8" s="243" t="s">
        <v>9</v>
      </c>
      <c r="AB8" s="663" t="s">
        <v>240</v>
      </c>
      <c r="AC8" s="663" t="s">
        <v>241</v>
      </c>
      <c r="AD8" s="663" t="s">
        <v>242</v>
      </c>
      <c r="AE8" s="663" t="s">
        <v>243</v>
      </c>
      <c r="AF8" s="243" t="s">
        <v>244</v>
      </c>
      <c r="AG8" s="663" t="s">
        <v>156</v>
      </c>
      <c r="AH8" s="663" t="s">
        <v>240</v>
      </c>
      <c r="AI8" s="663" t="s">
        <v>241</v>
      </c>
      <c r="AJ8" s="663" t="s">
        <v>242</v>
      </c>
      <c r="AK8" s="663" t="s">
        <v>243</v>
      </c>
      <c r="AL8" s="663" t="s">
        <v>443</v>
      </c>
      <c r="AM8" s="243" t="s">
        <v>244</v>
      </c>
    </row>
    <row r="9" spans="1:39" ht="15">
      <c r="A9" s="670"/>
      <c r="B9" s="244" t="s">
        <v>245</v>
      </c>
      <c r="C9" s="666"/>
      <c r="D9" s="666"/>
      <c r="E9" s="666"/>
      <c r="F9" s="666"/>
      <c r="G9" s="666"/>
      <c r="H9" s="245" t="s">
        <v>83</v>
      </c>
      <c r="I9" s="245" t="s">
        <v>246</v>
      </c>
      <c r="J9" s="666"/>
      <c r="K9" s="245" t="s">
        <v>246</v>
      </c>
      <c r="L9" s="245" t="s">
        <v>247</v>
      </c>
      <c r="M9" s="666"/>
      <c r="N9" s="245" t="s">
        <v>247</v>
      </c>
      <c r="O9" s="245" t="s">
        <v>248</v>
      </c>
      <c r="P9" s="245"/>
      <c r="Q9" s="245" t="s">
        <v>248</v>
      </c>
      <c r="R9" s="245" t="s">
        <v>249</v>
      </c>
      <c r="S9" s="245"/>
      <c r="T9" s="245" t="s">
        <v>249</v>
      </c>
      <c r="U9" s="245" t="s">
        <v>85</v>
      </c>
      <c r="V9" s="489" t="s">
        <v>246</v>
      </c>
      <c r="W9" s="489" t="s">
        <v>247</v>
      </c>
      <c r="X9" s="489" t="s">
        <v>250</v>
      </c>
      <c r="Y9" s="489" t="s">
        <v>251</v>
      </c>
      <c r="Z9" s="245" t="s">
        <v>446</v>
      </c>
      <c r="AA9" s="245" t="s">
        <v>252</v>
      </c>
      <c r="AB9" s="664"/>
      <c r="AC9" s="664"/>
      <c r="AD9" s="664"/>
      <c r="AE9" s="664"/>
      <c r="AF9" s="245" t="s">
        <v>85</v>
      </c>
      <c r="AG9" s="666"/>
      <c r="AH9" s="664"/>
      <c r="AI9" s="664"/>
      <c r="AJ9" s="664"/>
      <c r="AK9" s="664"/>
      <c r="AL9" s="664"/>
      <c r="AM9" s="245" t="s">
        <v>85</v>
      </c>
    </row>
    <row r="10" spans="1:39" ht="15.75" thickBot="1">
      <c r="A10" s="671"/>
      <c r="B10" s="246" t="s">
        <v>253</v>
      </c>
      <c r="C10" s="667"/>
      <c r="D10" s="667"/>
      <c r="E10" s="667"/>
      <c r="F10" s="667"/>
      <c r="G10" s="667"/>
      <c r="H10" s="247" t="s">
        <v>253</v>
      </c>
      <c r="I10" s="247" t="s">
        <v>254</v>
      </c>
      <c r="J10" s="667"/>
      <c r="K10" s="247" t="s">
        <v>253</v>
      </c>
      <c r="L10" s="247" t="s">
        <v>254</v>
      </c>
      <c r="M10" s="667"/>
      <c r="N10" s="247" t="s">
        <v>253</v>
      </c>
      <c r="O10" s="247" t="s">
        <v>254</v>
      </c>
      <c r="P10" s="247"/>
      <c r="Q10" s="247" t="s">
        <v>253</v>
      </c>
      <c r="R10" s="247" t="s">
        <v>254</v>
      </c>
      <c r="S10" s="247"/>
      <c r="T10" s="247" t="s">
        <v>253</v>
      </c>
      <c r="U10" s="247">
        <v>2011</v>
      </c>
      <c r="V10" s="490" t="s">
        <v>253</v>
      </c>
      <c r="W10" s="490" t="s">
        <v>253</v>
      </c>
      <c r="X10" s="490" t="s">
        <v>253</v>
      </c>
      <c r="Y10" s="490" t="s">
        <v>253</v>
      </c>
      <c r="Z10" s="247">
        <v>2011</v>
      </c>
      <c r="AA10" s="247"/>
      <c r="AB10" s="665"/>
      <c r="AC10" s="665"/>
      <c r="AD10" s="665"/>
      <c r="AE10" s="665"/>
      <c r="AF10" s="247"/>
      <c r="AG10" s="667"/>
      <c r="AH10" s="665"/>
      <c r="AI10" s="665"/>
      <c r="AJ10" s="665"/>
      <c r="AK10" s="665"/>
      <c r="AL10" s="665"/>
      <c r="AM10" s="247"/>
    </row>
    <row r="11" spans="1:39" ht="15">
      <c r="A11" s="248" t="s">
        <v>255</v>
      </c>
      <c r="B11" s="249">
        <f aca="true" t="shared" si="0" ref="B11:Y11">+B13+B17+B21</f>
        <v>10643956590.052355</v>
      </c>
      <c r="C11" s="250">
        <f t="shared" si="0"/>
        <v>-84645860</v>
      </c>
      <c r="D11" s="250">
        <f t="shared" si="0"/>
        <v>-12991478</v>
      </c>
      <c r="E11" s="250">
        <f t="shared" si="0"/>
        <v>0</v>
      </c>
      <c r="F11" s="250">
        <f t="shared" si="0"/>
        <v>443893988</v>
      </c>
      <c r="G11" s="250">
        <f t="shared" si="0"/>
        <v>-2450000</v>
      </c>
      <c r="H11" s="251">
        <f t="shared" si="0"/>
        <v>10987763240.052355</v>
      </c>
      <c r="I11" s="380">
        <f t="shared" si="0"/>
        <v>2291114189</v>
      </c>
      <c r="J11" s="252">
        <f t="shared" si="0"/>
        <v>-167653712.94</v>
      </c>
      <c r="K11" s="380">
        <f t="shared" si="0"/>
        <v>2123460476.06</v>
      </c>
      <c r="L11" s="380">
        <f t="shared" si="0"/>
        <v>2561217819</v>
      </c>
      <c r="M11" s="252">
        <f t="shared" si="0"/>
        <v>-191661165.00000012</v>
      </c>
      <c r="N11" s="380">
        <f t="shared" si="0"/>
        <v>2369556654</v>
      </c>
      <c r="O11" s="380">
        <f t="shared" si="0"/>
        <v>2644941247</v>
      </c>
      <c r="P11" s="380">
        <f t="shared" si="0"/>
        <v>-167631032.940001</v>
      </c>
      <c r="Q11" s="380">
        <f t="shared" si="0"/>
        <v>2477904660</v>
      </c>
      <c r="R11" s="380">
        <f t="shared" si="0"/>
        <v>2813583946.4454613</v>
      </c>
      <c r="S11" s="380">
        <f t="shared" si="0"/>
        <v>0</v>
      </c>
      <c r="T11" s="380">
        <f t="shared" si="0"/>
        <v>2934222904.882726</v>
      </c>
      <c r="U11" s="380">
        <f t="shared" si="0"/>
        <v>9905144694.942728</v>
      </c>
      <c r="V11" s="469">
        <f t="shared" si="0"/>
        <v>2123460476.06</v>
      </c>
      <c r="W11" s="470">
        <f t="shared" si="0"/>
        <v>2369556653.75</v>
      </c>
      <c r="X11" s="470">
        <f t="shared" si="0"/>
        <v>2517912539</v>
      </c>
      <c r="Y11" s="470">
        <f t="shared" si="0"/>
        <v>4135588013</v>
      </c>
      <c r="Z11" s="253">
        <f>+V11+W11+X11+Y11</f>
        <v>11146517681.81</v>
      </c>
      <c r="AA11" s="253">
        <f>+H11-Z11</f>
        <v>-158754441.75764465</v>
      </c>
      <c r="AB11" s="253">
        <f>+K11-V11</f>
        <v>0</v>
      </c>
      <c r="AC11" s="253">
        <f>+N11-W11</f>
        <v>0.25</v>
      </c>
      <c r="AD11" s="253">
        <f>+Q11-X11</f>
        <v>-40007879</v>
      </c>
      <c r="AE11" s="253">
        <f>+T11-Y11</f>
        <v>-1201365108.1172738</v>
      </c>
      <c r="AF11" s="253">
        <f>+U11</f>
        <v>9905144694.942728</v>
      </c>
      <c r="AG11" s="253">
        <f>+H11-U11</f>
        <v>1082618545.1096268</v>
      </c>
      <c r="AH11" s="254">
        <f>+V11/I11</f>
        <v>0.926824374906789</v>
      </c>
      <c r="AI11" s="254">
        <f>+W11/L11</f>
        <v>0.9251679557169284</v>
      </c>
      <c r="AJ11" s="254">
        <f>+X11/O11</f>
        <v>0.9519729566227298</v>
      </c>
      <c r="AK11" s="254">
        <f>+Y11/R11</f>
        <v>1.4698648029409933</v>
      </c>
      <c r="AL11" s="650">
        <f>+Z11-H11</f>
        <v>158754441.75764465</v>
      </c>
      <c r="AM11" s="651">
        <f>+Z11/H11</f>
        <v>1.014448294733814</v>
      </c>
    </row>
    <row r="12" spans="1:39" ht="13.5" customHeight="1">
      <c r="A12" s="256"/>
      <c r="B12" s="257"/>
      <c r="C12" s="258"/>
      <c r="D12" s="258"/>
      <c r="E12" s="258"/>
      <c r="F12" s="258"/>
      <c r="G12" s="258"/>
      <c r="H12" s="259"/>
      <c r="I12" s="381"/>
      <c r="J12" s="260"/>
      <c r="K12" s="381"/>
      <c r="L12" s="381"/>
      <c r="M12" s="260"/>
      <c r="N12" s="381"/>
      <c r="O12" s="381"/>
      <c r="P12" s="381"/>
      <c r="Q12" s="381"/>
      <c r="R12" s="381"/>
      <c r="S12" s="381"/>
      <c r="T12" s="381"/>
      <c r="U12" s="305">
        <f>+K12+N12+Q12+T12</f>
        <v>0</v>
      </c>
      <c r="V12" s="471"/>
      <c r="W12" s="472"/>
      <c r="X12" s="472"/>
      <c r="Y12" s="472"/>
      <c r="Z12" s="259"/>
      <c r="AA12" s="259"/>
      <c r="AB12" s="259"/>
      <c r="AC12" s="259"/>
      <c r="AD12" s="259"/>
      <c r="AE12" s="259"/>
      <c r="AF12" s="259"/>
      <c r="AG12" s="259">
        <f>+E11-AF12</f>
        <v>0</v>
      </c>
      <c r="AH12" s="263"/>
      <c r="AI12" s="264"/>
      <c r="AJ12" s="264"/>
      <c r="AK12" s="264"/>
      <c r="AL12" s="264"/>
      <c r="AM12" s="255"/>
    </row>
    <row r="13" spans="1:40" ht="15">
      <c r="A13" s="265" t="s">
        <v>256</v>
      </c>
      <c r="B13" s="266">
        <f>+B14+CUOTAPPC2005</f>
        <v>9160819531.50546</v>
      </c>
      <c r="C13" s="250">
        <f aca="true" t="shared" si="1" ref="C13:U13">+SUM(C14:C15)</f>
        <v>0</v>
      </c>
      <c r="D13" s="250">
        <f t="shared" si="1"/>
        <v>0</v>
      </c>
      <c r="E13" s="250">
        <f t="shared" si="1"/>
        <v>0</v>
      </c>
      <c r="F13" s="250">
        <f t="shared" si="1"/>
        <v>443893988</v>
      </c>
      <c r="G13" s="250">
        <f t="shared" si="1"/>
        <v>0</v>
      </c>
      <c r="H13" s="251">
        <f t="shared" si="1"/>
        <v>9604713519.50546</v>
      </c>
      <c r="I13" s="251">
        <f t="shared" si="1"/>
        <v>1994614189</v>
      </c>
      <c r="J13" s="267">
        <f t="shared" si="1"/>
        <v>103467205</v>
      </c>
      <c r="K13" s="251">
        <f t="shared" si="1"/>
        <v>2098081394</v>
      </c>
      <c r="L13" s="251">
        <f t="shared" si="1"/>
        <v>2291717819</v>
      </c>
      <c r="M13" s="251">
        <f t="shared" si="1"/>
        <v>71272003.24999988</v>
      </c>
      <c r="N13" s="251">
        <f t="shared" si="1"/>
        <v>2362989822.25</v>
      </c>
      <c r="O13" s="251">
        <f t="shared" si="1"/>
        <v>2408025288</v>
      </c>
      <c r="P13" s="251">
        <f t="shared" si="1"/>
        <v>0</v>
      </c>
      <c r="Q13" s="251">
        <f t="shared" si="1"/>
        <v>2408025288</v>
      </c>
      <c r="R13" s="251">
        <f t="shared" si="1"/>
        <v>2735617015.255461</v>
      </c>
      <c r="S13" s="251">
        <f t="shared" si="1"/>
        <v>0</v>
      </c>
      <c r="T13" s="251">
        <f t="shared" si="1"/>
        <v>2735617015.255461</v>
      </c>
      <c r="U13" s="251">
        <f t="shared" si="1"/>
        <v>9604713519.505463</v>
      </c>
      <c r="V13" s="473">
        <f>+V14+V15</f>
        <v>2098081394</v>
      </c>
      <c r="W13" s="474">
        <f>+W14+W15</f>
        <v>2362989822</v>
      </c>
      <c r="X13" s="474">
        <f>+X14+X15</f>
        <v>2516679283.5</v>
      </c>
      <c r="Y13" s="474">
        <f>+Y14+Y15</f>
        <v>2800566904</v>
      </c>
      <c r="Z13" s="253">
        <f>+V13+W13+X13+Y13</f>
        <v>9778317403.5</v>
      </c>
      <c r="AA13" s="268">
        <f>+H13-Z13</f>
        <v>-173603883.99453926</v>
      </c>
      <c r="AB13" s="253">
        <f>+K13-V13</f>
        <v>0</v>
      </c>
      <c r="AC13" s="253">
        <f>+N13-W13</f>
        <v>0.25</v>
      </c>
      <c r="AD13" s="253">
        <f>+Q13-X13</f>
        <v>-108653995.5</v>
      </c>
      <c r="AE13" s="253">
        <f>+T13-Y13</f>
        <v>-64949888.744538784</v>
      </c>
      <c r="AF13" s="253">
        <f>+U13</f>
        <v>9604713519.505463</v>
      </c>
      <c r="AG13" s="253">
        <f>+H13-U13</f>
        <v>0</v>
      </c>
      <c r="AH13" s="254">
        <f>+V13/I13</f>
        <v>1.051873292374338</v>
      </c>
      <c r="AI13" s="254">
        <f>+W13/L13</f>
        <v>1.0310998162204368</v>
      </c>
      <c r="AJ13" s="254">
        <f>+X13/O13</f>
        <v>1.0451216173025506</v>
      </c>
      <c r="AK13" s="254">
        <f>+Y13/R13</f>
        <v>1.0237423178691822</v>
      </c>
      <c r="AL13" s="650">
        <f>+Z13-H13</f>
        <v>173603883.99453926</v>
      </c>
      <c r="AM13" s="651">
        <f>+Z13/H13</f>
        <v>1.0180748633097678</v>
      </c>
      <c r="AN13" s="638"/>
    </row>
    <row r="14" spans="1:39" ht="15">
      <c r="A14" s="256" t="s">
        <v>257</v>
      </c>
      <c r="B14" s="257">
        <v>6870614648.629096</v>
      </c>
      <c r="C14" s="258"/>
      <c r="D14" s="258"/>
      <c r="E14" s="258"/>
      <c r="F14" s="258">
        <v>332920491</v>
      </c>
      <c r="G14" s="258">
        <v>0</v>
      </c>
      <c r="H14" s="259">
        <f>+SUM(B14:G14)</f>
        <v>7203535139.629096</v>
      </c>
      <c r="I14" s="305">
        <v>1495960641.75</v>
      </c>
      <c r="J14" s="264">
        <v>77600403.75</v>
      </c>
      <c r="K14" s="305">
        <f>+I14+J14</f>
        <v>1573561045.5</v>
      </c>
      <c r="L14" s="261">
        <v>1718788364</v>
      </c>
      <c r="M14" s="261">
        <v>53454003.17999983</v>
      </c>
      <c r="N14" s="305">
        <f>+L14+M14</f>
        <v>1772242367.1799998</v>
      </c>
      <c r="O14" s="382">
        <v>1806018966</v>
      </c>
      <c r="P14" s="305"/>
      <c r="Q14" s="305">
        <f>+O14+P14</f>
        <v>1806018966</v>
      </c>
      <c r="R14" s="305">
        <f>+H14-K14-N14-Q14</f>
        <v>2051712760.9490962</v>
      </c>
      <c r="S14" s="305"/>
      <c r="T14" s="305">
        <f>+R14+S14</f>
        <v>2051712760.9490962</v>
      </c>
      <c r="U14" s="305">
        <f>+K14+N14+Q14+T14</f>
        <v>7203535139.629097</v>
      </c>
      <c r="V14" s="475">
        <v>1573561045.5</v>
      </c>
      <c r="W14" s="471">
        <v>1772242367</v>
      </c>
      <c r="X14" s="476">
        <f>3714855191.5-1816254701.87-11091027</f>
        <v>1887509462.63</v>
      </c>
      <c r="Y14" s="471">
        <v>2100437712</v>
      </c>
      <c r="Z14" s="305">
        <f>+V14+W14+X14+Y14</f>
        <v>7333750587.13</v>
      </c>
      <c r="AA14" s="305">
        <f>+H14-Z14</f>
        <v>-130215447.50090408</v>
      </c>
      <c r="AB14" s="305">
        <f>+K14-V14</f>
        <v>0</v>
      </c>
      <c r="AC14" s="253">
        <f>+N14-W14</f>
        <v>0.17999982833862305</v>
      </c>
      <c r="AD14" s="253">
        <f>+Q14-X14</f>
        <v>-81490496.63000011</v>
      </c>
      <c r="AE14" s="253">
        <f>+T14-Y14</f>
        <v>-48724951.0509038</v>
      </c>
      <c r="AF14" s="253">
        <f>+U14</f>
        <v>7203535139.629097</v>
      </c>
      <c r="AG14" s="253">
        <f>+H14-U14</f>
        <v>0</v>
      </c>
      <c r="AH14" s="263">
        <f>+V14/I14</f>
        <v>1.051873292374338</v>
      </c>
      <c r="AI14" s="263">
        <f>+W14/L14</f>
        <v>1.0310998166613141</v>
      </c>
      <c r="AJ14" s="263">
        <f>+X14/O14</f>
        <v>1.045121617305319</v>
      </c>
      <c r="AK14" s="263">
        <f>+Y14/R14</f>
        <v>1.0237484271572033</v>
      </c>
      <c r="AL14" s="641">
        <f>+Z14-H14</f>
        <v>130215447.50090408</v>
      </c>
      <c r="AM14" s="255">
        <f>+Z14/H14</f>
        <v>1.0180766033588904</v>
      </c>
    </row>
    <row r="15" spans="1:39" ht="15">
      <c r="A15" s="256" t="s">
        <v>258</v>
      </c>
      <c r="B15" s="257">
        <v>2290204882.876365</v>
      </c>
      <c r="C15" s="258"/>
      <c r="D15" s="258"/>
      <c r="E15" s="258"/>
      <c r="F15" s="258">
        <v>110973497</v>
      </c>
      <c r="G15" s="258">
        <v>0</v>
      </c>
      <c r="H15" s="259">
        <f>+SUM(B15:G15)</f>
        <v>2401178379.876365</v>
      </c>
      <c r="I15" s="305">
        <v>498653547.25</v>
      </c>
      <c r="J15" s="264">
        <v>25866801.25</v>
      </c>
      <c r="K15" s="305">
        <f>+I15+J15</f>
        <v>524520348.5</v>
      </c>
      <c r="L15" s="261">
        <v>572929455</v>
      </c>
      <c r="M15" s="261">
        <v>17818000.070000052</v>
      </c>
      <c r="N15" s="305">
        <f>+L15+M15</f>
        <v>590747455.07</v>
      </c>
      <c r="O15" s="382">
        <v>602006322</v>
      </c>
      <c r="P15" s="305"/>
      <c r="Q15" s="305">
        <f>+O15+P15</f>
        <v>602006322</v>
      </c>
      <c r="R15" s="305">
        <f>+H15-K15-N15-Q15</f>
        <v>683904254.306365</v>
      </c>
      <c r="S15" s="305"/>
      <c r="T15" s="305">
        <f>+R15+S15</f>
        <v>683904254.306365</v>
      </c>
      <c r="U15" s="305">
        <f>+K15+N15+Q15+T15</f>
        <v>2401178379.876365</v>
      </c>
      <c r="V15" s="475">
        <v>524520348.5</v>
      </c>
      <c r="W15" s="471">
        <v>590747455</v>
      </c>
      <c r="X15" s="476">
        <f>655923387.62-23056557.75-3697009</f>
        <v>629169820.87</v>
      </c>
      <c r="Y15" s="471">
        <v>700129192</v>
      </c>
      <c r="Z15" s="305">
        <f>+V15+W15+X15+Y15</f>
        <v>2444566816.37</v>
      </c>
      <c r="AA15" s="305">
        <f>+H15-Z15</f>
        <v>-43388436.4936347</v>
      </c>
      <c r="AB15" s="305">
        <f>+K15-V15</f>
        <v>0</v>
      </c>
      <c r="AC15" s="253">
        <f>+N15-W15</f>
        <v>0.0700000524520874</v>
      </c>
      <c r="AD15" s="253">
        <f>+Q15-X15</f>
        <v>-27163498.870000005</v>
      </c>
      <c r="AE15" s="253">
        <f>+T15-Y15</f>
        <v>-16224937.693634987</v>
      </c>
      <c r="AF15" s="253">
        <f>+U15</f>
        <v>2401178379.876365</v>
      </c>
      <c r="AG15" s="253">
        <f>+H15-U15</f>
        <v>0</v>
      </c>
      <c r="AH15" s="263">
        <f>+V15/I15</f>
        <v>1.051873292374338</v>
      </c>
      <c r="AI15" s="263">
        <f>+W15/L15</f>
        <v>1.0310998148978046</v>
      </c>
      <c r="AJ15" s="263">
        <f>+X15/O15</f>
        <v>1.045121617294245</v>
      </c>
      <c r="AK15" s="263">
        <f>+Y15/R15</f>
        <v>1.0237239900051371</v>
      </c>
      <c r="AL15" s="641">
        <f>+Z15-H15</f>
        <v>43388436.4936347</v>
      </c>
      <c r="AM15" s="255">
        <f>+Z15/H15</f>
        <v>1.0180696431623997</v>
      </c>
    </row>
    <row r="16" spans="1:39" ht="15">
      <c r="A16" s="256"/>
      <c r="B16" s="257"/>
      <c r="C16" s="258"/>
      <c r="D16" s="258"/>
      <c r="E16" s="258"/>
      <c r="F16" s="258"/>
      <c r="G16" s="258"/>
      <c r="H16" s="259"/>
      <c r="I16" s="305"/>
      <c r="J16" s="261"/>
      <c r="K16" s="305"/>
      <c r="L16" s="305"/>
      <c r="M16" s="261"/>
      <c r="N16" s="305">
        <f>+L16+M16</f>
        <v>0</v>
      </c>
      <c r="O16" s="305"/>
      <c r="P16" s="305"/>
      <c r="Q16" s="305"/>
      <c r="R16" s="305"/>
      <c r="S16" s="305"/>
      <c r="T16" s="305"/>
      <c r="U16" s="305">
        <f>+K16+N16+Q16+T16</f>
        <v>0</v>
      </c>
      <c r="V16" s="472"/>
      <c r="W16" s="472"/>
      <c r="X16" s="476"/>
      <c r="Y16" s="471"/>
      <c r="Z16" s="259"/>
      <c r="AA16" s="259"/>
      <c r="AB16" s="259"/>
      <c r="AC16" s="259"/>
      <c r="AD16" s="259"/>
      <c r="AE16" s="259"/>
      <c r="AF16" s="259"/>
      <c r="AG16" s="259">
        <f>+E15-AF16</f>
        <v>0</v>
      </c>
      <c r="AH16" s="263"/>
      <c r="AI16" s="264"/>
      <c r="AJ16" s="254"/>
      <c r="AK16" s="254"/>
      <c r="AL16" s="254"/>
      <c r="AM16" s="255"/>
    </row>
    <row r="17" spans="1:39" ht="15">
      <c r="A17" s="272" t="s">
        <v>259</v>
      </c>
      <c r="B17" s="273">
        <f>+B18+B19</f>
        <v>110000000</v>
      </c>
      <c r="C17" s="250">
        <f aca="true" t="shared" si="2" ref="C17:N17">+SUM(C18:C19)</f>
        <v>0</v>
      </c>
      <c r="D17" s="250">
        <f t="shared" si="2"/>
        <v>0</v>
      </c>
      <c r="E17" s="250">
        <f t="shared" si="2"/>
        <v>0</v>
      </c>
      <c r="F17" s="250">
        <f t="shared" si="2"/>
        <v>0</v>
      </c>
      <c r="G17" s="250">
        <f t="shared" si="2"/>
        <v>0</v>
      </c>
      <c r="H17" s="251">
        <f t="shared" si="2"/>
        <v>110000000</v>
      </c>
      <c r="I17" s="381">
        <f t="shared" si="2"/>
        <v>27500000</v>
      </c>
      <c r="J17" s="260">
        <f t="shared" si="2"/>
        <v>-2120917.9400000013</v>
      </c>
      <c r="K17" s="381">
        <f t="shared" si="2"/>
        <v>25379082.06</v>
      </c>
      <c r="L17" s="381">
        <f t="shared" si="2"/>
        <v>0</v>
      </c>
      <c r="M17" s="260">
        <f t="shared" si="2"/>
        <v>6566831.75</v>
      </c>
      <c r="N17" s="381">
        <f t="shared" si="2"/>
        <v>6566831.75</v>
      </c>
      <c r="O17" s="381">
        <f>+O18+O19</f>
        <v>0</v>
      </c>
      <c r="P17" s="381">
        <f>+P18+P19</f>
        <v>87155</v>
      </c>
      <c r="Q17" s="381">
        <f aca="true" t="shared" si="3" ref="Q17:V17">+SUM(Q18:Q19)</f>
        <v>87155</v>
      </c>
      <c r="R17" s="381">
        <f t="shared" si="3"/>
        <v>77966931.19</v>
      </c>
      <c r="S17" s="381">
        <f t="shared" si="3"/>
        <v>0</v>
      </c>
      <c r="T17" s="381">
        <f t="shared" si="3"/>
        <v>77966931.19</v>
      </c>
      <c r="U17" s="381">
        <f t="shared" si="3"/>
        <v>110000000</v>
      </c>
      <c r="V17" s="477">
        <f t="shared" si="3"/>
        <v>25379082.06</v>
      </c>
      <c r="W17" s="478">
        <f>+W18+W19</f>
        <v>6566831.75</v>
      </c>
      <c r="X17" s="478">
        <f>+X18+X19</f>
        <v>1233255.5</v>
      </c>
      <c r="Y17" s="478">
        <f>+Y18+Y19</f>
        <v>61971388</v>
      </c>
      <c r="Z17" s="483">
        <f>+V17+W17+X17+Y17</f>
        <v>95150557.31</v>
      </c>
      <c r="AA17" s="251">
        <f>+H17-Z17</f>
        <v>14849442.689999998</v>
      </c>
      <c r="AB17" s="253">
        <f aca="true" t="shared" si="4" ref="AB17:AB23">+K17-V17</f>
        <v>0</v>
      </c>
      <c r="AC17" s="253">
        <f>+N17-W17</f>
        <v>0</v>
      </c>
      <c r="AD17" s="253">
        <f>+Q17-X17</f>
        <v>-1146100.5</v>
      </c>
      <c r="AE17" s="253">
        <f>+T17-Y17</f>
        <v>15995543.189999998</v>
      </c>
      <c r="AF17" s="253">
        <f>+U17</f>
        <v>110000000</v>
      </c>
      <c r="AG17" s="253">
        <f>+H17-U17</f>
        <v>0</v>
      </c>
      <c r="AH17" s="254">
        <f>+V17/I17</f>
        <v>0.9228757112727273</v>
      </c>
      <c r="AI17" s="254" t="e">
        <f>+W17/L17</f>
        <v>#DIV/0!</v>
      </c>
      <c r="AJ17" s="254" t="e">
        <f>+X17/O17</f>
        <v>#DIV/0!</v>
      </c>
      <c r="AK17" s="254">
        <f>+Y17/R17</f>
        <v>0.794841954840829</v>
      </c>
      <c r="AL17" s="650">
        <f>+Z17-H17</f>
        <v>-14849442.689999998</v>
      </c>
      <c r="AM17" s="651">
        <f>+Z17/H17</f>
        <v>0.8650050664545454</v>
      </c>
    </row>
    <row r="18" spans="1:39" ht="15">
      <c r="A18" s="256" t="s">
        <v>257</v>
      </c>
      <c r="B18" s="257">
        <f>+'[12]Anexo 1 Minagricultura'!$D$18</f>
        <v>82500000</v>
      </c>
      <c r="C18" s="258"/>
      <c r="D18" s="258"/>
      <c r="E18" s="258"/>
      <c r="F18" s="258"/>
      <c r="G18" s="258"/>
      <c r="H18" s="259">
        <f>+SUM(B18:G18)</f>
        <v>82500000</v>
      </c>
      <c r="I18" s="305">
        <v>20625000</v>
      </c>
      <c r="J18" s="264">
        <v>-1590688.460000001</v>
      </c>
      <c r="K18" s="305">
        <f>+I18+J18</f>
        <v>19034311.54</v>
      </c>
      <c r="L18" s="305"/>
      <c r="M18" s="261">
        <v>4925123.82</v>
      </c>
      <c r="N18" s="305">
        <f>+L18+M18</f>
        <v>4925123.82</v>
      </c>
      <c r="O18" s="305"/>
      <c r="P18" s="305">
        <v>65366</v>
      </c>
      <c r="Q18" s="305">
        <f>+O18+P18</f>
        <v>65366</v>
      </c>
      <c r="R18" s="305">
        <f>+H18-K18-N18-Q18</f>
        <v>58475198.64</v>
      </c>
      <c r="S18" s="305"/>
      <c r="T18" s="305">
        <f>+R18+S18</f>
        <v>58475198.64</v>
      </c>
      <c r="U18" s="305">
        <f>+K18+N18+Q18+T18</f>
        <v>82500000</v>
      </c>
      <c r="V18" s="472">
        <f>65457528.04-46423216.5</f>
        <v>19034311.54</v>
      </c>
      <c r="W18" s="472">
        <f>6619570.5-1694446.68</f>
        <v>4925123.82</v>
      </c>
      <c r="X18" s="476">
        <f>1639725.37-714783.75</f>
        <v>924941.6200000001</v>
      </c>
      <c r="Y18" s="471">
        <v>46467754</v>
      </c>
      <c r="Z18" s="475">
        <f>+V18+W18+X18+Y18</f>
        <v>71352130.98</v>
      </c>
      <c r="AA18" s="305">
        <f>+H18-Z18</f>
        <v>11147869.019999996</v>
      </c>
      <c r="AB18" s="305">
        <f t="shared" si="4"/>
        <v>0</v>
      </c>
      <c r="AC18" s="253">
        <f>+N18-W18</f>
        <v>0</v>
      </c>
      <c r="AD18" s="253">
        <f>+Q18-X18</f>
        <v>-859575.6200000001</v>
      </c>
      <c r="AE18" s="253">
        <f>+T18-Y18</f>
        <v>12007444.64</v>
      </c>
      <c r="AF18" s="253">
        <f>+U18</f>
        <v>82500000</v>
      </c>
      <c r="AG18" s="253">
        <f>+H18-U18</f>
        <v>0</v>
      </c>
      <c r="AH18" s="263">
        <f>+V18/I18</f>
        <v>0.922875711030303</v>
      </c>
      <c r="AI18" s="263" t="e">
        <f>+W18/L18</f>
        <v>#DIV/0!</v>
      </c>
      <c r="AJ18" s="263" t="e">
        <f>+X18/O18</f>
        <v>#DIV/0!</v>
      </c>
      <c r="AK18" s="263">
        <f>+Y18/R18</f>
        <v>0.7946574801066807</v>
      </c>
      <c r="AL18" s="641">
        <f>+Z18-H18</f>
        <v>-11147869.019999996</v>
      </c>
      <c r="AM18" s="255">
        <f>+Z18/H18</f>
        <v>0.864874314909091</v>
      </c>
    </row>
    <row r="19" spans="1:39" ht="15">
      <c r="A19" s="256" t="s">
        <v>258</v>
      </c>
      <c r="B19" s="257">
        <f>+'[12]Anexo 1 Minagricultura'!$D$19</f>
        <v>27500000</v>
      </c>
      <c r="C19" s="258"/>
      <c r="D19" s="258"/>
      <c r="E19" s="258"/>
      <c r="F19" s="258"/>
      <c r="G19" s="258"/>
      <c r="H19" s="259">
        <f>+SUM(B19:G19)</f>
        <v>27500000</v>
      </c>
      <c r="I19" s="305">
        <v>6875000</v>
      </c>
      <c r="J19" s="264">
        <v>-530229.4800000004</v>
      </c>
      <c r="K19" s="305">
        <f>+I19+J19</f>
        <v>6344770.52</v>
      </c>
      <c r="L19" s="305"/>
      <c r="M19" s="261">
        <v>1641707.93</v>
      </c>
      <c r="N19" s="305">
        <f>+L19+M19</f>
        <v>1641707.93</v>
      </c>
      <c r="O19" s="305"/>
      <c r="P19" s="305">
        <v>21789</v>
      </c>
      <c r="Q19" s="305">
        <f>+O19+P19</f>
        <v>21789</v>
      </c>
      <c r="R19" s="305">
        <f>+H19-K19-N19-Q19</f>
        <v>19491732.55</v>
      </c>
      <c r="S19" s="305"/>
      <c r="T19" s="305">
        <f>+R19+S19</f>
        <v>19491732.55</v>
      </c>
      <c r="U19" s="305">
        <f>+K19+N19+Q19+T19</f>
        <v>27500000</v>
      </c>
      <c r="V19" s="472">
        <f>21819176.02-15474405.5</f>
        <v>6344770.52</v>
      </c>
      <c r="W19" s="472">
        <f>1864986.68-223278.75</f>
        <v>1641707.93</v>
      </c>
      <c r="X19" s="476">
        <f>1406151.25-1097837.37</f>
        <v>308313.8799999999</v>
      </c>
      <c r="Y19" s="471">
        <v>15503634</v>
      </c>
      <c r="Z19" s="475">
        <f>+V19+W19+X19+Y19</f>
        <v>23798426.33</v>
      </c>
      <c r="AA19" s="305">
        <f>+H19-Z19</f>
        <v>3701573.670000002</v>
      </c>
      <c r="AB19" s="305">
        <f t="shared" si="4"/>
        <v>0</v>
      </c>
      <c r="AC19" s="253">
        <f>+N19-W19</f>
        <v>0</v>
      </c>
      <c r="AD19" s="253">
        <f>+Q19-X19</f>
        <v>-286524.8799999999</v>
      </c>
      <c r="AE19" s="253">
        <f>+T19-Y19</f>
        <v>3988098.5500000007</v>
      </c>
      <c r="AF19" s="253">
        <f>+U19</f>
        <v>27500000</v>
      </c>
      <c r="AG19" s="253">
        <f>+H19-U19</f>
        <v>0</v>
      </c>
      <c r="AH19" s="263">
        <f>+V19/I19</f>
        <v>0.922875712</v>
      </c>
      <c r="AI19" s="263" t="e">
        <f>+W19/L19</f>
        <v>#DIV/0!</v>
      </c>
      <c r="AJ19" s="263" t="e">
        <f>+X19/O19</f>
        <v>#DIV/0!</v>
      </c>
      <c r="AK19" s="263">
        <f>+Y19/R19</f>
        <v>0.7953953790526435</v>
      </c>
      <c r="AL19" s="641">
        <f>+Z19-H19</f>
        <v>-3701573.670000002</v>
      </c>
      <c r="AM19" s="255">
        <f>+Z19/H19</f>
        <v>0.865397321090909</v>
      </c>
    </row>
    <row r="20" spans="1:39" ht="15">
      <c r="A20" s="256"/>
      <c r="B20" s="257"/>
      <c r="C20" s="258"/>
      <c r="D20" s="258"/>
      <c r="E20" s="258"/>
      <c r="F20" s="258"/>
      <c r="G20" s="258"/>
      <c r="H20" s="259"/>
      <c r="I20" s="305"/>
      <c r="J20" s="261"/>
      <c r="K20" s="305"/>
      <c r="L20" s="305"/>
      <c r="M20" s="261"/>
      <c r="N20" s="305"/>
      <c r="O20" s="305"/>
      <c r="P20" s="305"/>
      <c r="Q20" s="305"/>
      <c r="R20" s="305"/>
      <c r="S20" s="305"/>
      <c r="T20" s="305"/>
      <c r="U20" s="305"/>
      <c r="V20" s="471"/>
      <c r="W20" s="471"/>
      <c r="X20" s="472"/>
      <c r="Y20" s="472"/>
      <c r="Z20" s="472"/>
      <c r="AA20" s="259"/>
      <c r="AB20" s="259"/>
      <c r="AC20" s="259"/>
      <c r="AD20" s="259"/>
      <c r="AE20" s="259"/>
      <c r="AF20" s="259"/>
      <c r="AG20" s="259"/>
      <c r="AH20" s="263"/>
      <c r="AI20" s="264"/>
      <c r="AJ20" s="254"/>
      <c r="AK20" s="254"/>
      <c r="AL20" s="254"/>
      <c r="AM20" s="255"/>
    </row>
    <row r="21" spans="1:39" ht="15">
      <c r="A21" s="272" t="s">
        <v>260</v>
      </c>
      <c r="B21" s="273">
        <f>+B22+B23</f>
        <v>1373137058.546894</v>
      </c>
      <c r="C21" s="274">
        <f aca="true" t="shared" si="5" ref="C21:N21">+SUM(C22:C23)</f>
        <v>-84645860</v>
      </c>
      <c r="D21" s="250">
        <f t="shared" si="5"/>
        <v>-12991478</v>
      </c>
      <c r="E21" s="250">
        <f t="shared" si="5"/>
        <v>0</v>
      </c>
      <c r="F21" s="250">
        <f t="shared" si="5"/>
        <v>0</v>
      </c>
      <c r="G21" s="250">
        <f t="shared" si="5"/>
        <v>-2450000</v>
      </c>
      <c r="H21" s="251">
        <f t="shared" si="5"/>
        <v>1273049720.546894</v>
      </c>
      <c r="I21" s="381">
        <f t="shared" si="5"/>
        <v>269000000</v>
      </c>
      <c r="J21" s="260">
        <f t="shared" si="5"/>
        <v>-269000000</v>
      </c>
      <c r="K21" s="381">
        <f t="shared" si="5"/>
        <v>0</v>
      </c>
      <c r="L21" s="381">
        <f t="shared" si="5"/>
        <v>269500000</v>
      </c>
      <c r="M21" s="260">
        <f t="shared" si="5"/>
        <v>-269500000</v>
      </c>
      <c r="N21" s="381">
        <f t="shared" si="5"/>
        <v>0</v>
      </c>
      <c r="O21" s="381">
        <f>+O22+O23</f>
        <v>236915959</v>
      </c>
      <c r="P21" s="381">
        <f>+P22+P23</f>
        <v>-167718187.940001</v>
      </c>
      <c r="Q21" s="381">
        <f aca="true" t="shared" si="6" ref="Q21:Y21">+SUM(Q22:Q23)</f>
        <v>69792217</v>
      </c>
      <c r="R21" s="381">
        <f t="shared" si="6"/>
        <v>0</v>
      </c>
      <c r="S21" s="381">
        <f t="shared" si="6"/>
        <v>0</v>
      </c>
      <c r="T21" s="381">
        <f t="shared" si="6"/>
        <v>120638958.437265</v>
      </c>
      <c r="U21" s="381">
        <f t="shared" si="6"/>
        <v>190431175.43726498</v>
      </c>
      <c r="V21" s="477">
        <f t="shared" si="6"/>
        <v>0</v>
      </c>
      <c r="W21" s="478">
        <f t="shared" si="6"/>
        <v>0</v>
      </c>
      <c r="X21" s="478">
        <f t="shared" si="6"/>
        <v>0</v>
      </c>
      <c r="Y21" s="478">
        <f t="shared" si="6"/>
        <v>1273049721</v>
      </c>
      <c r="Z21" s="483">
        <f>+V21+W21+X21+Y21</f>
        <v>1273049721</v>
      </c>
      <c r="AA21" s="251">
        <f>+SUM(AA22:AA23)</f>
        <v>-0.4531059265136719</v>
      </c>
      <c r="AB21" s="253">
        <f t="shared" si="4"/>
        <v>0</v>
      </c>
      <c r="AC21" s="253">
        <f>+N21-W21</f>
        <v>0</v>
      </c>
      <c r="AD21" s="253">
        <f>+Q21-X21</f>
        <v>69792217</v>
      </c>
      <c r="AE21" s="253">
        <f>+T21-Y21</f>
        <v>-1152410762.562735</v>
      </c>
      <c r="AF21" s="253">
        <f>+U21</f>
        <v>190431175.43726498</v>
      </c>
      <c r="AG21" s="253">
        <f>+H21-U21</f>
        <v>1082618545.1096292</v>
      </c>
      <c r="AH21" s="254">
        <f>+V21/I21</f>
        <v>0</v>
      </c>
      <c r="AI21" s="254">
        <f>+W21/L21</f>
        <v>0</v>
      </c>
      <c r="AJ21" s="254">
        <f>+X21/O21</f>
        <v>0</v>
      </c>
      <c r="AK21" s="254" t="e">
        <f>+Y21/R21</f>
        <v>#DIV/0!</v>
      </c>
      <c r="AL21" s="650">
        <f>+Z21-H21</f>
        <v>0.4531059265136719</v>
      </c>
      <c r="AM21" s="651">
        <f>+Z21/H21</f>
        <v>1.0000000003559217</v>
      </c>
    </row>
    <row r="22" spans="1:39" ht="15">
      <c r="A22" s="256" t="s">
        <v>257</v>
      </c>
      <c r="B22" s="275">
        <v>748461636</v>
      </c>
      <c r="C22" s="276">
        <v>-313872741</v>
      </c>
      <c r="D22" s="258">
        <v>-10326493</v>
      </c>
      <c r="E22" s="258"/>
      <c r="F22" s="258"/>
      <c r="G22" s="258">
        <v>-2450000</v>
      </c>
      <c r="H22" s="259">
        <f>+SUM(B22:G22)</f>
        <v>421812402</v>
      </c>
      <c r="I22" s="305"/>
      <c r="J22" s="264">
        <v>0</v>
      </c>
      <c r="K22" s="305">
        <f>+I22+J22</f>
        <v>0</v>
      </c>
      <c r="L22" s="261">
        <v>269500000</v>
      </c>
      <c r="M22" s="261">
        <v>-269500000</v>
      </c>
      <c r="N22" s="305">
        <f>+L22+M22</f>
        <v>0</v>
      </c>
      <c r="O22" s="382">
        <v>236915959</v>
      </c>
      <c r="P22" s="305">
        <v>-167718187.940001</v>
      </c>
      <c r="Q22" s="262">
        <v>69792217</v>
      </c>
      <c r="R22" s="305"/>
      <c r="S22" s="305"/>
      <c r="T22" s="305">
        <v>120638958.437265</v>
      </c>
      <c r="U22" s="305">
        <f>+K22+N22+Q22+T22</f>
        <v>190431175.43726498</v>
      </c>
      <c r="V22" s="471">
        <v>0</v>
      </c>
      <c r="W22" s="471">
        <v>0</v>
      </c>
      <c r="X22" s="471">
        <v>0</v>
      </c>
      <c r="Y22" s="471">
        <v>421812402</v>
      </c>
      <c r="Z22" s="475">
        <f>+V22+W22+X22+Y22</f>
        <v>421812402</v>
      </c>
      <c r="AA22" s="305">
        <f>+H22-Z22</f>
        <v>0</v>
      </c>
      <c r="AB22" s="305">
        <f t="shared" si="4"/>
        <v>0</v>
      </c>
      <c r="AC22" s="253">
        <f>+N22-W22</f>
        <v>0</v>
      </c>
      <c r="AD22" s="253">
        <f>+Q22-X22</f>
        <v>69792217</v>
      </c>
      <c r="AE22" s="253">
        <f>+T22-Y22</f>
        <v>-301173443.562735</v>
      </c>
      <c r="AF22" s="253">
        <f>+U22</f>
        <v>190431175.43726498</v>
      </c>
      <c r="AG22" s="253">
        <f>+H22-U22</f>
        <v>231381226.56273502</v>
      </c>
      <c r="AH22" s="263">
        <v>0</v>
      </c>
      <c r="AI22" s="263">
        <f>+W22/L22</f>
        <v>0</v>
      </c>
      <c r="AJ22" s="263">
        <f>+X22/O22</f>
        <v>0</v>
      </c>
      <c r="AK22" s="263" t="e">
        <f>+Y22/R22</f>
        <v>#DIV/0!</v>
      </c>
      <c r="AL22" s="641">
        <f>+Z22-H22</f>
        <v>0</v>
      </c>
      <c r="AM22" s="255">
        <f>+Z22/H22</f>
        <v>1</v>
      </c>
    </row>
    <row r="23" spans="1:41" ht="15">
      <c r="A23" s="256" t="s">
        <v>258</v>
      </c>
      <c r="B23" s="257">
        <v>624675422.5468941</v>
      </c>
      <c r="C23" s="277">
        <v>229226881</v>
      </c>
      <c r="D23" s="258">
        <v>-2664985</v>
      </c>
      <c r="E23" s="258"/>
      <c r="F23" s="258"/>
      <c r="G23" s="258"/>
      <c r="H23" s="259">
        <f>+SUM(B23:G23)</f>
        <v>851237318.5468941</v>
      </c>
      <c r="I23" s="305">
        <v>269000000</v>
      </c>
      <c r="J23" s="264">
        <v>-269000000</v>
      </c>
      <c r="K23" s="305">
        <f>+I23+J23</f>
        <v>0</v>
      </c>
      <c r="L23" s="261"/>
      <c r="M23" s="261">
        <v>0</v>
      </c>
      <c r="N23" s="305">
        <f>+L23+M23</f>
        <v>0</v>
      </c>
      <c r="O23" s="305"/>
      <c r="P23" s="305"/>
      <c r="Q23" s="305">
        <f>+O23+P23</f>
        <v>0</v>
      </c>
      <c r="R23" s="305"/>
      <c r="S23" s="305"/>
      <c r="T23" s="305">
        <f>+R23+S23</f>
        <v>0</v>
      </c>
      <c r="U23" s="305">
        <f>+K23+N23+Q23+T23</f>
        <v>0</v>
      </c>
      <c r="V23" s="471">
        <v>0</v>
      </c>
      <c r="W23" s="472">
        <v>0</v>
      </c>
      <c r="X23" s="472">
        <v>0</v>
      </c>
      <c r="Y23" s="472">
        <v>851237319</v>
      </c>
      <c r="Z23" s="475">
        <f>+V23+W23+X23+Y23</f>
        <v>851237319</v>
      </c>
      <c r="AA23" s="305">
        <f>+H23-Z23</f>
        <v>-0.4531059265136719</v>
      </c>
      <c r="AB23" s="305">
        <f t="shared" si="4"/>
        <v>0</v>
      </c>
      <c r="AC23" s="253">
        <f>+N23-W23</f>
        <v>0</v>
      </c>
      <c r="AD23" s="253">
        <f>+Q23-X23</f>
        <v>0</v>
      </c>
      <c r="AE23" s="253">
        <f>+T23-Y23</f>
        <v>-851237319</v>
      </c>
      <c r="AF23" s="253">
        <f>+U23</f>
        <v>0</v>
      </c>
      <c r="AG23" s="253">
        <f>+H23-U23</f>
        <v>851237318.5468941</v>
      </c>
      <c r="AH23" s="263">
        <f>+V23/I23</f>
        <v>0</v>
      </c>
      <c r="AI23" s="263" t="e">
        <f>+W23/L23</f>
        <v>#DIV/0!</v>
      </c>
      <c r="AJ23" s="263" t="e">
        <f>+X23/O23</f>
        <v>#DIV/0!</v>
      </c>
      <c r="AK23" s="263" t="e">
        <f>+Y23/R23</f>
        <v>#DIV/0!</v>
      </c>
      <c r="AL23" s="641">
        <f>+Z23-H23</f>
        <v>0.4531059265136719</v>
      </c>
      <c r="AM23" s="255">
        <f>+Z23/H23</f>
        <v>1.0000000005322909</v>
      </c>
      <c r="AO23" s="271"/>
    </row>
    <row r="24" spans="1:39" ht="15">
      <c r="A24" s="256"/>
      <c r="B24" s="257"/>
      <c r="C24" s="258"/>
      <c r="D24" s="258"/>
      <c r="E24" s="258"/>
      <c r="F24" s="258"/>
      <c r="G24" s="258"/>
      <c r="H24" s="259"/>
      <c r="I24" s="305"/>
      <c r="J24" s="261"/>
      <c r="K24" s="305"/>
      <c r="L24" s="305"/>
      <c r="M24" s="261"/>
      <c r="N24" s="305"/>
      <c r="O24" s="305"/>
      <c r="P24" s="305"/>
      <c r="Q24" s="305"/>
      <c r="R24" s="305"/>
      <c r="S24" s="305"/>
      <c r="T24" s="305"/>
      <c r="U24" s="305"/>
      <c r="V24" s="471"/>
      <c r="W24" s="472"/>
      <c r="X24" s="472"/>
      <c r="Y24" s="472"/>
      <c r="Z24" s="484"/>
      <c r="AA24" s="259"/>
      <c r="AB24" s="269"/>
      <c r="AC24" s="269"/>
      <c r="AD24" s="269"/>
      <c r="AE24" s="269"/>
      <c r="AF24" s="269"/>
      <c r="AG24" s="269"/>
      <c r="AH24" s="263"/>
      <c r="AI24" s="263"/>
      <c r="AJ24" s="254"/>
      <c r="AK24" s="254"/>
      <c r="AL24" s="254"/>
      <c r="AM24" s="255"/>
    </row>
    <row r="25" spans="1:39" ht="15">
      <c r="A25" s="272" t="s">
        <v>261</v>
      </c>
      <c r="B25" s="273">
        <f aca="true" t="shared" si="7" ref="B25:X25">+B27+B31</f>
        <v>6285411994.172345</v>
      </c>
      <c r="C25" s="273">
        <f t="shared" si="7"/>
        <v>0</v>
      </c>
      <c r="D25" s="273">
        <f t="shared" si="7"/>
        <v>319956438</v>
      </c>
      <c r="E25" s="273">
        <f t="shared" si="7"/>
        <v>46000000</v>
      </c>
      <c r="F25" s="273">
        <f t="shared" si="7"/>
        <v>-1125359948</v>
      </c>
      <c r="G25" s="273">
        <f t="shared" si="7"/>
        <v>0</v>
      </c>
      <c r="H25" s="278">
        <f t="shared" si="7"/>
        <v>5526008484.172345</v>
      </c>
      <c r="I25" s="381">
        <f t="shared" si="7"/>
        <v>2010201402.0148072</v>
      </c>
      <c r="J25" s="260">
        <f t="shared" si="7"/>
        <v>-824847384.1448073</v>
      </c>
      <c r="K25" s="381">
        <f t="shared" si="7"/>
        <v>1185354017.87</v>
      </c>
      <c r="L25" s="381">
        <f t="shared" si="7"/>
        <v>1606508584</v>
      </c>
      <c r="M25" s="260">
        <f t="shared" si="7"/>
        <v>-356809886.4930913</v>
      </c>
      <c r="N25" s="381">
        <f t="shared" si="7"/>
        <v>1249698697.5069087</v>
      </c>
      <c r="O25" s="381">
        <f t="shared" si="7"/>
        <v>1610881377</v>
      </c>
      <c r="P25" s="381">
        <f t="shared" si="7"/>
        <v>-144692212</v>
      </c>
      <c r="Q25" s="381">
        <f t="shared" si="7"/>
        <v>1466189165</v>
      </c>
      <c r="R25" s="381">
        <f t="shared" si="7"/>
        <v>1630604855.8804364</v>
      </c>
      <c r="S25" s="381">
        <f t="shared" si="7"/>
        <v>0</v>
      </c>
      <c r="T25" s="381">
        <f t="shared" si="7"/>
        <v>1633144937.8804364</v>
      </c>
      <c r="U25" s="381">
        <f t="shared" si="7"/>
        <v>5534386818.257345</v>
      </c>
      <c r="V25" s="477">
        <f t="shared" si="7"/>
        <v>1185354017.8699996</v>
      </c>
      <c r="W25" s="478">
        <f t="shared" si="7"/>
        <v>1249698697.1299999</v>
      </c>
      <c r="X25" s="478">
        <f t="shared" si="7"/>
        <v>1589450817.3300002</v>
      </c>
      <c r="Y25" s="478">
        <f>+Y27+Y31</f>
        <v>1620771195</v>
      </c>
      <c r="Z25" s="483">
        <f>+V25+W25+X25+Y25</f>
        <v>5645274727.33</v>
      </c>
      <c r="AA25" s="251">
        <f>+AA27+AA31</f>
        <v>-215795836.75499982</v>
      </c>
      <c r="AB25" s="381">
        <f>+K25-V25</f>
        <v>0</v>
      </c>
      <c r="AC25" s="253">
        <f>+N25-W25</f>
        <v>0.3769087791442871</v>
      </c>
      <c r="AD25" s="253">
        <f>+Q25-X25</f>
        <v>-123261652.33000016</v>
      </c>
      <c r="AE25" s="253">
        <f>+T25-Y25</f>
        <v>12373742.88043642</v>
      </c>
      <c r="AF25" s="253">
        <f aca="true" t="shared" si="8" ref="AF25:AF37">+U25</f>
        <v>5534386818.257345</v>
      </c>
      <c r="AG25" s="253">
        <f>+H25-U25</f>
        <v>-8378334.085000038</v>
      </c>
      <c r="AH25" s="254">
        <f>+V25/I25</f>
        <v>0.5896692822330786</v>
      </c>
      <c r="AI25" s="254">
        <f>+W25/L25</f>
        <v>0.77789730448773</v>
      </c>
      <c r="AJ25" s="254">
        <f>+X25/O25</f>
        <v>0.9866963762968626</v>
      </c>
      <c r="AK25" s="254">
        <f>+Y25/R25</f>
        <v>0.9939693170635587</v>
      </c>
      <c r="AL25" s="650">
        <f>+Z25-H25</f>
        <v>119266243.15765476</v>
      </c>
      <c r="AM25" s="651">
        <f>+Z25/H25</f>
        <v>1.0215827108299342</v>
      </c>
    </row>
    <row r="26" spans="1:39" ht="15">
      <c r="A26" s="256"/>
      <c r="B26" s="257"/>
      <c r="C26" s="258"/>
      <c r="D26" s="258"/>
      <c r="E26" s="258"/>
      <c r="F26" s="258"/>
      <c r="G26" s="258"/>
      <c r="H26" s="259"/>
      <c r="I26" s="381"/>
      <c r="J26" s="260"/>
      <c r="K26" s="381"/>
      <c r="L26" s="381"/>
      <c r="M26" s="260"/>
      <c r="N26" s="381"/>
      <c r="O26" s="381"/>
      <c r="P26" s="381"/>
      <c r="Q26" s="381"/>
      <c r="R26" s="381"/>
      <c r="S26" s="381"/>
      <c r="T26" s="381"/>
      <c r="U26" s="305">
        <f>+K26+N26+Q26+T26</f>
        <v>0</v>
      </c>
      <c r="V26" s="471"/>
      <c r="W26" s="472"/>
      <c r="X26" s="472"/>
      <c r="Y26" s="472"/>
      <c r="Z26" s="472"/>
      <c r="AA26" s="259"/>
      <c r="AB26" s="381">
        <f>+K26-V26</f>
        <v>0</v>
      </c>
      <c r="AC26" s="253">
        <f>+N26-W26</f>
        <v>0</v>
      </c>
      <c r="AD26" s="253">
        <f>+Q26-X26</f>
        <v>0</v>
      </c>
      <c r="AE26" s="253">
        <f>+T26-Y26</f>
        <v>0</v>
      </c>
      <c r="AF26" s="253">
        <f t="shared" si="8"/>
        <v>0</v>
      </c>
      <c r="AG26" s="253">
        <f>+H26-U26</f>
        <v>0</v>
      </c>
      <c r="AH26" s="263"/>
      <c r="AI26" s="263"/>
      <c r="AJ26" s="254"/>
      <c r="AK26" s="254"/>
      <c r="AL26" s="254"/>
      <c r="AM26" s="255"/>
    </row>
    <row r="27" spans="1:39" ht="15">
      <c r="A27" s="272" t="s">
        <v>262</v>
      </c>
      <c r="B27" s="273">
        <f>SUM(B28:B29)</f>
        <v>26209247.325000003</v>
      </c>
      <c r="C27" s="250">
        <f aca="true" t="shared" si="9" ref="C27:N27">+SUM(C28:C29)</f>
        <v>0</v>
      </c>
      <c r="D27" s="250">
        <f t="shared" si="9"/>
        <v>0</v>
      </c>
      <c r="E27" s="250">
        <f t="shared" si="9"/>
        <v>0</v>
      </c>
      <c r="F27" s="250">
        <f t="shared" si="9"/>
        <v>0</v>
      </c>
      <c r="G27" s="250">
        <f t="shared" si="9"/>
        <v>0</v>
      </c>
      <c r="H27" s="251">
        <f t="shared" si="9"/>
        <v>26209247.325000003</v>
      </c>
      <c r="I27" s="381">
        <f t="shared" si="9"/>
        <v>6552311.831250001</v>
      </c>
      <c r="J27" s="260">
        <f t="shared" si="9"/>
        <v>-4217955.461250002</v>
      </c>
      <c r="K27" s="381">
        <f t="shared" si="9"/>
        <v>2334356.3699999996</v>
      </c>
      <c r="L27" s="381">
        <f t="shared" si="9"/>
        <v>1500000</v>
      </c>
      <c r="M27" s="260">
        <f t="shared" si="9"/>
        <v>4964960.029999999</v>
      </c>
      <c r="N27" s="381">
        <f t="shared" si="9"/>
        <v>6464960.029999999</v>
      </c>
      <c r="O27" s="381">
        <f>+O28+O29</f>
        <v>1700000</v>
      </c>
      <c r="P27" s="381">
        <f>+P28+P29</f>
        <v>1282739</v>
      </c>
      <c r="Q27" s="381">
        <f aca="true" t="shared" si="10" ref="Q27:X27">+SUM(Q28:Q29)</f>
        <v>2982739</v>
      </c>
      <c r="R27" s="381">
        <f t="shared" si="10"/>
        <v>14961258.350000001</v>
      </c>
      <c r="S27" s="381">
        <f t="shared" si="10"/>
        <v>0</v>
      </c>
      <c r="T27" s="381">
        <f t="shared" si="10"/>
        <v>14961258.350000001</v>
      </c>
      <c r="U27" s="381">
        <f t="shared" si="10"/>
        <v>26743313.750000004</v>
      </c>
      <c r="V27" s="477">
        <f t="shared" si="10"/>
        <v>2334356.37</v>
      </c>
      <c r="W27" s="478">
        <f t="shared" si="10"/>
        <v>6464960.029999999</v>
      </c>
      <c r="X27" s="478">
        <f t="shared" si="10"/>
        <v>9828708.13</v>
      </c>
      <c r="Y27" s="478">
        <f>+SUM(Y28:Y29)</f>
        <v>11663666</v>
      </c>
      <c r="Z27" s="483">
        <f>+V27+W27+X27+Y27</f>
        <v>30291690.53</v>
      </c>
      <c r="AA27" s="251">
        <f>+SUM(AA28:AA29)</f>
        <v>-4082443.204999998</v>
      </c>
      <c r="AB27" s="381">
        <f>+K27-V27</f>
        <v>0</v>
      </c>
      <c r="AC27" s="253">
        <f>+N27-W27</f>
        <v>0</v>
      </c>
      <c r="AD27" s="253">
        <f>+Q27-X27</f>
        <v>-6845969.130000001</v>
      </c>
      <c r="AE27" s="253">
        <f>+T27-Y27</f>
        <v>3297592.3500000015</v>
      </c>
      <c r="AF27" s="253">
        <f t="shared" si="8"/>
        <v>26743313.750000004</v>
      </c>
      <c r="AG27" s="253">
        <f>+H27-U27</f>
        <v>-534066.4250000007</v>
      </c>
      <c r="AH27" s="254">
        <f>+V27/I27</f>
        <v>0.35626454145035236</v>
      </c>
      <c r="AI27" s="254">
        <f>+W27/L27</f>
        <v>4.309973353333333</v>
      </c>
      <c r="AJ27" s="254">
        <f>+X27/O27</f>
        <v>5.781593017647059</v>
      </c>
      <c r="AK27" s="254">
        <f>+Y27/R27</f>
        <v>0.7795912434063408</v>
      </c>
      <c r="AL27" s="650">
        <f>+Z27-H27</f>
        <v>4082443.204999998</v>
      </c>
      <c r="AM27" s="651">
        <f>+Z27/H27</f>
        <v>1.15576346601552</v>
      </c>
    </row>
    <row r="28" spans="1:39" ht="15">
      <c r="A28" s="256" t="s">
        <v>263</v>
      </c>
      <c r="B28" s="257">
        <v>24939779.130000003</v>
      </c>
      <c r="C28" s="258"/>
      <c r="D28" s="258"/>
      <c r="E28" s="258"/>
      <c r="F28" s="258"/>
      <c r="G28" s="258"/>
      <c r="H28" s="259">
        <f>+SUM(B28:G28)</f>
        <v>24939779.130000003</v>
      </c>
      <c r="I28" s="305">
        <v>6234944.782500001</v>
      </c>
      <c r="J28" s="261">
        <v>-4584628.142500001</v>
      </c>
      <c r="K28" s="305">
        <f>+I28+J28</f>
        <v>1650316.6399999997</v>
      </c>
      <c r="L28" s="261">
        <v>750000</v>
      </c>
      <c r="M28" s="261">
        <v>4738554.14</v>
      </c>
      <c r="N28" s="305">
        <f>+L28+M28</f>
        <v>5488554.14</v>
      </c>
      <c r="O28" s="382">
        <v>1500000</v>
      </c>
      <c r="P28" s="305">
        <v>1339650</v>
      </c>
      <c r="Q28" s="305">
        <f>+O28+P28</f>
        <v>2839650</v>
      </c>
      <c r="R28" s="305">
        <f>+H28-K28-N28-Q28</f>
        <v>14961258.350000001</v>
      </c>
      <c r="S28" s="305"/>
      <c r="T28" s="305">
        <f>+R28+S28</f>
        <v>14961258.350000001</v>
      </c>
      <c r="U28" s="305">
        <f>+K28+N28+Q28+T28</f>
        <v>24939779.130000003</v>
      </c>
      <c r="V28" s="475">
        <v>1650316.64</v>
      </c>
      <c r="W28" s="472">
        <v>5488554.14</v>
      </c>
      <c r="X28" s="476">
        <v>9266228</v>
      </c>
      <c r="Y28" s="471">
        <v>10840336</v>
      </c>
      <c r="Z28" s="475">
        <f>+V28+W28+X28+Y28</f>
        <v>27245434.78</v>
      </c>
      <c r="AA28" s="305">
        <f>+H28-Z28</f>
        <v>-2305655.6499999985</v>
      </c>
      <c r="AB28" s="305">
        <f>+K28-V28</f>
        <v>0</v>
      </c>
      <c r="AC28" s="253">
        <f>+N28-W28</f>
        <v>0</v>
      </c>
      <c r="AD28" s="253">
        <f>+Q28-X28</f>
        <v>-6426578</v>
      </c>
      <c r="AE28" s="253">
        <f>+T28-Y28</f>
        <v>4120922.3500000015</v>
      </c>
      <c r="AF28" s="253">
        <f t="shared" si="8"/>
        <v>24939779.130000003</v>
      </c>
      <c r="AG28" s="253">
        <f>+H28-U28</f>
        <v>0</v>
      </c>
      <c r="AH28" s="263">
        <f>+V28/I28</f>
        <v>0.26468825267419277</v>
      </c>
      <c r="AI28" s="263">
        <f>+W28/L28</f>
        <v>7.318072186666666</v>
      </c>
      <c r="AJ28" s="263">
        <f>+X28/O28</f>
        <v>6.177485333333333</v>
      </c>
      <c r="AK28" s="263">
        <f>+Y28/R28</f>
        <v>0.7245604444762495</v>
      </c>
      <c r="AL28" s="641">
        <f>+Z28-H28</f>
        <v>2305655.6499999985</v>
      </c>
      <c r="AM28" s="255">
        <f>+Z28/H28</f>
        <v>1.0924489201761427</v>
      </c>
    </row>
    <row r="29" spans="1:39" ht="15">
      <c r="A29" s="256" t="s">
        <v>264</v>
      </c>
      <c r="B29" s="257">
        <v>1269468.1950000003</v>
      </c>
      <c r="C29" s="258"/>
      <c r="D29" s="258"/>
      <c r="E29" s="258"/>
      <c r="F29" s="258"/>
      <c r="G29" s="258"/>
      <c r="H29" s="259">
        <f>+SUM(B29:G29)</f>
        <v>1269468.1950000003</v>
      </c>
      <c r="I29" s="305">
        <v>317367.0487500001</v>
      </c>
      <c r="J29" s="261">
        <v>366672.6812499999</v>
      </c>
      <c r="K29" s="305">
        <f>+I29+J29</f>
        <v>684039.73</v>
      </c>
      <c r="L29" s="261">
        <v>750000</v>
      </c>
      <c r="M29" s="261">
        <v>226405.89</v>
      </c>
      <c r="N29" s="305">
        <f>+L29+M29</f>
        <v>976405.89</v>
      </c>
      <c r="O29" s="382">
        <v>200000</v>
      </c>
      <c r="P29" s="305">
        <v>-56911</v>
      </c>
      <c r="Q29" s="305">
        <f>+O29+P29</f>
        <v>143089</v>
      </c>
      <c r="R29" s="305">
        <v>0</v>
      </c>
      <c r="S29" s="305"/>
      <c r="T29" s="305">
        <f>+R29+S29</f>
        <v>0</v>
      </c>
      <c r="U29" s="305">
        <f>+K29+N29+Q29+T29</f>
        <v>1803534.62</v>
      </c>
      <c r="V29" s="475">
        <v>684039.73</v>
      </c>
      <c r="W29" s="472">
        <v>976405.89</v>
      </c>
      <c r="X29" s="476">
        <v>562480.13</v>
      </c>
      <c r="Y29" s="471">
        <v>823330</v>
      </c>
      <c r="Z29" s="475">
        <f>+V29+W29+X29+Y29</f>
        <v>3046255.75</v>
      </c>
      <c r="AA29" s="305">
        <f>+H29-Z29</f>
        <v>-1776787.5549999997</v>
      </c>
      <c r="AB29" s="305">
        <f>+K29-V29</f>
        <v>0</v>
      </c>
      <c r="AC29" s="253">
        <f>+N29-W29</f>
        <v>0</v>
      </c>
      <c r="AD29" s="253">
        <f>+Q29-X29</f>
        <v>-419391.13</v>
      </c>
      <c r="AE29" s="253">
        <f>+T29-Y29</f>
        <v>-823330</v>
      </c>
      <c r="AF29" s="253">
        <f t="shared" si="8"/>
        <v>1803534.62</v>
      </c>
      <c r="AG29" s="253">
        <f>+H29-U29</f>
        <v>-534066.4249999998</v>
      </c>
      <c r="AH29" s="263">
        <v>1</v>
      </c>
      <c r="AI29" s="263">
        <f>+W29/L29</f>
        <v>1.30187452</v>
      </c>
      <c r="AJ29" s="263">
        <f>+X29/O29</f>
        <v>2.81240065</v>
      </c>
      <c r="AK29" s="263">
        <v>0</v>
      </c>
      <c r="AL29" s="641">
        <f>+Z29-H29</f>
        <v>1776787.5549999997</v>
      </c>
      <c r="AM29" s="255">
        <v>0</v>
      </c>
    </row>
    <row r="30" spans="1:39" ht="15">
      <c r="A30" s="256"/>
      <c r="B30" s="257"/>
      <c r="C30" s="258"/>
      <c r="D30" s="258" t="s">
        <v>130</v>
      </c>
      <c r="E30" s="258"/>
      <c r="F30" s="258"/>
      <c r="G30" s="258"/>
      <c r="H30" s="259"/>
      <c r="I30" s="305"/>
      <c r="J30" s="261"/>
      <c r="K30" s="305"/>
      <c r="L30" s="305"/>
      <c r="M30" s="261"/>
      <c r="N30" s="305"/>
      <c r="O30" s="305"/>
      <c r="P30" s="305"/>
      <c r="Q30" s="305"/>
      <c r="R30" s="305"/>
      <c r="S30" s="305"/>
      <c r="T30" s="305"/>
      <c r="U30" s="305"/>
      <c r="V30" s="471"/>
      <c r="W30" s="472"/>
      <c r="X30" s="472"/>
      <c r="Y30" s="472"/>
      <c r="Z30" s="472"/>
      <c r="AA30" s="259"/>
      <c r="AB30" s="259"/>
      <c r="AC30" s="259"/>
      <c r="AD30" s="259"/>
      <c r="AE30" s="259"/>
      <c r="AF30" s="253">
        <f t="shared" si="8"/>
        <v>0</v>
      </c>
      <c r="AG30" s="259">
        <f>+E29-AF30</f>
        <v>0</v>
      </c>
      <c r="AH30" s="263"/>
      <c r="AI30" s="263"/>
      <c r="AJ30" s="254"/>
      <c r="AK30" s="254"/>
      <c r="AL30" s="254"/>
      <c r="AM30" s="255"/>
    </row>
    <row r="31" spans="1:40" ht="15">
      <c r="A31" s="272" t="s">
        <v>265</v>
      </c>
      <c r="B31" s="273">
        <f>+VTAS2005+B33+B34+B35+B36+B37</f>
        <v>6259202746.847345</v>
      </c>
      <c r="C31" s="273">
        <f>+C33+C34+C35+C36+C37</f>
        <v>0</v>
      </c>
      <c r="D31" s="273">
        <f>+D33+D34+D35+D36+D37</f>
        <v>319956438</v>
      </c>
      <c r="E31" s="273">
        <f>+E33+E34+E35+E36+E37</f>
        <v>46000000</v>
      </c>
      <c r="F31" s="273">
        <f>+F33+F34+F35+F36+F37</f>
        <v>-1125359948</v>
      </c>
      <c r="G31" s="273">
        <f>+G33+G34+G35+G36+G37</f>
        <v>0</v>
      </c>
      <c r="H31" s="278">
        <f>+SUM(H32:H37)</f>
        <v>5499799236.847345</v>
      </c>
      <c r="I31" s="381">
        <f>+SUM(I32:I37)</f>
        <v>2003649090.1835573</v>
      </c>
      <c r="J31" s="260">
        <f>+SUM(J32:J36)</f>
        <v>-820629428.6835574</v>
      </c>
      <c r="K31" s="381">
        <f>+SUM(K32:K37)</f>
        <v>1183019661.5</v>
      </c>
      <c r="L31" s="381">
        <f>+SUM(L32:L37)</f>
        <v>1605008584</v>
      </c>
      <c r="M31" s="260">
        <f>+SUM(M32:M37)</f>
        <v>-361774846.52309126</v>
      </c>
      <c r="N31" s="381">
        <f>+SUM(N32:N37)</f>
        <v>1243233737.4769087</v>
      </c>
      <c r="O31" s="381">
        <f>SUM(O32:O37)</f>
        <v>1609181377</v>
      </c>
      <c r="P31" s="381">
        <f>SUM(P32:P36)</f>
        <v>-145974951</v>
      </c>
      <c r="Q31" s="381">
        <f>+SUM(Q32:Q37)</f>
        <v>1463206426</v>
      </c>
      <c r="R31" s="381">
        <f>+SUM(R32:R36)</f>
        <v>1615643597.5304365</v>
      </c>
      <c r="S31" s="381">
        <f>+SUM(S32:S36)</f>
        <v>0</v>
      </c>
      <c r="T31" s="381">
        <f>+SUM(T32:T37)</f>
        <v>1618183679.5304365</v>
      </c>
      <c r="U31" s="381">
        <f>+SUM(U32:U37)</f>
        <v>5507643504.507345</v>
      </c>
      <c r="V31" s="477">
        <f>+SUM(V32:V37)</f>
        <v>1183019661.4999998</v>
      </c>
      <c r="W31" s="478">
        <f>+SUM(W32:W36)</f>
        <v>1243233737.1</v>
      </c>
      <c r="X31" s="478">
        <f>+SUM(X32:X37)</f>
        <v>1579622109.2</v>
      </c>
      <c r="Y31" s="478">
        <f>+SUM(Y32:Y37)</f>
        <v>1609107529</v>
      </c>
      <c r="Z31" s="483">
        <f aca="true" t="shared" si="11" ref="Z31:Z37">+V31+W31+X31+Y31</f>
        <v>5614983036.799999</v>
      </c>
      <c r="AA31" s="251">
        <f>+SUM(AA32:AA36)</f>
        <v>-211713393.5499998</v>
      </c>
      <c r="AB31" s="253">
        <f aca="true" t="shared" si="12" ref="AB31:AB36">+K31-V31</f>
        <v>0</v>
      </c>
      <c r="AC31" s="253">
        <f aca="true" t="shared" si="13" ref="AC31:AC36">+N31-W31</f>
        <v>0.3769087791442871</v>
      </c>
      <c r="AD31" s="253">
        <f aca="true" t="shared" si="14" ref="AD31:AD37">+Q31-X31</f>
        <v>-116415683.20000005</v>
      </c>
      <c r="AE31" s="253">
        <f aca="true" t="shared" si="15" ref="AE31:AE36">+T31-Y31</f>
        <v>9076150.530436516</v>
      </c>
      <c r="AF31" s="253">
        <f t="shared" si="8"/>
        <v>5507643504.507345</v>
      </c>
      <c r="AG31" s="253">
        <f aca="true" t="shared" si="16" ref="AG31:AG37">+H31-U31</f>
        <v>-7844267.659999847</v>
      </c>
      <c r="AH31" s="254">
        <f aca="true" t="shared" si="17" ref="AH31:AH36">+V31/I31</f>
        <v>0.5904325599207702</v>
      </c>
      <c r="AI31" s="254">
        <f aca="true" t="shared" si="18" ref="AI31:AI36">+W31/L31</f>
        <v>0.7745963164892331</v>
      </c>
      <c r="AJ31" s="254">
        <f aca="true" t="shared" si="19" ref="AJ31:AJ36">+X31/O31</f>
        <v>0.9816308663383195</v>
      </c>
      <c r="AK31" s="254">
        <f aca="true" t="shared" si="20" ref="AK31:AK36">+Y31/R31</f>
        <v>0.9959545109203372</v>
      </c>
      <c r="AL31" s="650">
        <f>+Z31-H31</f>
        <v>115183799.95265388</v>
      </c>
      <c r="AM31" s="651">
        <f aca="true" t="shared" si="21" ref="AM31:AM37">+Z31/H31</f>
        <v>1.0209432735618693</v>
      </c>
      <c r="AN31" s="271"/>
    </row>
    <row r="32" spans="1:39" ht="15">
      <c r="A32" s="256" t="s">
        <v>266</v>
      </c>
      <c r="B32" s="257">
        <v>3672838470.8</v>
      </c>
      <c r="C32" s="258"/>
      <c r="D32" s="258"/>
      <c r="E32" s="258"/>
      <c r="F32" s="258"/>
      <c r="G32" s="258"/>
      <c r="H32" s="259">
        <f aca="true" t="shared" si="22" ref="H32:H37">+SUM(B32:G32)</f>
        <v>3672838470.8</v>
      </c>
      <c r="I32" s="305">
        <v>918209617.7</v>
      </c>
      <c r="J32" s="261">
        <v>6421842.299999952</v>
      </c>
      <c r="K32" s="305">
        <f aca="true" t="shared" si="23" ref="K32:K37">+I32+J32</f>
        <v>924631460</v>
      </c>
      <c r="L32" s="305">
        <v>1217648780</v>
      </c>
      <c r="M32" s="261">
        <v>-345956307</v>
      </c>
      <c r="N32" s="305">
        <f aca="true" t="shared" si="24" ref="N32:N37">+L32+M32</f>
        <v>871692473</v>
      </c>
      <c r="O32" s="305">
        <v>1052372000</v>
      </c>
      <c r="P32" s="305">
        <v>-187271899</v>
      </c>
      <c r="Q32" s="305">
        <f aca="true" t="shared" si="25" ref="Q32:Q37">+O32+P32</f>
        <v>865100101</v>
      </c>
      <c r="R32" s="305">
        <f aca="true" t="shared" si="26" ref="R32:R37">+H32-K32-N32-Q32</f>
        <v>1011414436.8000002</v>
      </c>
      <c r="S32" s="305"/>
      <c r="T32" s="305">
        <f aca="true" t="shared" si="27" ref="T32:T37">+R32+S32</f>
        <v>1011414436.8000002</v>
      </c>
      <c r="U32" s="305">
        <f aca="true" t="shared" si="28" ref="U32:U38">+K32+N32+Q32+T32</f>
        <v>3672838470.8</v>
      </c>
      <c r="V32" s="471">
        <v>924631460</v>
      </c>
      <c r="W32" s="472">
        <f>883502679-11810206</f>
        <v>871692473</v>
      </c>
      <c r="X32" s="476">
        <f>1038374070-25040418</f>
        <v>1013333652</v>
      </c>
      <c r="Y32" s="471">
        <v>1036831886</v>
      </c>
      <c r="Z32" s="475">
        <f t="shared" si="11"/>
        <v>3846489471</v>
      </c>
      <c r="AA32" s="305">
        <f>+H32-Z32</f>
        <v>-173651000.1999998</v>
      </c>
      <c r="AB32" s="305">
        <f t="shared" si="12"/>
        <v>0</v>
      </c>
      <c r="AC32" s="253">
        <f t="shared" si="13"/>
        <v>0</v>
      </c>
      <c r="AD32" s="253">
        <f t="shared" si="14"/>
        <v>-148233551</v>
      </c>
      <c r="AE32" s="253">
        <f t="shared" si="15"/>
        <v>-25417449.19999981</v>
      </c>
      <c r="AF32" s="253">
        <f t="shared" si="8"/>
        <v>3672838470.8</v>
      </c>
      <c r="AG32" s="253">
        <f t="shared" si="16"/>
        <v>0</v>
      </c>
      <c r="AH32" s="263">
        <f t="shared" si="17"/>
        <v>1.0069938739218238</v>
      </c>
      <c r="AI32" s="263">
        <f t="shared" si="18"/>
        <v>0.7158816953768886</v>
      </c>
      <c r="AJ32" s="263">
        <f t="shared" si="19"/>
        <v>0.962904421630374</v>
      </c>
      <c r="AK32" s="263">
        <f t="shared" si="20"/>
        <v>1.025130597582152</v>
      </c>
      <c r="AL32" s="641">
        <f aca="true" t="shared" si="29" ref="AL32:AL37">+Z32-H32</f>
        <v>173651000.1999998</v>
      </c>
      <c r="AM32" s="255">
        <f t="shared" si="21"/>
        <v>1.0472797814498431</v>
      </c>
    </row>
    <row r="33" spans="1:39" ht="15">
      <c r="A33" s="279" t="s">
        <v>267</v>
      </c>
      <c r="B33" s="280">
        <v>51335297.31</v>
      </c>
      <c r="C33" s="281"/>
      <c r="D33" s="281"/>
      <c r="E33" s="281"/>
      <c r="F33" s="281"/>
      <c r="G33" s="281"/>
      <c r="H33" s="259">
        <f t="shared" si="22"/>
        <v>51335297.31</v>
      </c>
      <c r="I33" s="383">
        <v>12833824.3275</v>
      </c>
      <c r="J33" s="282">
        <v>-12609861.3275</v>
      </c>
      <c r="K33" s="305">
        <f t="shared" si="23"/>
        <v>223963</v>
      </c>
      <c r="L33" s="383">
        <v>500000</v>
      </c>
      <c r="M33" s="261">
        <v>316692</v>
      </c>
      <c r="N33" s="305">
        <f t="shared" si="24"/>
        <v>816692</v>
      </c>
      <c r="O33" s="383">
        <v>500000</v>
      </c>
      <c r="P33" s="383">
        <v>66470</v>
      </c>
      <c r="Q33" s="305">
        <f t="shared" si="25"/>
        <v>566470</v>
      </c>
      <c r="R33" s="305">
        <f t="shared" si="26"/>
        <v>49728172.31</v>
      </c>
      <c r="S33" s="383"/>
      <c r="T33" s="305">
        <f t="shared" si="27"/>
        <v>49728172.31</v>
      </c>
      <c r="U33" s="383">
        <f t="shared" si="28"/>
        <v>51335297.31</v>
      </c>
      <c r="V33" s="479">
        <v>223963</v>
      </c>
      <c r="W33" s="480">
        <v>816692</v>
      </c>
      <c r="X33" s="476">
        <v>2470674</v>
      </c>
      <c r="Y33" s="471">
        <f>+'ANEXO INGRESOS'!F13</f>
        <v>4334813</v>
      </c>
      <c r="Z33" s="475">
        <f>+V33+W33+X33+Y33</f>
        <v>7846142</v>
      </c>
      <c r="AA33" s="305">
        <f>+H33-Z33</f>
        <v>43489155.31</v>
      </c>
      <c r="AB33" s="305">
        <f t="shared" si="12"/>
        <v>0</v>
      </c>
      <c r="AC33" s="253">
        <f t="shared" si="13"/>
        <v>0</v>
      </c>
      <c r="AD33" s="253">
        <f t="shared" si="14"/>
        <v>-1904204</v>
      </c>
      <c r="AE33" s="253">
        <f t="shared" si="15"/>
        <v>45393359.31</v>
      </c>
      <c r="AF33" s="253">
        <f t="shared" si="8"/>
        <v>51335297.31</v>
      </c>
      <c r="AG33" s="253">
        <f t="shared" si="16"/>
        <v>0</v>
      </c>
      <c r="AH33" s="263">
        <f t="shared" si="17"/>
        <v>0.017450994675071066</v>
      </c>
      <c r="AI33" s="263">
        <f t="shared" si="18"/>
        <v>1.633384</v>
      </c>
      <c r="AJ33" s="263">
        <f t="shared" si="19"/>
        <v>4.941348</v>
      </c>
      <c r="AK33" s="263">
        <f t="shared" si="20"/>
        <v>0.0871701652933723</v>
      </c>
      <c r="AL33" s="641">
        <f t="shared" si="29"/>
        <v>-43489155.31</v>
      </c>
      <c r="AM33" s="255">
        <f t="shared" si="21"/>
        <v>0.15284107448758438</v>
      </c>
    </row>
    <row r="34" spans="1:39" ht="15">
      <c r="A34" s="279" t="s">
        <v>268</v>
      </c>
      <c r="B34" s="280">
        <v>6455579.340000001</v>
      </c>
      <c r="C34" s="281"/>
      <c r="D34" s="281"/>
      <c r="E34" s="281"/>
      <c r="F34" s="281"/>
      <c r="G34" s="281"/>
      <c r="H34" s="259">
        <f t="shared" si="22"/>
        <v>6455579.340000001</v>
      </c>
      <c r="I34" s="383">
        <v>1613894.8350000002</v>
      </c>
      <c r="J34" s="282">
        <v>-241143.8350000002</v>
      </c>
      <c r="K34" s="305">
        <f t="shared" si="23"/>
        <v>1372751</v>
      </c>
      <c r="L34" s="383">
        <v>1350000</v>
      </c>
      <c r="M34" s="261">
        <v>5972103</v>
      </c>
      <c r="N34" s="305">
        <f t="shared" si="24"/>
        <v>7322103</v>
      </c>
      <c r="O34" s="383">
        <v>1000000</v>
      </c>
      <c r="P34" s="383">
        <v>4604993</v>
      </c>
      <c r="Q34" s="305">
        <f t="shared" si="25"/>
        <v>5604993</v>
      </c>
      <c r="R34" s="305"/>
      <c r="S34" s="383"/>
      <c r="T34" s="305">
        <f t="shared" si="27"/>
        <v>0</v>
      </c>
      <c r="U34" s="383">
        <f t="shared" si="28"/>
        <v>14299847</v>
      </c>
      <c r="V34" s="479">
        <f>1369309+3442</f>
        <v>1372751</v>
      </c>
      <c r="W34" s="480">
        <v>7322103</v>
      </c>
      <c r="X34" s="476">
        <v>9997</v>
      </c>
      <c r="Y34" s="471">
        <f>+'ANEXO INGRESOS'!F56</f>
        <v>2783920</v>
      </c>
      <c r="Z34" s="475">
        <f t="shared" si="11"/>
        <v>11488771</v>
      </c>
      <c r="AA34" s="305">
        <f>+H34-Z34</f>
        <v>-5033191.659999999</v>
      </c>
      <c r="AB34" s="305">
        <f t="shared" si="12"/>
        <v>0</v>
      </c>
      <c r="AC34" s="253">
        <f t="shared" si="13"/>
        <v>0</v>
      </c>
      <c r="AD34" s="253">
        <f t="shared" si="14"/>
        <v>5594996</v>
      </c>
      <c r="AE34" s="253">
        <f t="shared" si="15"/>
        <v>-2783920</v>
      </c>
      <c r="AF34" s="253">
        <f t="shared" si="8"/>
        <v>14299847</v>
      </c>
      <c r="AG34" s="253">
        <f t="shared" si="16"/>
        <v>-7844267.659999999</v>
      </c>
      <c r="AH34" s="263">
        <f t="shared" si="17"/>
        <v>0.8505826837223875</v>
      </c>
      <c r="AI34" s="263">
        <f t="shared" si="18"/>
        <v>5.42378</v>
      </c>
      <c r="AJ34" s="263">
        <f t="shared" si="19"/>
        <v>0.009997</v>
      </c>
      <c r="AK34" s="263" t="e">
        <f t="shared" si="20"/>
        <v>#DIV/0!</v>
      </c>
      <c r="AL34" s="641">
        <f t="shared" si="29"/>
        <v>5033191.659999999</v>
      </c>
      <c r="AM34" s="255">
        <f t="shared" si="21"/>
        <v>1.779665370823248</v>
      </c>
    </row>
    <row r="35" spans="1:39" ht="15">
      <c r="A35" s="279" t="s">
        <v>269</v>
      </c>
      <c r="B35" s="280">
        <v>57082000</v>
      </c>
      <c r="C35" s="281"/>
      <c r="D35" s="281"/>
      <c r="E35" s="281"/>
      <c r="F35" s="281">
        <v>19800000</v>
      </c>
      <c r="G35" s="281"/>
      <c r="H35" s="259">
        <f t="shared" si="22"/>
        <v>76882000</v>
      </c>
      <c r="I35" s="383">
        <v>9558000</v>
      </c>
      <c r="J35" s="282">
        <v>28906609</v>
      </c>
      <c r="K35" s="305">
        <f t="shared" si="23"/>
        <v>38464609</v>
      </c>
      <c r="L35" s="383">
        <v>5300000</v>
      </c>
      <c r="M35" s="261">
        <v>13703789</v>
      </c>
      <c r="N35" s="305">
        <f t="shared" si="24"/>
        <v>19003789</v>
      </c>
      <c r="O35" s="284">
        <v>6200000</v>
      </c>
      <c r="P35" s="383">
        <v>10673520</v>
      </c>
      <c r="Q35" s="305">
        <f t="shared" si="25"/>
        <v>16873520</v>
      </c>
      <c r="R35" s="305"/>
      <c r="S35" s="383"/>
      <c r="T35" s="305">
        <f>+H35-K35-N35-Q35</f>
        <v>2540082</v>
      </c>
      <c r="U35" s="383">
        <f t="shared" si="28"/>
        <v>76882000</v>
      </c>
      <c r="V35" s="479">
        <v>38464609</v>
      </c>
      <c r="W35" s="480">
        <v>19003789</v>
      </c>
      <c r="X35" s="476">
        <v>23791188</v>
      </c>
      <c r="Y35" s="471">
        <f>+'ANEXO INGRESOS'!F32</f>
        <v>72140771</v>
      </c>
      <c r="Z35" s="475">
        <f t="shared" si="11"/>
        <v>153400357</v>
      </c>
      <c r="AA35" s="305">
        <f>+H35-Z35</f>
        <v>-76518357</v>
      </c>
      <c r="AB35" s="305">
        <f t="shared" si="12"/>
        <v>0</v>
      </c>
      <c r="AC35" s="253">
        <f t="shared" si="13"/>
        <v>0</v>
      </c>
      <c r="AD35" s="253">
        <f t="shared" si="14"/>
        <v>-6917668</v>
      </c>
      <c r="AE35" s="253">
        <f t="shared" si="15"/>
        <v>-69600689</v>
      </c>
      <c r="AF35" s="253">
        <f t="shared" si="8"/>
        <v>76882000</v>
      </c>
      <c r="AG35" s="253">
        <f t="shared" si="16"/>
        <v>0</v>
      </c>
      <c r="AH35" s="263">
        <f t="shared" si="17"/>
        <v>4.024336576689684</v>
      </c>
      <c r="AI35" s="263">
        <f t="shared" si="18"/>
        <v>3.585620566037736</v>
      </c>
      <c r="AJ35" s="263">
        <f t="shared" si="19"/>
        <v>3.8372883870967742</v>
      </c>
      <c r="AK35" s="263" t="e">
        <f t="shared" si="20"/>
        <v>#DIV/0!</v>
      </c>
      <c r="AL35" s="641">
        <f t="shared" si="29"/>
        <v>76518357</v>
      </c>
      <c r="AM35" s="255">
        <f t="shared" si="21"/>
        <v>1.995270115241539</v>
      </c>
    </row>
    <row r="36" spans="1:39" ht="15">
      <c r="A36" s="279" t="s">
        <v>270</v>
      </c>
      <c r="B36" s="280">
        <v>2471491399.397345</v>
      </c>
      <c r="C36" s="281"/>
      <c r="D36" s="281">
        <v>319956438</v>
      </c>
      <c r="E36" s="281"/>
      <c r="F36" s="281">
        <v>-1145159948</v>
      </c>
      <c r="G36" s="281"/>
      <c r="H36" s="259">
        <f t="shared" si="22"/>
        <v>1646287889.397345</v>
      </c>
      <c r="I36" s="383">
        <v>1061433753.3210572</v>
      </c>
      <c r="J36" s="282">
        <v>-843106874.8210573</v>
      </c>
      <c r="K36" s="305">
        <f t="shared" si="23"/>
        <v>218326878.49999988</v>
      </c>
      <c r="L36" s="384">
        <v>380209804</v>
      </c>
      <c r="M36" s="261">
        <v>-35811123.52309126</v>
      </c>
      <c r="N36" s="305">
        <f t="shared" si="24"/>
        <v>344398680.47690874</v>
      </c>
      <c r="O36" s="383">
        <v>503109377</v>
      </c>
      <c r="P36" s="384">
        <v>25951965</v>
      </c>
      <c r="Q36" s="305">
        <f t="shared" si="25"/>
        <v>529061342</v>
      </c>
      <c r="R36" s="305">
        <f>+H36-K36-N36-Q36</f>
        <v>554500988.4204364</v>
      </c>
      <c r="S36" s="383"/>
      <c r="T36" s="305">
        <f t="shared" si="27"/>
        <v>554500988.4204364</v>
      </c>
      <c r="U36" s="383">
        <f t="shared" si="28"/>
        <v>1646287889.397345</v>
      </c>
      <c r="V36" s="479">
        <v>218326878.49999982</v>
      </c>
      <c r="W36" s="480">
        <v>344398680.1</v>
      </c>
      <c r="X36" s="476">
        <v>540016598.2</v>
      </c>
      <c r="Y36" s="471">
        <f>+'ANEXO INGRESOS'!F44+1483008</f>
        <v>439006139</v>
      </c>
      <c r="Z36" s="475">
        <f t="shared" si="11"/>
        <v>1541748295.8</v>
      </c>
      <c r="AA36" s="305"/>
      <c r="AB36" s="305">
        <f t="shared" si="12"/>
        <v>0</v>
      </c>
      <c r="AC36" s="253">
        <f t="shared" si="13"/>
        <v>0.37690871953964233</v>
      </c>
      <c r="AD36" s="253">
        <f t="shared" si="14"/>
        <v>-10955256.200000048</v>
      </c>
      <c r="AE36" s="253">
        <f t="shared" si="15"/>
        <v>115494849.42043638</v>
      </c>
      <c r="AF36" s="253">
        <f t="shared" si="8"/>
        <v>1646287889.397345</v>
      </c>
      <c r="AG36" s="253">
        <f t="shared" si="16"/>
        <v>0</v>
      </c>
      <c r="AH36" s="263">
        <f t="shared" si="17"/>
        <v>0.20569053680165134</v>
      </c>
      <c r="AI36" s="263">
        <f t="shared" si="18"/>
        <v>0.9058122028331496</v>
      </c>
      <c r="AJ36" s="263">
        <f t="shared" si="19"/>
        <v>1.0733582455172568</v>
      </c>
      <c r="AK36" s="263">
        <f t="shared" si="20"/>
        <v>0.79171389802309</v>
      </c>
      <c r="AL36" s="641">
        <f t="shared" si="29"/>
        <v>-104539593.59734511</v>
      </c>
      <c r="AM36" s="255">
        <f t="shared" si="21"/>
        <v>0.9364998101057441</v>
      </c>
    </row>
    <row r="37" spans="1:40" ht="15">
      <c r="A37" s="279" t="s">
        <v>287</v>
      </c>
      <c r="B37" s="280"/>
      <c r="C37" s="281"/>
      <c r="D37" s="281"/>
      <c r="E37" s="281">
        <v>46000000</v>
      </c>
      <c r="F37" s="281"/>
      <c r="G37" s="281"/>
      <c r="H37" s="259">
        <f t="shared" si="22"/>
        <v>46000000</v>
      </c>
      <c r="I37" s="383"/>
      <c r="J37" s="282"/>
      <c r="K37" s="305">
        <f t="shared" si="23"/>
        <v>0</v>
      </c>
      <c r="L37" s="384"/>
      <c r="M37" s="285"/>
      <c r="N37" s="305">
        <f t="shared" si="24"/>
        <v>0</v>
      </c>
      <c r="O37" s="383">
        <v>46000000</v>
      </c>
      <c r="P37" s="384">
        <v>0</v>
      </c>
      <c r="Q37" s="305">
        <f t="shared" si="25"/>
        <v>46000000</v>
      </c>
      <c r="R37" s="305">
        <f t="shared" si="26"/>
        <v>0</v>
      </c>
      <c r="S37" s="383"/>
      <c r="T37" s="305">
        <f t="shared" si="27"/>
        <v>0</v>
      </c>
      <c r="U37" s="383">
        <f t="shared" si="28"/>
        <v>46000000</v>
      </c>
      <c r="V37" s="479"/>
      <c r="W37" s="480"/>
      <c r="X37" s="481"/>
      <c r="Y37" s="471">
        <f>+'ANEXO INGRESOS'!G62</f>
        <v>54010000</v>
      </c>
      <c r="Z37" s="475">
        <f t="shared" si="11"/>
        <v>54010000</v>
      </c>
      <c r="AA37" s="383"/>
      <c r="AB37" s="383"/>
      <c r="AC37" s="253"/>
      <c r="AD37" s="253">
        <f t="shared" si="14"/>
        <v>46000000</v>
      </c>
      <c r="AE37" s="253"/>
      <c r="AF37" s="253">
        <f t="shared" si="8"/>
        <v>46000000</v>
      </c>
      <c r="AG37" s="253">
        <f t="shared" si="16"/>
        <v>0</v>
      </c>
      <c r="AH37" s="263">
        <v>0</v>
      </c>
      <c r="AI37" s="263">
        <v>0</v>
      </c>
      <c r="AJ37" s="286">
        <v>0</v>
      </c>
      <c r="AK37" s="263">
        <v>1</v>
      </c>
      <c r="AL37" s="641">
        <f t="shared" si="29"/>
        <v>8010000</v>
      </c>
      <c r="AM37" s="255">
        <f t="shared" si="21"/>
        <v>1.1741304347826087</v>
      </c>
      <c r="AN37" s="271"/>
    </row>
    <row r="38" spans="1:40" ht="15.75" thickBot="1">
      <c r="A38" s="279"/>
      <c r="B38" s="280"/>
      <c r="C38" s="281"/>
      <c r="D38" s="281"/>
      <c r="E38" s="281"/>
      <c r="F38" s="281"/>
      <c r="G38" s="281"/>
      <c r="H38" s="283"/>
      <c r="I38" s="383"/>
      <c r="J38" s="282"/>
      <c r="K38" s="383"/>
      <c r="L38" s="384"/>
      <c r="M38" s="285"/>
      <c r="N38" s="384"/>
      <c r="O38" s="383"/>
      <c r="P38" s="383"/>
      <c r="Q38" s="383"/>
      <c r="R38" s="383"/>
      <c r="S38" s="383"/>
      <c r="T38" s="383"/>
      <c r="U38" s="383">
        <f t="shared" si="28"/>
        <v>0</v>
      </c>
      <c r="V38" s="479"/>
      <c r="W38" s="480"/>
      <c r="X38" s="480"/>
      <c r="Y38" s="480"/>
      <c r="Z38" s="480"/>
      <c r="AA38" s="283"/>
      <c r="AB38" s="283"/>
      <c r="AC38" s="283"/>
      <c r="AD38" s="283"/>
      <c r="AE38" s="283"/>
      <c r="AF38" s="283"/>
      <c r="AG38" s="283"/>
      <c r="AH38" s="286"/>
      <c r="AI38" s="287"/>
      <c r="AJ38" s="287"/>
      <c r="AK38" s="287"/>
      <c r="AL38" s="287"/>
      <c r="AM38" s="288"/>
      <c r="AN38" s="271"/>
    </row>
    <row r="39" spans="1:39" ht="17.25" thickBot="1">
      <c r="A39" s="289" t="s">
        <v>271</v>
      </c>
      <c r="B39" s="290">
        <f>+B25+B11</f>
        <v>16929368584.2247</v>
      </c>
      <c r="C39" s="290">
        <f aca="true" t="shared" si="30" ref="C39:AG39">+C25+C11</f>
        <v>-84645860</v>
      </c>
      <c r="D39" s="290">
        <f t="shared" si="30"/>
        <v>306964960</v>
      </c>
      <c r="E39" s="290">
        <f t="shared" si="30"/>
        <v>46000000</v>
      </c>
      <c r="F39" s="290">
        <f t="shared" si="30"/>
        <v>-681465960</v>
      </c>
      <c r="G39" s="290">
        <f t="shared" si="30"/>
        <v>-2450000</v>
      </c>
      <c r="H39" s="290">
        <f>+H25+H11</f>
        <v>16513771724.2247</v>
      </c>
      <c r="I39" s="290">
        <f t="shared" si="30"/>
        <v>4301315591.014807</v>
      </c>
      <c r="J39" s="291">
        <f t="shared" si="30"/>
        <v>-992501097.0848074</v>
      </c>
      <c r="K39" s="290">
        <f t="shared" si="30"/>
        <v>3308814493.93</v>
      </c>
      <c r="L39" s="385">
        <f t="shared" si="30"/>
        <v>4167726403</v>
      </c>
      <c r="M39" s="291">
        <f t="shared" si="30"/>
        <v>-548471051.4930913</v>
      </c>
      <c r="N39" s="385">
        <f t="shared" si="30"/>
        <v>3619255351.5069084</v>
      </c>
      <c r="O39" s="385">
        <f t="shared" si="30"/>
        <v>4255822624</v>
      </c>
      <c r="P39" s="385">
        <f t="shared" si="30"/>
        <v>-312323244.940001</v>
      </c>
      <c r="Q39" s="385">
        <f t="shared" si="30"/>
        <v>3944093825</v>
      </c>
      <c r="R39" s="292">
        <f t="shared" si="30"/>
        <v>4444188802.325897</v>
      </c>
      <c r="S39" s="292">
        <f t="shared" si="30"/>
        <v>0</v>
      </c>
      <c r="T39" s="292">
        <f t="shared" si="30"/>
        <v>4567367842.763163</v>
      </c>
      <c r="U39" s="290">
        <f t="shared" si="30"/>
        <v>15439531513.200073</v>
      </c>
      <c r="V39" s="290">
        <f t="shared" si="30"/>
        <v>3308814493.9299994</v>
      </c>
      <c r="W39" s="290">
        <f t="shared" si="30"/>
        <v>3619255350.88</v>
      </c>
      <c r="X39" s="290">
        <f>+X25+X11</f>
        <v>4107363356.33</v>
      </c>
      <c r="Y39" s="290">
        <f>+Y25+Y11</f>
        <v>5756359208</v>
      </c>
      <c r="Z39" s="290">
        <f>+Z25+Z11</f>
        <v>16791792409.14</v>
      </c>
      <c r="AA39" s="290">
        <f t="shared" si="30"/>
        <v>-374550278.51264447</v>
      </c>
      <c r="AB39" s="290">
        <f t="shared" si="30"/>
        <v>0</v>
      </c>
      <c r="AC39" s="290">
        <f t="shared" si="30"/>
        <v>0.6269087791442871</v>
      </c>
      <c r="AD39" s="290">
        <f t="shared" si="30"/>
        <v>-163269531.33000016</v>
      </c>
      <c r="AE39" s="290">
        <f t="shared" si="30"/>
        <v>-1188991365.2368374</v>
      </c>
      <c r="AF39" s="290">
        <f t="shared" si="30"/>
        <v>15439531513.200073</v>
      </c>
      <c r="AG39" s="290">
        <f t="shared" si="30"/>
        <v>1074240211.0246267</v>
      </c>
      <c r="AH39" s="293">
        <f>+V39/I39</f>
        <v>0.7692563877065698</v>
      </c>
      <c r="AI39" s="293">
        <f>+W39/L39</f>
        <v>0.8684004180972146</v>
      </c>
      <c r="AJ39" s="293">
        <f>+X39/O39</f>
        <v>0.9651161994316236</v>
      </c>
      <c r="AK39" s="293">
        <f>+Y39/R39</f>
        <v>1.2952553242084066</v>
      </c>
      <c r="AL39" s="482">
        <f>+AL25+AL11</f>
        <v>278020684.9152994</v>
      </c>
      <c r="AM39" s="304">
        <f>+Z39/H39</f>
        <v>1.0168356865747066</v>
      </c>
    </row>
    <row r="40" spans="1:28" ht="15" hidden="1">
      <c r="A40"/>
      <c r="T40" s="271"/>
      <c r="V40" s="271"/>
      <c r="W40" s="271"/>
      <c r="AB40" s="295"/>
    </row>
    <row r="41" spans="1:28" ht="19.5" hidden="1">
      <c r="A41"/>
      <c r="H41" s="239" t="s">
        <v>272</v>
      </c>
      <c r="K41" s="298">
        <f>+K14+K18+K22+K28+K33+K35+K36</f>
        <v>1851261124.1799998</v>
      </c>
      <c r="L41" s="298"/>
      <c r="M41" s="298"/>
      <c r="N41" s="298">
        <f>+N14+N18+N22+N28+N33+N35+N36</f>
        <v>2146875206.6169086</v>
      </c>
      <c r="O41" s="298"/>
      <c r="P41" s="298"/>
      <c r="Q41" s="298">
        <f>+Q14+Q18+Q22+Q28+Q33+Q35+Q36</f>
        <v>2425217531</v>
      </c>
      <c r="R41" s="298">
        <f>+R14+R18+R22+R28+R33+R35+R36</f>
        <v>2729378378.669533</v>
      </c>
      <c r="S41" s="298">
        <f>+S14+S18+S22+S28+S33+S35+S36</f>
        <v>0</v>
      </c>
      <c r="T41" s="298">
        <f>+T14+T18+T22+T28+T33+T35+T36</f>
        <v>2852557419.1067977</v>
      </c>
      <c r="U41" s="296" t="s">
        <v>273</v>
      </c>
      <c r="V41" s="297">
        <f>+V35+V33+V28+V22+V18+V14+V36</f>
        <v>1851261124.1799998</v>
      </c>
      <c r="W41" s="297">
        <f>+W35+W33+W28+W22+W18+W14+W36</f>
        <v>2146875206.06</v>
      </c>
      <c r="X41" s="297">
        <f>+X35+X33+X28+X22+X18+X14+X36</f>
        <v>2463979092.45</v>
      </c>
      <c r="Y41" s="297">
        <f>+Y35+Y33+Y28+Y22+Y18+Y14+Y36</f>
        <v>3095039927</v>
      </c>
      <c r="Z41" s="485">
        <f>SUM(V41:Y41)</f>
        <v>9557155349.689999</v>
      </c>
      <c r="AB41" s="295"/>
    </row>
    <row r="42" spans="1:28" ht="19.5" hidden="1">
      <c r="A42"/>
      <c r="H42" s="239" t="s">
        <v>230</v>
      </c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6" t="s">
        <v>274</v>
      </c>
      <c r="V42" s="297">
        <f>+RES!O58-PPC!AB70-FUN!AB51</f>
        <v>1326427135.8399997</v>
      </c>
      <c r="W42" s="297">
        <f>+RES!P58-PPC!AC70-FUN!AC51</f>
        <v>1911107246.8050003</v>
      </c>
      <c r="X42" s="298">
        <f>+RES!L58-PPC!V70-FUN!AD51</f>
        <v>2273296746.7520905</v>
      </c>
      <c r="Y42" s="485">
        <f>+ECO!AE67+TEC!AF64+MER!AF75+FUN!AE47-FUN!AE51</f>
        <v>2221786387.0200005</v>
      </c>
      <c r="Z42" s="485">
        <f>SUM(V42:Y42)</f>
        <v>7732617516.417091</v>
      </c>
      <c r="AB42" s="295"/>
    </row>
    <row r="43" spans="1:28" ht="19.5" hidden="1">
      <c r="A43"/>
      <c r="K43" s="294"/>
      <c r="U43" s="296" t="s">
        <v>10</v>
      </c>
      <c r="V43" s="299">
        <f>+V41-V42</f>
        <v>524833988.34000015</v>
      </c>
      <c r="W43" s="302">
        <f>+W41-W42</f>
        <v>235767959.25499964</v>
      </c>
      <c r="X43" s="302">
        <f>+X41-X42</f>
        <v>190682345.69790936</v>
      </c>
      <c r="Y43" s="486">
        <f>+Y41-Y42</f>
        <v>873253539.9799995</v>
      </c>
      <c r="Z43" s="486">
        <f>+Z41-Z42</f>
        <v>1824537833.2729073</v>
      </c>
      <c r="AB43" s="295"/>
    </row>
    <row r="44" spans="1:33" ht="19.5" hidden="1">
      <c r="A44"/>
      <c r="T44" s="294"/>
      <c r="U44" s="300"/>
      <c r="V44" s="301"/>
      <c r="W44" s="301"/>
      <c r="X44" s="301"/>
      <c r="Y44" s="487"/>
      <c r="Z44" s="487"/>
      <c r="AB44" s="295"/>
      <c r="AG44" s="294"/>
    </row>
    <row r="45" spans="1:28" ht="19.5" hidden="1">
      <c r="A45" t="s">
        <v>307</v>
      </c>
      <c r="B45" s="298">
        <f>+B14+B18+B22+B28+B33+B35+B36</f>
        <v>10306424760.466442</v>
      </c>
      <c r="C45" s="298">
        <f>+C14+C18+C22+C28+C33+C35+C36</f>
        <v>-313872741</v>
      </c>
      <c r="D45" s="298">
        <f>+D14+D18+D22+D28+D33+D35+D36</f>
        <v>309629945</v>
      </c>
      <c r="E45" s="298">
        <f>+E14+E18+E22+E28+E33+E35+E36</f>
        <v>0</v>
      </c>
      <c r="F45" s="298">
        <f>+F14+F18+F22+F28+F33+F35+F36</f>
        <v>-792439457</v>
      </c>
      <c r="H45" s="239" t="s">
        <v>275</v>
      </c>
      <c r="U45" s="296" t="s">
        <v>276</v>
      </c>
      <c r="V45" s="298">
        <f>V34+V32+V29+V23+V19+V37+V15</f>
        <v>1457553369.75</v>
      </c>
      <c r="W45" s="298">
        <f>+W34+W32+W29+W23+W19+W15+W37</f>
        <v>1472380144.82</v>
      </c>
      <c r="X45" s="298">
        <f>+X37+X34+X32+X29+X23+X19+X15</f>
        <v>1643384263.88</v>
      </c>
      <c r="Y45" s="485">
        <f>Y34+Y32+Y29+Y23+Y19+Y15+Y37</f>
        <v>2661319281</v>
      </c>
      <c r="Z45" s="485">
        <f>SUM(V45:Y45)</f>
        <v>7234637059.45</v>
      </c>
      <c r="AB45" s="295"/>
    </row>
    <row r="46" spans="1:28" ht="19.5" hidden="1">
      <c r="A46" t="s">
        <v>172</v>
      </c>
      <c r="B46" s="298">
        <f>B34+B32+B29+B23+B19+B37+B15</f>
        <v>6622943823.758261</v>
      </c>
      <c r="C46" s="298">
        <f>C34+C32+C29+C23+C19+C37+C15</f>
        <v>229226881</v>
      </c>
      <c r="D46" s="298">
        <f>D34+D32+D29+D23+D19+D37+D15</f>
        <v>-2664985</v>
      </c>
      <c r="E46" s="298">
        <f>E34+E32+E29+E23+E19+E37+E15</f>
        <v>46000000</v>
      </c>
      <c r="F46" s="298">
        <f>F34+F32+F29+F23+F19+F37+F15</f>
        <v>110973497</v>
      </c>
      <c r="H46" s="239" t="s">
        <v>231</v>
      </c>
      <c r="K46" s="298">
        <f>K34+K32+K29+K23+K19+K37+K15</f>
        <v>1457553369.75</v>
      </c>
      <c r="L46" s="298"/>
      <c r="M46" s="298"/>
      <c r="N46" s="298">
        <f>N34+N32+N29+N23+N19+N37+N15</f>
        <v>1472380144.8899999</v>
      </c>
      <c r="O46" s="298"/>
      <c r="P46" s="298"/>
      <c r="Q46" s="298">
        <f>Q34+Q32+Q29+Q23+Q19+Q37+Q15</f>
        <v>1518876294</v>
      </c>
      <c r="R46" s="298">
        <f>R34+R32+R29+R23+R19+R37+R15</f>
        <v>1714810423.6563652</v>
      </c>
      <c r="S46" s="298">
        <f>S34+S32+S29+S23+S19+S37+S15</f>
        <v>0</v>
      </c>
      <c r="T46" s="298">
        <f>T34+T32+T29+T23+T19+T37+T15</f>
        <v>1714810423.6563652</v>
      </c>
      <c r="U46" s="296" t="s">
        <v>277</v>
      </c>
      <c r="V46" s="298">
        <f>+PPC!AB70+FUN!AB51</f>
        <v>1288449188.42</v>
      </c>
      <c r="W46" s="298">
        <f>+PPC!AC70+FUN!AC51</f>
        <v>1407545214.3049998</v>
      </c>
      <c r="X46" s="298">
        <f>+PPC!V70+FUN!AD51</f>
        <v>1515320776.02</v>
      </c>
      <c r="Y46" s="485">
        <f>+PPC!AE70+FUN!AE51</f>
        <v>1691743967.6499999</v>
      </c>
      <c r="Z46" s="485">
        <f>SUM(V46:Y46)</f>
        <v>5903059146.3949995</v>
      </c>
      <c r="AB46" s="295"/>
    </row>
    <row r="47" spans="1:28" ht="19.5" hidden="1">
      <c r="A47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6" t="s">
        <v>10</v>
      </c>
      <c r="V47" s="302">
        <f>+V45-V46</f>
        <v>169104181.32999992</v>
      </c>
      <c r="W47" s="302">
        <f>+W45-W46</f>
        <v>64834930.515000105</v>
      </c>
      <c r="X47" s="302">
        <f>+X45-X46</f>
        <v>128063487.86000013</v>
      </c>
      <c r="Y47" s="486">
        <f>+Y45-Y46</f>
        <v>969575313.3500001</v>
      </c>
      <c r="Z47" s="486">
        <f>+Z45-Z46</f>
        <v>1331577913.0550003</v>
      </c>
      <c r="AB47" s="295"/>
    </row>
    <row r="48" spans="1:28" ht="15" hidden="1">
      <c r="A48"/>
      <c r="X48" s="294"/>
      <c r="AB48" s="295"/>
    </row>
    <row r="49" spans="1:28" ht="15" hidden="1">
      <c r="A49"/>
      <c r="J49" s="294"/>
      <c r="X49" s="294"/>
      <c r="Y49" s="294"/>
      <c r="Z49" s="270"/>
      <c r="AB49" s="295"/>
    </row>
    <row r="50" spans="1:28" ht="15" hidden="1">
      <c r="A50"/>
      <c r="X50" s="271"/>
      <c r="Y50" s="294"/>
      <c r="AB50" s="295"/>
    </row>
    <row r="51" spans="1:28" ht="15">
      <c r="A51"/>
      <c r="X51" s="271"/>
      <c r="AB51" s="295"/>
    </row>
    <row r="52" spans="1:28" ht="15">
      <c r="A52"/>
      <c r="AB52" s="295"/>
    </row>
    <row r="53" spans="1:28" ht="15">
      <c r="A53"/>
      <c r="AB53" s="295"/>
    </row>
    <row r="54" spans="1:28" ht="15">
      <c r="A54"/>
      <c r="AB54" s="295"/>
    </row>
    <row r="55" spans="1:28" ht="15">
      <c r="A55"/>
      <c r="AB55" s="295"/>
    </row>
    <row r="56" spans="1:28" ht="15">
      <c r="A56"/>
      <c r="AB56" s="295"/>
    </row>
    <row r="57" spans="1:28" ht="15">
      <c r="A57"/>
      <c r="AB57" s="295"/>
    </row>
    <row r="58" spans="1:28" ht="15">
      <c r="A58"/>
      <c r="AB58" s="295"/>
    </row>
    <row r="59" spans="1:28" ht="15">
      <c r="A59"/>
      <c r="AB59" s="295"/>
    </row>
    <row r="60" spans="1:28" ht="15">
      <c r="A60"/>
      <c r="AB60" s="295"/>
    </row>
    <row r="61" spans="1:28" ht="15">
      <c r="A61"/>
      <c r="AB61" s="295"/>
    </row>
    <row r="62" spans="1:28" ht="15">
      <c r="A62"/>
      <c r="AB62" s="295"/>
    </row>
    <row r="63" spans="1:28" ht="15">
      <c r="A63"/>
      <c r="AB63" s="295"/>
    </row>
    <row r="64" spans="1:28" ht="15">
      <c r="A64"/>
      <c r="AB64" s="295"/>
    </row>
    <row r="65" spans="1:28" ht="15">
      <c r="A65"/>
      <c r="AB65" s="295"/>
    </row>
    <row r="66" spans="1:28" ht="15">
      <c r="A66"/>
      <c r="AB66" s="295"/>
    </row>
    <row r="67" spans="1:28" ht="15">
      <c r="A67"/>
      <c r="AB67" s="295"/>
    </row>
    <row r="68" spans="1:28" ht="15">
      <c r="A68"/>
      <c r="AB68" s="295"/>
    </row>
    <row r="69" spans="1:28" ht="15">
      <c r="A69"/>
      <c r="AB69" s="295"/>
    </row>
    <row r="70" spans="1:28" ht="15">
      <c r="A70"/>
      <c r="AB70" s="295"/>
    </row>
    <row r="71" spans="1:28" ht="15">
      <c r="A71"/>
      <c r="AB71" s="295"/>
    </row>
    <row r="72" spans="1:28" ht="15">
      <c r="A72"/>
      <c r="AB72" s="295"/>
    </row>
    <row r="73" spans="1:28" ht="15">
      <c r="A73"/>
      <c r="AB73" s="295"/>
    </row>
    <row r="74" spans="1:28" ht="15">
      <c r="A74"/>
      <c r="AB74" s="295"/>
    </row>
    <row r="75" spans="1:28" ht="15">
      <c r="A75"/>
      <c r="AB75" s="295"/>
    </row>
    <row r="76" spans="1:28" ht="15">
      <c r="A76"/>
      <c r="AB76" s="295"/>
    </row>
    <row r="77" spans="1:28" ht="15">
      <c r="A77"/>
      <c r="AB77" s="295"/>
    </row>
    <row r="78" spans="1:28" ht="15">
      <c r="A78"/>
      <c r="AB78" s="295"/>
    </row>
    <row r="79" spans="1:28" ht="15">
      <c r="A79"/>
      <c r="AB79" s="295"/>
    </row>
    <row r="80" spans="1:28" ht="15">
      <c r="A80"/>
      <c r="AB80" s="295"/>
    </row>
    <row r="81" spans="1:28" ht="15">
      <c r="A81"/>
      <c r="AB81" s="295"/>
    </row>
    <row r="82" spans="1:28" ht="15">
      <c r="A82"/>
      <c r="AB82" s="295"/>
    </row>
    <row r="83" spans="1:28" ht="15">
      <c r="A83"/>
      <c r="AB83" s="295"/>
    </row>
    <row r="84" spans="1:28" ht="15">
      <c r="A84"/>
      <c r="AB84" s="295"/>
    </row>
    <row r="85" spans="1:28" ht="15">
      <c r="A85"/>
      <c r="AB85" s="295"/>
    </row>
    <row r="86" spans="1:28" ht="15">
      <c r="A86"/>
      <c r="AB86" s="295"/>
    </row>
    <row r="87" spans="1:28" ht="15">
      <c r="A87"/>
      <c r="AB87" s="295"/>
    </row>
    <row r="88" spans="1:28" ht="15">
      <c r="A88"/>
      <c r="AB88" s="295"/>
    </row>
    <row r="89" spans="1:28" ht="15">
      <c r="A89"/>
      <c r="AB89" s="295"/>
    </row>
    <row r="90" spans="1:28" ht="15">
      <c r="A90"/>
      <c r="AB90" s="295"/>
    </row>
    <row r="91" spans="1:28" ht="15">
      <c r="A91"/>
      <c r="AB91" s="295"/>
    </row>
    <row r="92" spans="1:28" ht="15">
      <c r="A92"/>
      <c r="AB92" s="295"/>
    </row>
    <row r="93" spans="1:28" ht="15">
      <c r="A93"/>
      <c r="AB93" s="295"/>
    </row>
    <row r="94" spans="1:28" ht="15">
      <c r="A94"/>
      <c r="AB94" s="295"/>
    </row>
    <row r="95" spans="1:28" ht="15">
      <c r="A95"/>
      <c r="AB95" s="295"/>
    </row>
    <row r="96" spans="1:28" ht="15">
      <c r="A96"/>
      <c r="AB96" s="295"/>
    </row>
    <row r="97" spans="1:28" ht="15">
      <c r="A97"/>
      <c r="AB97" s="295"/>
    </row>
    <row r="98" spans="1:28" ht="15">
      <c r="A98"/>
      <c r="AB98" s="295"/>
    </row>
    <row r="99" spans="1:28" ht="15">
      <c r="A99"/>
      <c r="AB99" s="295"/>
    </row>
    <row r="100" ht="15">
      <c r="AB100" s="295"/>
    </row>
    <row r="101" ht="15">
      <c r="AB101" s="295"/>
    </row>
    <row r="102" ht="15">
      <c r="AB102" s="295"/>
    </row>
    <row r="103" ht="15">
      <c r="AB103" s="295"/>
    </row>
    <row r="104" ht="15">
      <c r="AB104" s="295"/>
    </row>
    <row r="105" ht="15">
      <c r="AB105" s="295"/>
    </row>
    <row r="106" ht="15">
      <c r="AB106" s="295"/>
    </row>
    <row r="107" ht="15">
      <c r="AB107" s="295"/>
    </row>
    <row r="108" ht="15">
      <c r="AB108" s="295"/>
    </row>
    <row r="109" ht="15">
      <c r="AB109" s="295"/>
    </row>
    <row r="110" ht="15">
      <c r="AB110" s="295"/>
    </row>
    <row r="111" ht="15">
      <c r="AB111" s="295"/>
    </row>
    <row r="112" ht="15">
      <c r="AB112" s="295"/>
    </row>
    <row r="113" ht="15">
      <c r="AB113" s="295"/>
    </row>
    <row r="114" ht="15">
      <c r="AB114" s="295"/>
    </row>
    <row r="115" ht="15">
      <c r="AB115" s="295"/>
    </row>
    <row r="116" ht="15">
      <c r="AB116" s="295"/>
    </row>
    <row r="117" ht="15">
      <c r="AB117" s="295"/>
    </row>
    <row r="118" ht="15">
      <c r="AB118" s="295"/>
    </row>
    <row r="119" ht="15">
      <c r="AB119" s="295"/>
    </row>
    <row r="120" ht="15">
      <c r="AB120" s="295"/>
    </row>
    <row r="121" ht="15">
      <c r="AB121" s="295"/>
    </row>
    <row r="122" ht="15">
      <c r="AB122" s="295"/>
    </row>
    <row r="123" ht="15">
      <c r="AB123" s="295"/>
    </row>
    <row r="124" ht="15">
      <c r="AB124" s="295"/>
    </row>
    <row r="125" ht="15">
      <c r="AB125" s="295"/>
    </row>
    <row r="126" ht="15">
      <c r="AB126" s="295"/>
    </row>
    <row r="127" ht="15">
      <c r="AB127" s="295"/>
    </row>
    <row r="128" ht="15">
      <c r="AB128" s="295"/>
    </row>
    <row r="129" ht="15">
      <c r="AB129" s="295"/>
    </row>
    <row r="130" ht="15">
      <c r="AB130" s="295"/>
    </row>
    <row r="131" ht="15">
      <c r="AB131" s="295"/>
    </row>
    <row r="132" ht="15">
      <c r="AB132" s="295"/>
    </row>
    <row r="133" ht="15">
      <c r="AB133" s="295"/>
    </row>
    <row r="134" ht="15">
      <c r="AB134" s="295"/>
    </row>
    <row r="135" ht="15">
      <c r="AB135" s="295"/>
    </row>
    <row r="136" ht="15">
      <c r="AB136" s="295"/>
    </row>
    <row r="137" ht="15">
      <c r="AB137" s="295"/>
    </row>
    <row r="138" ht="15">
      <c r="AB138" s="295"/>
    </row>
    <row r="139" ht="15">
      <c r="AB139" s="295"/>
    </row>
    <row r="140" ht="15">
      <c r="AB140" s="295"/>
    </row>
    <row r="141" ht="15">
      <c r="AB141" s="295"/>
    </row>
    <row r="142" ht="15">
      <c r="AB142" s="295"/>
    </row>
    <row r="143" ht="15">
      <c r="AB143" s="295"/>
    </row>
    <row r="144" ht="15">
      <c r="AB144" s="295"/>
    </row>
    <row r="145" ht="15">
      <c r="AB145" s="295"/>
    </row>
    <row r="146" ht="15">
      <c r="AB146" s="295"/>
    </row>
    <row r="147" ht="15">
      <c r="AB147" s="295"/>
    </row>
    <row r="148" ht="15">
      <c r="AB148" s="295"/>
    </row>
    <row r="149" ht="15">
      <c r="AB149" s="295"/>
    </row>
    <row r="150" ht="15">
      <c r="AB150" s="295"/>
    </row>
    <row r="151" ht="15">
      <c r="AB151" s="295"/>
    </row>
    <row r="152" ht="15">
      <c r="AB152" s="295"/>
    </row>
    <row r="153" ht="15">
      <c r="AB153" s="295"/>
    </row>
    <row r="154" ht="15">
      <c r="AB154" s="295"/>
    </row>
    <row r="155" ht="15">
      <c r="AB155" s="295"/>
    </row>
    <row r="156" ht="15">
      <c r="AB156" s="295"/>
    </row>
    <row r="157" ht="15">
      <c r="AB157" s="295"/>
    </row>
    <row r="158" ht="15">
      <c r="AB158" s="295"/>
    </row>
    <row r="159" ht="15">
      <c r="AB159" s="295"/>
    </row>
    <row r="160" ht="15">
      <c r="AB160" s="295"/>
    </row>
    <row r="161" ht="15">
      <c r="AB161" s="295"/>
    </row>
    <row r="162" ht="15">
      <c r="AB162" s="295"/>
    </row>
    <row r="163" ht="15">
      <c r="AB163" s="295"/>
    </row>
    <row r="164" ht="15">
      <c r="AB164" s="295"/>
    </row>
    <row r="165" ht="15">
      <c r="AB165" s="295"/>
    </row>
    <row r="166" ht="15">
      <c r="AB166" s="295"/>
    </row>
    <row r="167" ht="15">
      <c r="AB167" s="295"/>
    </row>
    <row r="168" ht="15">
      <c r="AB168" s="295"/>
    </row>
    <row r="169" ht="15">
      <c r="AB169" s="295"/>
    </row>
    <row r="170" ht="15">
      <c r="AB170" s="295"/>
    </row>
    <row r="171" ht="15">
      <c r="AB171" s="295"/>
    </row>
    <row r="172" ht="15">
      <c r="AB172" s="295"/>
    </row>
    <row r="173" ht="15">
      <c r="AB173" s="295"/>
    </row>
    <row r="174" ht="15">
      <c r="AB174" s="295"/>
    </row>
    <row r="175" ht="15">
      <c r="AB175" s="295"/>
    </row>
    <row r="176" ht="15">
      <c r="AB176" s="295"/>
    </row>
    <row r="177" ht="15">
      <c r="AB177" s="295"/>
    </row>
    <row r="178" ht="15">
      <c r="AB178" s="295"/>
    </row>
    <row r="179" ht="15">
      <c r="AB179" s="295"/>
    </row>
    <row r="180" ht="15">
      <c r="AB180" s="295"/>
    </row>
    <row r="181" ht="15">
      <c r="AB181" s="295"/>
    </row>
    <row r="182" ht="15">
      <c r="AB182" s="295"/>
    </row>
    <row r="183" ht="15">
      <c r="AB183" s="295"/>
    </row>
    <row r="184" ht="15">
      <c r="AB184" s="295"/>
    </row>
    <row r="185" ht="15">
      <c r="AB185" s="295"/>
    </row>
    <row r="186" ht="15">
      <c r="AB186" s="295"/>
    </row>
    <row r="187" ht="15">
      <c r="AB187" s="295"/>
    </row>
    <row r="188" ht="15">
      <c r="AB188" s="295"/>
    </row>
    <row r="189" ht="15">
      <c r="AB189" s="295"/>
    </row>
    <row r="190" ht="15">
      <c r="AB190" s="295"/>
    </row>
    <row r="191" ht="15">
      <c r="AB191" s="295"/>
    </row>
    <row r="192" ht="15">
      <c r="AB192" s="295"/>
    </row>
    <row r="193" ht="15">
      <c r="AB193" s="295"/>
    </row>
    <row r="194" ht="15">
      <c r="AB194" s="295"/>
    </row>
    <row r="195" ht="15">
      <c r="AB195" s="295"/>
    </row>
    <row r="196" ht="15">
      <c r="AB196" s="295"/>
    </row>
    <row r="197" ht="15">
      <c r="AB197" s="295"/>
    </row>
    <row r="198" ht="15">
      <c r="AB198" s="295"/>
    </row>
    <row r="199" ht="15">
      <c r="AB199" s="295"/>
    </row>
    <row r="200" ht="15">
      <c r="AB200" s="295"/>
    </row>
    <row r="201" ht="15">
      <c r="AB201" s="295"/>
    </row>
    <row r="202" ht="15">
      <c r="AB202" s="295"/>
    </row>
    <row r="203" ht="15">
      <c r="AB203" s="295"/>
    </row>
    <row r="204" ht="15">
      <c r="AB204" s="295"/>
    </row>
    <row r="205" ht="15">
      <c r="AB205" s="295"/>
    </row>
    <row r="206" ht="15">
      <c r="AB206" s="295"/>
    </row>
    <row r="207" ht="15">
      <c r="AB207" s="295"/>
    </row>
    <row r="208" ht="15">
      <c r="AB208" s="295"/>
    </row>
    <row r="209" ht="15">
      <c r="AB209" s="295"/>
    </row>
    <row r="210" ht="15">
      <c r="AB210" s="295"/>
    </row>
    <row r="211" ht="15">
      <c r="AB211" s="295"/>
    </row>
    <row r="212" ht="15">
      <c r="AB212" s="295"/>
    </row>
    <row r="213" ht="15">
      <c r="AB213" s="295"/>
    </row>
    <row r="214" ht="15">
      <c r="AB214" s="295"/>
    </row>
    <row r="215" ht="15">
      <c r="AB215" s="295"/>
    </row>
    <row r="216" ht="15">
      <c r="AB216" s="295"/>
    </row>
    <row r="217" ht="15">
      <c r="AB217" s="295"/>
    </row>
    <row r="218" ht="15">
      <c r="AB218" s="295"/>
    </row>
    <row r="219" ht="15">
      <c r="AB219" s="295"/>
    </row>
    <row r="220" ht="15">
      <c r="AB220" s="295"/>
    </row>
    <row r="221" ht="15">
      <c r="AB221" s="295"/>
    </row>
    <row r="222" ht="15">
      <c r="AB222" s="295"/>
    </row>
    <row r="223" ht="15">
      <c r="AB223" s="295"/>
    </row>
    <row r="224" ht="15">
      <c r="AB224" s="295"/>
    </row>
    <row r="225" ht="15">
      <c r="AB225" s="295"/>
    </row>
    <row r="226" ht="15">
      <c r="AB226" s="295"/>
    </row>
    <row r="227" ht="15">
      <c r="AB227" s="295"/>
    </row>
    <row r="228" ht="15">
      <c r="AB228" s="295"/>
    </row>
    <row r="229" ht="15">
      <c r="AB229" s="295"/>
    </row>
    <row r="230" ht="15">
      <c r="AB230" s="295"/>
    </row>
    <row r="231" ht="15">
      <c r="AB231" s="295"/>
    </row>
    <row r="232" ht="15">
      <c r="AB232" s="295"/>
    </row>
    <row r="233" ht="15">
      <c r="AB233" s="295"/>
    </row>
    <row r="234" ht="15">
      <c r="AB234" s="295"/>
    </row>
    <row r="235" ht="15">
      <c r="AB235" s="295"/>
    </row>
    <row r="236" ht="15">
      <c r="AB236" s="295"/>
    </row>
    <row r="237" ht="15">
      <c r="AB237" s="295"/>
    </row>
    <row r="238" ht="15">
      <c r="AB238" s="295"/>
    </row>
    <row r="239" ht="15">
      <c r="AB239" s="295"/>
    </row>
    <row r="240" ht="15">
      <c r="AB240" s="295"/>
    </row>
    <row r="241" ht="15">
      <c r="AB241" s="295"/>
    </row>
    <row r="242" ht="15">
      <c r="AB242" s="295"/>
    </row>
    <row r="243" ht="15">
      <c r="AB243" s="295"/>
    </row>
    <row r="244" ht="15">
      <c r="AB244" s="295"/>
    </row>
    <row r="245" ht="15">
      <c r="AB245" s="295"/>
    </row>
    <row r="246" ht="15">
      <c r="AB246" s="295"/>
    </row>
    <row r="247" ht="15">
      <c r="AB247" s="295"/>
    </row>
    <row r="248" ht="15">
      <c r="AB248" s="295"/>
    </row>
    <row r="249" ht="15">
      <c r="AB249" s="295"/>
    </row>
    <row r="250" ht="15">
      <c r="AB250" s="295"/>
    </row>
    <row r="251" ht="15">
      <c r="AB251" s="295"/>
    </row>
    <row r="252" ht="15">
      <c r="AB252" s="295"/>
    </row>
    <row r="253" ht="15">
      <c r="AB253" s="295"/>
    </row>
    <row r="254" ht="15">
      <c r="AB254" s="295"/>
    </row>
    <row r="255" ht="15">
      <c r="AB255" s="295"/>
    </row>
    <row r="256" ht="15">
      <c r="AB256" s="295"/>
    </row>
    <row r="257" ht="15">
      <c r="AB257" s="295"/>
    </row>
    <row r="258" ht="15">
      <c r="AB258" s="295"/>
    </row>
    <row r="259" ht="15">
      <c r="AB259" s="295"/>
    </row>
    <row r="260" ht="15">
      <c r="AB260" s="295"/>
    </row>
    <row r="261" ht="15">
      <c r="AB261" s="295"/>
    </row>
    <row r="262" ht="15">
      <c r="AB262" s="295"/>
    </row>
    <row r="263" ht="15">
      <c r="AB263" s="295"/>
    </row>
    <row r="264" ht="15">
      <c r="AB264" s="295"/>
    </row>
    <row r="265" ht="15">
      <c r="AB265" s="295"/>
    </row>
    <row r="266" ht="15">
      <c r="AB266" s="295"/>
    </row>
    <row r="267" ht="15">
      <c r="AB267" s="295"/>
    </row>
    <row r="268" ht="15">
      <c r="AB268" s="295"/>
    </row>
    <row r="269" ht="15">
      <c r="AB269" s="295"/>
    </row>
    <row r="270" ht="15">
      <c r="AB270" s="295"/>
    </row>
    <row r="271" ht="15">
      <c r="AB271" s="295"/>
    </row>
    <row r="272" ht="15">
      <c r="AB272" s="295"/>
    </row>
    <row r="273" ht="15">
      <c r="AB273" s="295"/>
    </row>
    <row r="274" ht="15">
      <c r="AB274" s="295"/>
    </row>
    <row r="275" ht="15">
      <c r="AB275" s="295"/>
    </row>
    <row r="276" ht="15">
      <c r="AB276" s="295"/>
    </row>
    <row r="277" ht="15">
      <c r="AB277" s="295"/>
    </row>
    <row r="278" ht="15">
      <c r="AB278" s="295"/>
    </row>
    <row r="279" ht="15">
      <c r="AB279" s="295"/>
    </row>
    <row r="280" ht="15">
      <c r="AB280" s="295"/>
    </row>
    <row r="281" ht="15">
      <c r="AB281" s="295"/>
    </row>
    <row r="282" ht="15">
      <c r="AB282" s="295"/>
    </row>
    <row r="283" ht="15">
      <c r="AB283" s="295"/>
    </row>
    <row r="284" ht="15">
      <c r="AB284" s="295"/>
    </row>
    <row r="285" ht="15">
      <c r="AB285" s="295"/>
    </row>
    <row r="286" ht="15">
      <c r="AB286" s="295"/>
    </row>
    <row r="287" ht="15">
      <c r="AB287" s="295"/>
    </row>
    <row r="288" ht="15">
      <c r="AB288" s="295"/>
    </row>
    <row r="289" ht="15">
      <c r="AB289" s="295"/>
    </row>
    <row r="290" ht="15">
      <c r="AB290" s="295"/>
    </row>
    <row r="291" ht="15">
      <c r="AB291" s="295"/>
    </row>
    <row r="292" ht="15">
      <c r="AB292" s="295"/>
    </row>
    <row r="293" ht="15">
      <c r="AB293" s="295"/>
    </row>
    <row r="294" ht="15">
      <c r="AB294" s="295"/>
    </row>
    <row r="295" ht="15">
      <c r="AB295" s="295"/>
    </row>
    <row r="296" ht="15">
      <c r="AB296" s="295"/>
    </row>
    <row r="297" ht="15">
      <c r="AB297" s="295"/>
    </row>
    <row r="298" ht="15">
      <c r="AB298" s="295"/>
    </row>
    <row r="299" ht="15">
      <c r="AB299" s="295"/>
    </row>
    <row r="300" ht="15">
      <c r="AB300" s="295"/>
    </row>
    <row r="301" ht="15">
      <c r="AB301" s="295"/>
    </row>
    <row r="302" ht="15">
      <c r="AB302" s="295"/>
    </row>
    <row r="303" ht="15">
      <c r="AB303" s="295"/>
    </row>
    <row r="304" ht="15">
      <c r="AB304" s="295"/>
    </row>
    <row r="305" ht="15">
      <c r="AB305" s="295"/>
    </row>
    <row r="306" ht="15">
      <c r="AB306" s="295"/>
    </row>
    <row r="307" ht="15">
      <c r="AB307" s="295"/>
    </row>
    <row r="308" ht="15">
      <c r="AB308" s="295"/>
    </row>
    <row r="309" ht="15">
      <c r="AB309" s="295"/>
    </row>
    <row r="310" ht="15">
      <c r="AB310" s="295"/>
    </row>
    <row r="311" ht="15">
      <c r="AB311" s="295"/>
    </row>
    <row r="312" ht="15">
      <c r="AB312" s="295"/>
    </row>
    <row r="313" ht="15">
      <c r="AB313" s="295"/>
    </row>
    <row r="314" ht="15">
      <c r="AB314" s="295"/>
    </row>
    <row r="315" ht="15">
      <c r="AB315" s="295"/>
    </row>
    <row r="316" ht="15">
      <c r="AB316" s="295"/>
    </row>
    <row r="317" ht="15">
      <c r="AB317" s="295"/>
    </row>
    <row r="318" ht="15">
      <c r="AB318" s="295"/>
    </row>
    <row r="319" ht="15">
      <c r="AB319" s="295"/>
    </row>
    <row r="320" ht="15">
      <c r="AB320" s="295"/>
    </row>
    <row r="321" ht="15">
      <c r="AB321" s="295"/>
    </row>
    <row r="322" ht="15">
      <c r="AB322" s="295"/>
    </row>
    <row r="323" ht="15">
      <c r="AB323" s="295"/>
    </row>
    <row r="324" ht="15">
      <c r="AB324" s="295"/>
    </row>
    <row r="325" ht="15">
      <c r="AB325" s="295"/>
    </row>
    <row r="326" ht="15">
      <c r="AB326" s="295"/>
    </row>
    <row r="327" ht="15">
      <c r="AB327" s="295"/>
    </row>
    <row r="328" ht="15">
      <c r="AB328" s="295"/>
    </row>
    <row r="329" ht="15">
      <c r="AB329" s="295"/>
    </row>
    <row r="330" ht="15">
      <c r="AB330" s="295"/>
    </row>
    <row r="331" ht="15">
      <c r="AB331" s="295"/>
    </row>
    <row r="332" ht="15">
      <c r="AB332" s="295"/>
    </row>
    <row r="333" ht="15">
      <c r="AB333" s="295"/>
    </row>
    <row r="334" ht="15">
      <c r="AB334" s="295"/>
    </row>
    <row r="335" ht="15">
      <c r="AB335" s="295"/>
    </row>
    <row r="336" ht="15">
      <c r="AB336" s="295"/>
    </row>
    <row r="337" ht="15">
      <c r="AB337" s="295"/>
    </row>
    <row r="338" ht="15">
      <c r="AB338" s="295"/>
    </row>
    <row r="339" ht="15">
      <c r="AB339" s="295"/>
    </row>
    <row r="340" ht="15">
      <c r="AB340" s="295"/>
    </row>
    <row r="341" ht="15">
      <c r="AB341" s="295"/>
    </row>
    <row r="342" ht="15">
      <c r="AB342" s="295"/>
    </row>
    <row r="343" ht="15">
      <c r="AB343" s="295"/>
    </row>
    <row r="344" ht="15">
      <c r="AB344" s="295"/>
    </row>
    <row r="345" ht="15">
      <c r="AB345" s="295"/>
    </row>
    <row r="346" ht="15">
      <c r="AB346" s="295"/>
    </row>
    <row r="347" ht="15">
      <c r="AB347" s="295"/>
    </row>
    <row r="348" ht="15">
      <c r="AB348" s="295"/>
    </row>
    <row r="349" ht="15">
      <c r="AB349" s="295"/>
    </row>
    <row r="350" ht="15">
      <c r="AB350" s="295"/>
    </row>
    <row r="351" ht="15">
      <c r="AB351" s="295"/>
    </row>
    <row r="352" ht="15">
      <c r="AB352" s="295"/>
    </row>
    <row r="353" ht="15">
      <c r="AB353" s="295"/>
    </row>
    <row r="354" ht="15">
      <c r="AB354" s="295"/>
    </row>
    <row r="355" ht="15">
      <c r="AB355" s="295"/>
    </row>
    <row r="356" ht="15">
      <c r="AB356" s="295"/>
    </row>
    <row r="357" ht="15">
      <c r="AB357" s="295"/>
    </row>
    <row r="358" ht="15">
      <c r="AB358" s="295"/>
    </row>
    <row r="359" ht="15">
      <c r="AB359" s="295"/>
    </row>
    <row r="360" ht="15">
      <c r="AB360" s="295"/>
    </row>
    <row r="361" ht="15">
      <c r="AB361" s="295"/>
    </row>
    <row r="362" ht="15">
      <c r="AB362" s="295"/>
    </row>
    <row r="363" ht="15">
      <c r="AB363" s="295"/>
    </row>
    <row r="364" ht="15">
      <c r="AB364" s="295"/>
    </row>
    <row r="365" ht="15">
      <c r="AB365" s="295"/>
    </row>
    <row r="366" ht="15">
      <c r="AB366" s="295"/>
    </row>
    <row r="367" ht="15">
      <c r="AB367" s="295"/>
    </row>
    <row r="368" ht="15">
      <c r="AB368" s="295"/>
    </row>
    <row r="369" ht="15">
      <c r="AB369" s="295"/>
    </row>
    <row r="370" ht="15">
      <c r="AB370" s="295"/>
    </row>
    <row r="371" ht="15">
      <c r="AB371" s="295"/>
    </row>
    <row r="372" ht="15">
      <c r="AB372" s="295"/>
    </row>
    <row r="373" ht="15">
      <c r="AB373" s="295"/>
    </row>
    <row r="374" ht="15">
      <c r="AB374" s="295"/>
    </row>
    <row r="375" ht="15">
      <c r="AB375" s="295"/>
    </row>
    <row r="376" ht="15">
      <c r="AB376" s="295"/>
    </row>
    <row r="377" ht="15">
      <c r="AB377" s="295"/>
    </row>
    <row r="378" ht="15">
      <c r="AB378" s="295"/>
    </row>
    <row r="379" ht="15">
      <c r="AB379" s="295"/>
    </row>
    <row r="380" ht="15">
      <c r="AB380" s="295"/>
    </row>
    <row r="381" ht="15">
      <c r="AB381" s="295"/>
    </row>
    <row r="382" ht="15">
      <c r="AB382" s="295"/>
    </row>
    <row r="383" ht="15">
      <c r="AB383" s="295"/>
    </row>
    <row r="384" ht="15">
      <c r="AB384" s="295"/>
    </row>
    <row r="385" ht="15">
      <c r="AB385" s="295"/>
    </row>
    <row r="386" ht="15">
      <c r="AB386" s="295"/>
    </row>
    <row r="387" ht="15">
      <c r="AB387" s="295"/>
    </row>
    <row r="388" ht="15">
      <c r="AB388" s="295"/>
    </row>
    <row r="389" ht="15">
      <c r="AB389" s="295"/>
    </row>
    <row r="390" ht="15">
      <c r="AB390" s="295"/>
    </row>
    <row r="391" ht="15">
      <c r="AB391" s="295"/>
    </row>
    <row r="392" ht="15">
      <c r="AB392" s="295"/>
    </row>
    <row r="393" ht="15">
      <c r="AB393" s="295"/>
    </row>
    <row r="394" ht="15">
      <c r="AB394" s="295"/>
    </row>
    <row r="395" ht="15">
      <c r="AB395" s="295"/>
    </row>
    <row r="396" ht="15">
      <c r="AB396" s="295"/>
    </row>
    <row r="397" ht="15">
      <c r="AB397" s="295"/>
    </row>
    <row r="398" ht="15">
      <c r="AB398" s="295"/>
    </row>
    <row r="399" ht="15">
      <c r="AB399" s="295"/>
    </row>
    <row r="400" ht="15">
      <c r="AB400" s="295"/>
    </row>
    <row r="401" ht="15">
      <c r="AB401" s="295"/>
    </row>
    <row r="402" ht="15">
      <c r="AB402" s="295"/>
    </row>
    <row r="403" ht="15">
      <c r="AB403" s="295"/>
    </row>
    <row r="404" ht="15">
      <c r="AB404" s="295"/>
    </row>
    <row r="405" ht="15">
      <c r="AB405" s="295"/>
    </row>
    <row r="406" ht="15">
      <c r="AB406" s="295"/>
    </row>
    <row r="407" ht="15">
      <c r="AB407" s="295"/>
    </row>
    <row r="408" ht="15">
      <c r="AB408" s="295"/>
    </row>
    <row r="409" ht="15">
      <c r="AB409" s="295"/>
    </row>
    <row r="410" ht="15">
      <c r="AB410" s="295"/>
    </row>
    <row r="411" ht="15">
      <c r="AB411" s="295"/>
    </row>
    <row r="412" ht="15">
      <c r="AB412" s="295"/>
    </row>
    <row r="413" ht="15">
      <c r="AB413" s="295"/>
    </row>
    <row r="414" ht="15">
      <c r="AB414" s="295"/>
    </row>
    <row r="415" ht="15">
      <c r="AB415" s="295"/>
    </row>
    <row r="416" ht="15">
      <c r="AB416" s="295"/>
    </row>
    <row r="417" ht="15">
      <c r="AB417" s="295"/>
    </row>
    <row r="418" ht="15">
      <c r="AB418" s="295"/>
    </row>
    <row r="419" ht="15">
      <c r="AB419" s="295"/>
    </row>
    <row r="420" ht="15">
      <c r="AB420" s="295"/>
    </row>
    <row r="421" ht="15">
      <c r="AB421" s="295"/>
    </row>
    <row r="422" ht="15">
      <c r="AB422" s="295"/>
    </row>
    <row r="423" ht="15">
      <c r="AB423" s="295"/>
    </row>
    <row r="424" ht="15">
      <c r="AB424" s="295"/>
    </row>
    <row r="425" ht="15">
      <c r="AB425" s="295"/>
    </row>
    <row r="426" ht="15">
      <c r="AB426" s="295"/>
    </row>
    <row r="427" ht="15">
      <c r="AB427" s="295"/>
    </row>
    <row r="428" ht="15">
      <c r="AB428" s="295"/>
    </row>
    <row r="429" ht="15">
      <c r="AB429" s="295"/>
    </row>
    <row r="430" ht="15">
      <c r="AB430" s="295"/>
    </row>
    <row r="431" ht="15">
      <c r="AB431" s="295"/>
    </row>
    <row r="432" ht="15">
      <c r="AB432" s="295"/>
    </row>
    <row r="433" ht="15">
      <c r="AB433" s="295"/>
    </row>
    <row r="434" ht="15">
      <c r="AB434" s="295"/>
    </row>
    <row r="435" ht="15">
      <c r="AB435" s="295"/>
    </row>
    <row r="436" ht="15">
      <c r="AB436" s="295"/>
    </row>
    <row r="437" ht="15">
      <c r="AB437" s="295"/>
    </row>
    <row r="438" ht="15">
      <c r="AB438" s="295"/>
    </row>
    <row r="439" ht="15">
      <c r="AB439" s="295"/>
    </row>
    <row r="440" ht="15">
      <c r="AB440" s="295"/>
    </row>
    <row r="441" ht="15">
      <c r="AB441" s="295"/>
    </row>
    <row r="442" ht="15">
      <c r="AB442" s="295"/>
    </row>
    <row r="443" ht="15">
      <c r="AB443" s="295"/>
    </row>
    <row r="444" ht="15">
      <c r="AB444" s="295"/>
    </row>
    <row r="445" ht="15">
      <c r="AB445" s="295"/>
    </row>
    <row r="446" ht="15">
      <c r="AB446" s="295"/>
    </row>
    <row r="447" ht="15">
      <c r="AB447" s="295"/>
    </row>
    <row r="448" ht="15">
      <c r="AB448" s="295"/>
    </row>
    <row r="449" ht="15">
      <c r="AB449" s="295"/>
    </row>
    <row r="450" ht="15">
      <c r="AB450" s="295"/>
    </row>
    <row r="451" ht="15">
      <c r="AB451" s="295"/>
    </row>
    <row r="452" ht="15">
      <c r="AB452" s="295"/>
    </row>
    <row r="453" ht="15">
      <c r="AB453" s="295"/>
    </row>
    <row r="454" ht="15">
      <c r="AB454" s="295"/>
    </row>
    <row r="455" ht="15">
      <c r="AB455" s="295"/>
    </row>
    <row r="456" ht="15">
      <c r="AB456" s="295"/>
    </row>
    <row r="457" ht="15">
      <c r="AB457" s="295"/>
    </row>
    <row r="458" ht="15">
      <c r="AB458" s="295"/>
    </row>
    <row r="459" ht="15">
      <c r="AB459" s="295"/>
    </row>
    <row r="460" ht="15">
      <c r="AB460" s="295"/>
    </row>
    <row r="461" ht="15">
      <c r="AB461" s="295"/>
    </row>
    <row r="462" ht="15">
      <c r="AB462" s="295"/>
    </row>
    <row r="463" ht="15">
      <c r="AB463" s="295"/>
    </row>
    <row r="464" ht="15">
      <c r="AB464" s="295"/>
    </row>
    <row r="465" ht="15">
      <c r="AB465" s="295"/>
    </row>
    <row r="466" ht="15">
      <c r="AB466" s="295"/>
    </row>
    <row r="467" ht="15">
      <c r="AB467" s="295"/>
    </row>
    <row r="468" ht="15">
      <c r="AB468" s="295"/>
    </row>
    <row r="469" ht="15">
      <c r="AB469" s="295"/>
    </row>
    <row r="470" ht="15">
      <c r="AB470" s="295"/>
    </row>
    <row r="471" ht="15">
      <c r="AB471" s="295"/>
    </row>
    <row r="472" ht="15">
      <c r="AB472" s="295"/>
    </row>
    <row r="473" ht="15">
      <c r="AB473" s="295"/>
    </row>
    <row r="474" ht="15">
      <c r="AB474" s="295"/>
    </row>
    <row r="475" ht="15">
      <c r="AB475" s="295"/>
    </row>
    <row r="476" ht="15">
      <c r="AB476" s="295"/>
    </row>
    <row r="477" ht="15">
      <c r="AB477" s="295"/>
    </row>
    <row r="478" ht="15">
      <c r="AB478" s="295"/>
    </row>
    <row r="479" ht="15">
      <c r="AB479" s="295"/>
    </row>
    <row r="480" ht="15">
      <c r="AB480" s="295"/>
    </row>
    <row r="481" ht="15">
      <c r="AB481" s="295"/>
    </row>
    <row r="482" ht="15">
      <c r="AB482" s="295"/>
    </row>
    <row r="483" ht="15">
      <c r="AB483" s="295"/>
    </row>
    <row r="484" ht="15">
      <c r="AB484" s="295"/>
    </row>
    <row r="485" ht="15">
      <c r="AB485" s="295"/>
    </row>
    <row r="486" ht="15">
      <c r="AB486" s="295"/>
    </row>
    <row r="487" ht="15">
      <c r="AB487" s="295"/>
    </row>
    <row r="488" ht="15">
      <c r="AB488" s="295"/>
    </row>
    <row r="489" ht="15">
      <c r="AB489" s="295"/>
    </row>
    <row r="490" ht="15">
      <c r="AB490" s="295"/>
    </row>
    <row r="491" ht="15">
      <c r="AB491" s="295"/>
    </row>
    <row r="492" ht="15">
      <c r="AB492" s="295"/>
    </row>
    <row r="493" ht="15">
      <c r="AB493" s="295"/>
    </row>
    <row r="494" ht="15">
      <c r="AB494" s="295"/>
    </row>
    <row r="495" ht="15">
      <c r="AB495" s="295"/>
    </row>
    <row r="496" ht="15">
      <c r="AB496" s="295"/>
    </row>
    <row r="497" ht="15">
      <c r="AB497" s="295"/>
    </row>
    <row r="498" ht="15">
      <c r="AB498" s="295"/>
    </row>
    <row r="499" ht="15">
      <c r="AB499" s="295"/>
    </row>
    <row r="500" ht="15">
      <c r="AB500" s="295"/>
    </row>
    <row r="501" ht="15">
      <c r="AB501" s="295"/>
    </row>
    <row r="502" ht="15">
      <c r="AB502" s="295"/>
    </row>
    <row r="503" ht="15">
      <c r="AB503" s="295"/>
    </row>
    <row r="504" ht="15">
      <c r="AB504" s="295"/>
    </row>
    <row r="505" ht="15">
      <c r="AB505" s="295"/>
    </row>
    <row r="506" ht="15">
      <c r="AB506" s="295"/>
    </row>
    <row r="507" ht="15">
      <c r="AB507" s="295"/>
    </row>
    <row r="508" ht="15">
      <c r="AB508" s="295"/>
    </row>
    <row r="509" ht="15">
      <c r="AB509" s="295"/>
    </row>
    <row r="510" ht="15">
      <c r="AB510" s="295"/>
    </row>
    <row r="511" ht="15">
      <c r="AB511" s="295"/>
    </row>
    <row r="512" ht="15">
      <c r="AB512" s="295"/>
    </row>
    <row r="513" ht="15">
      <c r="AB513" s="295"/>
    </row>
    <row r="514" ht="15">
      <c r="AB514" s="295"/>
    </row>
    <row r="515" ht="15">
      <c r="AB515" s="295"/>
    </row>
    <row r="516" ht="15">
      <c r="AB516" s="295"/>
    </row>
    <row r="517" ht="15">
      <c r="AB517" s="295"/>
    </row>
    <row r="518" ht="15">
      <c r="AB518" s="295"/>
    </row>
    <row r="519" ht="15">
      <c r="AB519" s="295"/>
    </row>
    <row r="520" ht="15">
      <c r="AB520" s="295"/>
    </row>
    <row r="521" ht="15">
      <c r="AB521" s="295"/>
    </row>
    <row r="522" ht="15">
      <c r="AB522" s="295"/>
    </row>
    <row r="523" ht="15">
      <c r="AB523" s="295"/>
    </row>
    <row r="524" ht="15">
      <c r="AB524" s="295"/>
    </row>
    <row r="525" ht="15">
      <c r="AB525" s="295"/>
    </row>
    <row r="526" ht="15">
      <c r="AB526" s="295"/>
    </row>
    <row r="527" ht="15">
      <c r="AB527" s="295"/>
    </row>
    <row r="528" ht="15">
      <c r="AB528" s="295"/>
    </row>
    <row r="529" ht="15">
      <c r="AB529" s="295"/>
    </row>
    <row r="530" ht="15">
      <c r="AB530" s="295"/>
    </row>
    <row r="531" ht="15">
      <c r="AB531" s="295"/>
    </row>
    <row r="532" ht="15">
      <c r="AB532" s="295"/>
    </row>
    <row r="533" ht="15">
      <c r="AB533" s="295"/>
    </row>
    <row r="534" ht="15">
      <c r="AB534" s="295"/>
    </row>
    <row r="535" ht="15">
      <c r="AB535" s="295"/>
    </row>
    <row r="536" ht="15">
      <c r="AB536" s="295"/>
    </row>
    <row r="537" ht="15">
      <c r="AB537" s="295"/>
    </row>
    <row r="538" ht="15">
      <c r="AB538" s="295"/>
    </row>
    <row r="539" ht="15">
      <c r="AB539" s="295"/>
    </row>
    <row r="540" ht="15">
      <c r="AB540" s="295"/>
    </row>
    <row r="541" ht="15">
      <c r="AB541" s="295"/>
    </row>
    <row r="542" ht="15">
      <c r="AB542" s="295"/>
    </row>
    <row r="543" ht="15">
      <c r="AB543" s="295"/>
    </row>
    <row r="544" ht="15">
      <c r="AB544" s="295"/>
    </row>
    <row r="545" ht="15">
      <c r="AB545" s="295"/>
    </row>
    <row r="546" ht="15">
      <c r="AB546" s="295"/>
    </row>
    <row r="547" ht="15">
      <c r="AB547" s="295"/>
    </row>
    <row r="548" ht="15">
      <c r="AB548" s="295"/>
    </row>
    <row r="549" ht="15">
      <c r="AB549" s="295"/>
    </row>
    <row r="550" ht="15">
      <c r="AB550" s="295"/>
    </row>
    <row r="551" ht="15">
      <c r="AB551" s="295"/>
    </row>
    <row r="552" ht="15">
      <c r="AB552" s="295"/>
    </row>
    <row r="553" ht="15">
      <c r="AB553" s="295"/>
    </row>
    <row r="554" ht="15">
      <c r="AB554" s="295"/>
    </row>
    <row r="555" ht="15">
      <c r="AB555" s="295"/>
    </row>
    <row r="556" ht="15">
      <c r="AB556" s="295"/>
    </row>
    <row r="557" ht="15">
      <c r="AB557" s="295"/>
    </row>
    <row r="558" ht="15">
      <c r="AB558" s="295"/>
    </row>
    <row r="559" ht="15">
      <c r="AB559" s="295"/>
    </row>
    <row r="560" ht="15">
      <c r="AB560" s="295"/>
    </row>
    <row r="561" ht="15">
      <c r="AB561" s="295"/>
    </row>
    <row r="562" ht="15">
      <c r="AB562" s="295"/>
    </row>
    <row r="563" ht="15">
      <c r="AB563" s="295"/>
    </row>
    <row r="564" ht="15">
      <c r="AB564" s="295"/>
    </row>
    <row r="565" ht="15">
      <c r="AB565" s="295"/>
    </row>
    <row r="566" ht="15">
      <c r="AB566" s="295"/>
    </row>
    <row r="567" ht="15">
      <c r="AB567" s="295"/>
    </row>
    <row r="568" ht="15">
      <c r="AB568" s="295"/>
    </row>
    <row r="569" ht="15">
      <c r="AB569" s="295"/>
    </row>
    <row r="570" ht="15">
      <c r="AB570" s="295"/>
    </row>
    <row r="571" ht="15">
      <c r="AB571" s="295"/>
    </row>
    <row r="572" ht="15">
      <c r="AB572" s="295"/>
    </row>
    <row r="573" ht="15">
      <c r="AB573" s="295"/>
    </row>
    <row r="574" ht="15">
      <c r="AB574" s="295"/>
    </row>
    <row r="575" ht="15">
      <c r="AB575" s="295"/>
    </row>
    <row r="576" ht="15">
      <c r="AB576" s="295"/>
    </row>
    <row r="577" ht="15">
      <c r="AB577" s="295"/>
    </row>
    <row r="578" ht="15">
      <c r="AB578" s="295"/>
    </row>
    <row r="579" ht="15">
      <c r="AB579" s="295"/>
    </row>
    <row r="580" ht="15">
      <c r="AB580" s="295"/>
    </row>
    <row r="581" ht="15">
      <c r="AB581" s="295"/>
    </row>
    <row r="582" ht="15">
      <c r="AB582" s="295"/>
    </row>
    <row r="583" ht="15">
      <c r="AB583" s="295"/>
    </row>
    <row r="584" ht="15">
      <c r="AB584" s="295"/>
    </row>
    <row r="585" ht="15">
      <c r="AB585" s="295"/>
    </row>
    <row r="586" ht="15">
      <c r="AB586" s="295"/>
    </row>
    <row r="587" ht="15">
      <c r="AB587" s="295"/>
    </row>
    <row r="588" ht="15">
      <c r="AB588" s="295"/>
    </row>
    <row r="589" ht="15">
      <c r="AB589" s="295"/>
    </row>
    <row r="590" ht="15">
      <c r="AB590" s="295"/>
    </row>
    <row r="591" ht="15">
      <c r="AB591" s="295"/>
    </row>
    <row r="592" ht="15">
      <c r="AB592" s="295"/>
    </row>
    <row r="593" ht="15">
      <c r="AB593" s="295"/>
    </row>
    <row r="594" ht="15">
      <c r="AB594" s="295"/>
    </row>
    <row r="595" ht="15">
      <c r="AB595" s="295"/>
    </row>
  </sheetData>
  <sheetProtection/>
  <mergeCells count="23">
    <mergeCell ref="A2:AF2"/>
    <mergeCell ref="A4:AF4"/>
    <mergeCell ref="J8:J10"/>
    <mergeCell ref="A8:A10"/>
    <mergeCell ref="D8:D10"/>
    <mergeCell ref="E8:E10"/>
    <mergeCell ref="AB8:AB10"/>
    <mergeCell ref="A5:AF5"/>
    <mergeCell ref="A6:AF6"/>
    <mergeCell ref="A3:AG3"/>
    <mergeCell ref="C8:C10"/>
    <mergeCell ref="AJ8:AJ10"/>
    <mergeCell ref="M8:M10"/>
    <mergeCell ref="AD8:AD10"/>
    <mergeCell ref="AH8:AH10"/>
    <mergeCell ref="AI8:AI10"/>
    <mergeCell ref="AL8:AL10"/>
    <mergeCell ref="AK8:AK10"/>
    <mergeCell ref="AG8:AG10"/>
    <mergeCell ref="F8:F10"/>
    <mergeCell ref="G8:G10"/>
    <mergeCell ref="AE8:AE10"/>
    <mergeCell ref="AC8:AC10"/>
  </mergeCells>
  <printOptions horizontalCentered="1" verticalCentered="1"/>
  <pageMargins left="0.3937007874015748" right="0.3937007874015748" top="0.2362204724409449" bottom="0.5905511811023623" header="0.5118110236220472" footer="0.5118110236220472"/>
  <pageSetup fitToHeight="1" fitToWidth="1" horizontalDpi="300" verticalDpi="300" orientation="landscape" scale="92" r:id="rId3"/>
  <colBreaks count="1" manualBreakCount="1">
    <brk id="22" max="38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83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C28" sqref="C28:C29"/>
      <selection pane="topRight" activeCell="C28" sqref="C28:C29"/>
      <selection pane="bottomLeft" activeCell="C28" sqref="C28:C29"/>
      <selection pane="bottomRight" activeCell="C28" sqref="C28:C29"/>
    </sheetView>
  </sheetViews>
  <sheetFormatPr defaultColWidth="11.421875" defaultRowHeight="12.75" outlineLevelRow="1" outlineLevelCol="3"/>
  <cols>
    <col min="1" max="1" width="86.28125" style="3" bestFit="1" customWidth="1"/>
    <col min="2" max="2" width="18.7109375" style="3" bestFit="1" customWidth="1"/>
    <col min="3" max="3" width="24.7109375" style="3" bestFit="1" customWidth="1" outlineLevel="1"/>
    <col min="4" max="4" width="24.421875" style="3" bestFit="1" customWidth="1" outlineLevel="1"/>
    <col min="5" max="5" width="24.7109375" style="3" bestFit="1" customWidth="1" outlineLevel="1"/>
    <col min="6" max="6" width="25.140625" style="3" bestFit="1" customWidth="1" outlineLevel="1"/>
    <col min="7" max="7" width="25.421875" style="3" bestFit="1" customWidth="1" outlineLevel="1"/>
    <col min="8" max="8" width="20.421875" style="3" bestFit="1" customWidth="1" outlineLevel="1"/>
    <col min="9" max="9" width="20.421875" style="3" bestFit="1" customWidth="1"/>
    <col min="10" max="10" width="21.57421875" style="3" bestFit="1" customWidth="1" outlineLevel="2"/>
    <col min="11" max="11" width="22.00390625" style="3" bestFit="1" customWidth="1" outlineLevel="2"/>
    <col min="12" max="12" width="20.140625" style="3" bestFit="1" customWidth="1" outlineLevel="2"/>
    <col min="13" max="13" width="17.28125" style="3" bestFit="1" customWidth="1" outlineLevel="1"/>
    <col min="14" max="14" width="19.8515625" style="3" bestFit="1" customWidth="1" outlineLevel="2"/>
    <col min="15" max="15" width="21.140625" style="3" bestFit="1" customWidth="1" outlineLevel="2"/>
    <col min="16" max="16" width="20.140625" style="3" bestFit="1" customWidth="1" outlineLevel="2"/>
    <col min="17" max="17" width="17.28125" style="3" bestFit="1" customWidth="1" outlineLevel="1"/>
    <col min="18" max="19" width="25.57421875" style="3" bestFit="1" customWidth="1" outlineLevel="3"/>
    <col min="20" max="20" width="22.7109375" style="3" bestFit="1" customWidth="1" outlineLevel="3"/>
    <col min="21" max="21" width="24.8515625" style="3" bestFit="1" customWidth="1" outlineLevel="3"/>
    <col min="22" max="22" width="17.57421875" style="3" bestFit="1" customWidth="1" outlineLevel="1" collapsed="1"/>
    <col min="23" max="23" width="25.57421875" style="3" bestFit="1" customWidth="1" outlineLevel="2"/>
    <col min="24" max="24" width="25.421875" style="3" bestFit="1" customWidth="1" outlineLevel="2"/>
    <col min="25" max="26" width="4.421875" style="3" bestFit="1" customWidth="1" outlineLevel="2"/>
    <col min="27" max="27" width="17.28125" style="3" bestFit="1" customWidth="1" outlineLevel="1" collapsed="1"/>
    <col min="28" max="28" width="19.421875" style="3" bestFit="1" customWidth="1"/>
    <col min="29" max="30" width="17.28125" style="3" bestFit="1" customWidth="1" outlineLevel="1"/>
    <col min="31" max="31" width="17.57421875" style="3" bestFit="1" customWidth="1" outlineLevel="1"/>
    <col min="32" max="32" width="17.28125" style="3" bestFit="1" customWidth="1" outlineLevel="1"/>
    <col min="33" max="33" width="19.140625" style="3" bestFit="1" customWidth="1"/>
    <col min="34" max="37" width="17.57421875" style="3" bestFit="1" customWidth="1"/>
    <col min="38" max="38" width="19.00390625" style="3" bestFit="1" customWidth="1"/>
    <col min="39" max="39" width="21.28125" style="3" bestFit="1" customWidth="1"/>
    <col min="40" max="40" width="33.7109375" style="3" bestFit="1" customWidth="1"/>
    <col min="41" max="41" width="19.421875" style="3" bestFit="1" customWidth="1"/>
    <col min="42" max="42" width="14.8515625" style="3" hidden="1" customWidth="1"/>
    <col min="43" max="44" width="14.421875" style="3" hidden="1" customWidth="1"/>
    <col min="45" max="45" width="15.421875" style="3" hidden="1" customWidth="1"/>
    <col min="46" max="46" width="13.57421875" style="3" hidden="1" customWidth="1"/>
    <col min="47" max="47" width="12.8515625" style="3" customWidth="1"/>
    <col min="48" max="48" width="15.8515625" style="3" customWidth="1"/>
    <col min="49" max="49" width="11.421875" style="3" customWidth="1"/>
    <col min="50" max="51" width="15.57421875" style="3" customWidth="1"/>
    <col min="52" max="16384" width="11.421875" style="3" customWidth="1"/>
  </cols>
  <sheetData>
    <row r="1" ht="16.5">
      <c r="A1" s="2" t="s">
        <v>0</v>
      </c>
    </row>
    <row r="2" ht="16.5">
      <c r="A2" s="2" t="s">
        <v>133</v>
      </c>
    </row>
    <row r="3" ht="16.5">
      <c r="A3" s="2" t="s">
        <v>134</v>
      </c>
    </row>
    <row r="4" spans="1:31" ht="16.5">
      <c r="A4" s="2" t="s">
        <v>182</v>
      </c>
      <c r="AE4" s="83"/>
    </row>
    <row r="5" spans="1:43" ht="16.5">
      <c r="A5" s="2" t="s">
        <v>422</v>
      </c>
      <c r="AE5" s="83"/>
      <c r="AQ5" s="83"/>
    </row>
    <row r="6" spans="1:34" ht="17.25" thickBot="1">
      <c r="A6" s="100"/>
      <c r="I6" s="5"/>
      <c r="M6" s="6"/>
      <c r="AC6" s="6"/>
      <c r="AH6" s="6"/>
    </row>
    <row r="7" spans="1:46" s="400" customFormat="1" ht="18" customHeight="1" thickBot="1">
      <c r="A7" s="700" t="s">
        <v>2</v>
      </c>
      <c r="B7" s="549" t="s">
        <v>417</v>
      </c>
      <c r="C7" s="700" t="s">
        <v>232</v>
      </c>
      <c r="D7" s="700" t="s">
        <v>227</v>
      </c>
      <c r="E7" s="700" t="s">
        <v>281</v>
      </c>
      <c r="F7" s="700" t="s">
        <v>286</v>
      </c>
      <c r="G7" s="700" t="s">
        <v>304</v>
      </c>
      <c r="H7" s="422" t="s">
        <v>313</v>
      </c>
      <c r="I7" s="392" t="s">
        <v>3</v>
      </c>
      <c r="J7" s="699" t="s">
        <v>124</v>
      </c>
      <c r="K7" s="699"/>
      <c r="L7" s="699"/>
      <c r="M7" s="699"/>
      <c r="N7" s="696" t="s">
        <v>123</v>
      </c>
      <c r="O7" s="697"/>
      <c r="P7" s="697"/>
      <c r="Q7" s="698"/>
      <c r="R7" s="699" t="s">
        <v>129</v>
      </c>
      <c r="S7" s="699"/>
      <c r="T7" s="699"/>
      <c r="U7" s="699"/>
      <c r="V7" s="699"/>
      <c r="W7" s="699" t="s">
        <v>131</v>
      </c>
      <c r="X7" s="699"/>
      <c r="Y7" s="699"/>
      <c r="Z7" s="699"/>
      <c r="AA7" s="699"/>
      <c r="AB7" s="392" t="s">
        <v>77</v>
      </c>
      <c r="AC7" s="392" t="s">
        <v>6</v>
      </c>
      <c r="AD7" s="392" t="s">
        <v>6</v>
      </c>
      <c r="AE7" s="392" t="s">
        <v>6</v>
      </c>
      <c r="AF7" s="392" t="s">
        <v>6</v>
      </c>
      <c r="AG7" s="392" t="s">
        <v>7</v>
      </c>
      <c r="AH7" s="392" t="s">
        <v>10</v>
      </c>
      <c r="AI7" s="392" t="s">
        <v>10</v>
      </c>
      <c r="AJ7" s="392" t="s">
        <v>10</v>
      </c>
      <c r="AK7" s="392" t="s">
        <v>10</v>
      </c>
      <c r="AL7" s="392" t="s">
        <v>5</v>
      </c>
      <c r="AM7" s="392" t="s">
        <v>78</v>
      </c>
      <c r="AN7" s="392" t="s">
        <v>79</v>
      </c>
      <c r="AO7" s="392" t="s">
        <v>80</v>
      </c>
      <c r="AP7" s="392" t="s">
        <v>81</v>
      </c>
      <c r="AQ7" s="392" t="s">
        <v>81</v>
      </c>
      <c r="AR7" s="392" t="s">
        <v>81</v>
      </c>
      <c r="AS7" s="392" t="s">
        <v>81</v>
      </c>
      <c r="AT7" s="400" t="s">
        <v>130</v>
      </c>
    </row>
    <row r="8" spans="1:45" s="400" customFormat="1" ht="17.25" thickBot="1">
      <c r="A8" s="701"/>
      <c r="B8" s="550" t="s">
        <v>421</v>
      </c>
      <c r="C8" s="701"/>
      <c r="D8" s="701"/>
      <c r="E8" s="701"/>
      <c r="F8" s="701"/>
      <c r="G8" s="701"/>
      <c r="H8" s="423" t="s">
        <v>302</v>
      </c>
      <c r="I8" s="393" t="s">
        <v>83</v>
      </c>
      <c r="J8" s="399" t="s">
        <v>217</v>
      </c>
      <c r="K8" s="399" t="s">
        <v>229</v>
      </c>
      <c r="L8" s="399" t="s">
        <v>223</v>
      </c>
      <c r="M8" s="399" t="s">
        <v>83</v>
      </c>
      <c r="N8" s="393" t="s">
        <v>224</v>
      </c>
      <c r="O8" s="393" t="s">
        <v>283</v>
      </c>
      <c r="P8" s="393" t="s">
        <v>282</v>
      </c>
      <c r="Q8" s="393" t="s">
        <v>83</v>
      </c>
      <c r="R8" s="393" t="s">
        <v>284</v>
      </c>
      <c r="S8" s="393" t="s">
        <v>291</v>
      </c>
      <c r="T8" s="393" t="s">
        <v>301</v>
      </c>
      <c r="U8" s="393" t="s">
        <v>298</v>
      </c>
      <c r="V8" s="393" t="s">
        <v>83</v>
      </c>
      <c r="W8" s="393" t="s">
        <v>296</v>
      </c>
      <c r="X8" s="413" t="s">
        <v>304</v>
      </c>
      <c r="Y8" s="393"/>
      <c r="Z8" s="393"/>
      <c r="AA8" s="393" t="s">
        <v>83</v>
      </c>
      <c r="AB8" s="393" t="s">
        <v>5</v>
      </c>
      <c r="AC8" s="393" t="s">
        <v>12</v>
      </c>
      <c r="AD8" s="393" t="s">
        <v>13</v>
      </c>
      <c r="AE8" s="393" t="s">
        <v>14</v>
      </c>
      <c r="AF8" s="393" t="s">
        <v>15</v>
      </c>
      <c r="AG8" s="393" t="s">
        <v>6</v>
      </c>
      <c r="AH8" s="393" t="s">
        <v>12</v>
      </c>
      <c r="AI8" s="393" t="s">
        <v>13</v>
      </c>
      <c r="AJ8" s="393" t="s">
        <v>14</v>
      </c>
      <c r="AK8" s="393" t="s">
        <v>15</v>
      </c>
      <c r="AL8" s="393"/>
      <c r="AM8" s="393" t="s">
        <v>84</v>
      </c>
      <c r="AN8" s="393" t="s">
        <v>6</v>
      </c>
      <c r="AO8" s="393" t="s">
        <v>19</v>
      </c>
      <c r="AP8" s="393" t="s">
        <v>12</v>
      </c>
      <c r="AQ8" s="393" t="s">
        <v>13</v>
      </c>
      <c r="AR8" s="393" t="s">
        <v>14</v>
      </c>
      <c r="AS8" s="393" t="s">
        <v>15</v>
      </c>
    </row>
    <row r="9" spans="1:45" ht="15" customHeight="1">
      <c r="A9" s="143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191"/>
    </row>
    <row r="10" spans="1:48" ht="15" customHeight="1">
      <c r="A10" s="102" t="s">
        <v>23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103"/>
      <c r="AU10" s="66"/>
      <c r="AV10" s="66"/>
    </row>
    <row r="11" spans="1:48" ht="15" customHeight="1">
      <c r="A11" s="102" t="s">
        <v>24</v>
      </c>
      <c r="B11" s="7">
        <v>186640823</v>
      </c>
      <c r="C11" s="7"/>
      <c r="D11" s="7"/>
      <c r="E11" s="7"/>
      <c r="F11" s="7"/>
      <c r="G11" s="7"/>
      <c r="H11" s="7"/>
      <c r="I11" s="7">
        <f>SUM(B11:H11)</f>
        <v>186640823</v>
      </c>
      <c r="J11" s="7">
        <v>43105181</v>
      </c>
      <c r="K11" s="7"/>
      <c r="L11" s="7">
        <v>-13880464</v>
      </c>
      <c r="M11" s="7">
        <f>SUM(J11:L11)</f>
        <v>29224717</v>
      </c>
      <c r="N11" s="7">
        <v>46530953</v>
      </c>
      <c r="O11" s="7">
        <v>844775</v>
      </c>
      <c r="P11" s="7">
        <f>+AD11-N11-O11</f>
        <v>0</v>
      </c>
      <c r="Q11" s="7">
        <f>SUM(N11:P11)</f>
        <v>47375728</v>
      </c>
      <c r="R11" s="7">
        <v>46530953.219100006</v>
      </c>
      <c r="S11" s="7"/>
      <c r="T11" s="7">
        <f>-R11+AE11</f>
        <v>-23253.219100005925</v>
      </c>
      <c r="U11" s="7">
        <f>-R11-S11-T11+AE11</f>
        <v>0</v>
      </c>
      <c r="V11" s="7">
        <f aca="true" t="shared" si="0" ref="V11:V20">+SUM(R11:U11)</f>
        <v>46507700</v>
      </c>
      <c r="W11" s="7">
        <v>63532678</v>
      </c>
      <c r="X11" s="7"/>
      <c r="Y11" s="7"/>
      <c r="Z11" s="7"/>
      <c r="AA11" s="7">
        <f aca="true" t="shared" si="1" ref="AA11:AA20">+SUM(W11:W11)</f>
        <v>63532678</v>
      </c>
      <c r="AB11" s="7">
        <f aca="true" t="shared" si="2" ref="AB11:AB20">+M11+Q11+V11+AA11</f>
        <v>186640823</v>
      </c>
      <c r="AC11" s="414">
        <f>+'[4]MER ENE-MAR-11'!$G$9</f>
        <v>29224717</v>
      </c>
      <c r="AD11" s="414">
        <f>+'[4]MER ABR-JUN-11'!$G$9</f>
        <v>47375728</v>
      </c>
      <c r="AE11" s="414">
        <f>+'[4]MER JUL-SEP-11'!$G$9</f>
        <v>46507700</v>
      </c>
      <c r="AF11" s="414">
        <f>+'[4]MER OCT-DIC-11'!$G$9</f>
        <v>44499798</v>
      </c>
      <c r="AG11" s="414">
        <f aca="true" t="shared" si="3" ref="AG11:AG20">SUM(AC11:AF11)</f>
        <v>167607943</v>
      </c>
      <c r="AH11" s="7">
        <f aca="true" t="shared" si="4" ref="AH11:AH20">+M11-AC11</f>
        <v>0</v>
      </c>
      <c r="AI11" s="7">
        <f aca="true" t="shared" si="5" ref="AI11:AI20">+Q11-AD11</f>
        <v>0</v>
      </c>
      <c r="AJ11" s="7">
        <f aca="true" t="shared" si="6" ref="AJ11:AJ20">+V11-AE11</f>
        <v>0</v>
      </c>
      <c r="AK11" s="7">
        <f>+AA11-AF11</f>
        <v>19032880</v>
      </c>
      <c r="AL11" s="7">
        <f>+AB11</f>
        <v>186640823</v>
      </c>
      <c r="AM11" s="7">
        <f>+I11-AB11</f>
        <v>0</v>
      </c>
      <c r="AN11" s="7">
        <f aca="true" t="shared" si="7" ref="AN11:AN20">+AL11-AG11</f>
        <v>19032880</v>
      </c>
      <c r="AO11" s="130">
        <f>+AG11/I11</f>
        <v>0.8980240244654301</v>
      </c>
      <c r="AP11" s="130">
        <f>+AC11/M11</f>
        <v>1</v>
      </c>
      <c r="AQ11" s="130">
        <f>+AD11/Q11</f>
        <v>1</v>
      </c>
      <c r="AR11" s="130">
        <f>+AE11/V11</f>
        <v>1</v>
      </c>
      <c r="AS11" s="135">
        <f>+AF11/AA11</f>
        <v>0.7004237724718608</v>
      </c>
      <c r="AT11" s="83"/>
      <c r="AV11" s="66"/>
    </row>
    <row r="12" spans="1:48" ht="15" customHeight="1">
      <c r="A12" s="102" t="s">
        <v>25</v>
      </c>
      <c r="B12" s="7">
        <v>8547518</v>
      </c>
      <c r="C12" s="7"/>
      <c r="D12" s="7"/>
      <c r="E12" s="7"/>
      <c r="F12" s="7"/>
      <c r="G12" s="7"/>
      <c r="H12" s="7"/>
      <c r="I12" s="7">
        <f aca="true" t="shared" si="8" ref="I12:I20">SUM(B12:H12)</f>
        <v>8547518</v>
      </c>
      <c r="J12" s="7">
        <v>2024658</v>
      </c>
      <c r="K12" s="7"/>
      <c r="L12" s="7">
        <v>-130816</v>
      </c>
      <c r="M12" s="7">
        <f aca="true" t="shared" si="9" ref="M12:M20">SUM(J12:L12)</f>
        <v>1893842</v>
      </c>
      <c r="N12" s="7">
        <v>2136024.68315103</v>
      </c>
      <c r="O12" s="7">
        <v>243891</v>
      </c>
      <c r="P12" s="7">
        <f aca="true" t="shared" si="10" ref="P12:P19">+AD12-N12-O12</f>
        <v>0.31684897001832724</v>
      </c>
      <c r="Q12" s="7">
        <f aca="true" t="shared" si="11" ref="Q12:Q20">SUM(N12:P12)</f>
        <v>2379916</v>
      </c>
      <c r="R12" s="7">
        <v>2136024.68315103</v>
      </c>
      <c r="S12" s="7"/>
      <c r="T12" s="7">
        <f aca="true" t="shared" si="12" ref="T12:T18">-R12+AE12</f>
        <v>853.3168489700183</v>
      </c>
      <c r="U12" s="7">
        <f aca="true" t="shared" si="13" ref="U12:U19">-R12-S12-T12+AE12</f>
        <v>0</v>
      </c>
      <c r="V12" s="7">
        <f t="shared" si="0"/>
        <v>2136878</v>
      </c>
      <c r="W12" s="7">
        <v>2136882</v>
      </c>
      <c r="X12" s="7"/>
      <c r="Y12" s="7"/>
      <c r="Z12" s="7"/>
      <c r="AA12" s="7">
        <f t="shared" si="1"/>
        <v>2136882</v>
      </c>
      <c r="AB12" s="7">
        <f t="shared" si="2"/>
        <v>8547518</v>
      </c>
      <c r="AC12" s="414">
        <f>+'[4]MER ENE-MAR-11'!$G$20</f>
        <v>1893842</v>
      </c>
      <c r="AD12" s="414">
        <f>+'[4]MER ABR-JUN-11'!$G$22</f>
        <v>2379916</v>
      </c>
      <c r="AE12" s="414">
        <f>+'[4]MER JUL-SEP-11'!$G$20</f>
        <v>2136878</v>
      </c>
      <c r="AF12" s="414">
        <f>+'[4]MER OCT-DIC-11'!$G$22</f>
        <v>2067479</v>
      </c>
      <c r="AG12" s="414">
        <f t="shared" si="3"/>
        <v>8478115</v>
      </c>
      <c r="AH12" s="7">
        <f t="shared" si="4"/>
        <v>0</v>
      </c>
      <c r="AI12" s="7">
        <f t="shared" si="5"/>
        <v>0</v>
      </c>
      <c r="AJ12" s="7">
        <f t="shared" si="6"/>
        <v>0</v>
      </c>
      <c r="AK12" s="7">
        <f aca="true" t="shared" si="14" ref="AK12:AK20">+AA12-AF12</f>
        <v>69403</v>
      </c>
      <c r="AL12" s="7">
        <f aca="true" t="shared" si="15" ref="AL12:AL20">+AB12</f>
        <v>8547518</v>
      </c>
      <c r="AM12" s="7">
        <f aca="true" t="shared" si="16" ref="AM12:AM20">+I12-AB12</f>
        <v>0</v>
      </c>
      <c r="AN12" s="7">
        <f t="shared" si="7"/>
        <v>69403</v>
      </c>
      <c r="AO12" s="130">
        <f>+AG12/I12</f>
        <v>0.9918803329808723</v>
      </c>
      <c r="AP12" s="130">
        <f aca="true" t="shared" si="17" ref="AP12:AP19">+AC12/M12</f>
        <v>1</v>
      </c>
      <c r="AQ12" s="130">
        <f aca="true" t="shared" si="18" ref="AQ12:AQ20">+AD12/Q12</f>
        <v>1</v>
      </c>
      <c r="AR12" s="130">
        <f>+AE12/V12</f>
        <v>1</v>
      </c>
      <c r="AS12" s="135">
        <f aca="true" t="shared" si="19" ref="AS12:AS20">+AF12/AA12</f>
        <v>0.9675213699212216</v>
      </c>
      <c r="AV12" s="66"/>
    </row>
    <row r="13" spans="1:48" ht="15" customHeight="1">
      <c r="A13" s="102" t="s">
        <v>26</v>
      </c>
      <c r="B13" s="7">
        <v>1025702</v>
      </c>
      <c r="C13" s="7"/>
      <c r="D13" s="7"/>
      <c r="E13" s="7"/>
      <c r="F13" s="7"/>
      <c r="G13" s="7"/>
      <c r="H13" s="7"/>
      <c r="I13" s="7">
        <f t="shared" si="8"/>
        <v>1025702</v>
      </c>
      <c r="J13" s="7">
        <v>242959</v>
      </c>
      <c r="K13" s="7"/>
      <c r="L13" s="7">
        <v>-15698</v>
      </c>
      <c r="M13" s="7">
        <f t="shared" si="9"/>
        <v>227261</v>
      </c>
      <c r="N13" s="7">
        <v>256322.96197812358</v>
      </c>
      <c r="O13" s="7"/>
      <c r="P13" s="7">
        <f t="shared" si="10"/>
        <v>-227158.96197812358</v>
      </c>
      <c r="Q13" s="7">
        <f t="shared" si="11"/>
        <v>29164</v>
      </c>
      <c r="R13" s="7">
        <v>256322.96197812358</v>
      </c>
      <c r="S13" s="7"/>
      <c r="T13" s="7">
        <f t="shared" si="12"/>
        <v>64209.03802187642</v>
      </c>
      <c r="U13" s="7">
        <f t="shared" si="13"/>
        <v>0</v>
      </c>
      <c r="V13" s="7">
        <f t="shared" si="0"/>
        <v>320532</v>
      </c>
      <c r="W13" s="7">
        <v>448745</v>
      </c>
      <c r="X13" s="7"/>
      <c r="Y13" s="7"/>
      <c r="Z13" s="7"/>
      <c r="AA13" s="7">
        <f t="shared" si="1"/>
        <v>448745</v>
      </c>
      <c r="AB13" s="7">
        <f t="shared" si="2"/>
        <v>1025702</v>
      </c>
      <c r="AC13" s="414">
        <f>+'[4]MER ENE-MAR-11'!$G$27</f>
        <v>227261</v>
      </c>
      <c r="AD13" s="414">
        <f>+'[4]MER ABR-JUN-11'!$G$30</f>
        <v>29164</v>
      </c>
      <c r="AE13" s="414">
        <f>+'[4]MER JUL-SEP-11'!$G$27</f>
        <v>320532</v>
      </c>
      <c r="AF13" s="414">
        <f>+'[4]MER OCT-DIC-11'!$G$29</f>
        <v>384121</v>
      </c>
      <c r="AG13" s="414">
        <f t="shared" si="3"/>
        <v>961078</v>
      </c>
      <c r="AH13" s="7">
        <f t="shared" si="4"/>
        <v>0</v>
      </c>
      <c r="AI13" s="7">
        <f t="shared" si="5"/>
        <v>0</v>
      </c>
      <c r="AJ13" s="7">
        <f t="shared" si="6"/>
        <v>0</v>
      </c>
      <c r="AK13" s="7">
        <f t="shared" si="14"/>
        <v>64624</v>
      </c>
      <c r="AL13" s="7">
        <f t="shared" si="15"/>
        <v>1025702</v>
      </c>
      <c r="AM13" s="7">
        <f t="shared" si="16"/>
        <v>0</v>
      </c>
      <c r="AN13" s="7">
        <f t="shared" si="7"/>
        <v>64624</v>
      </c>
      <c r="AO13" s="130">
        <f>+AG13/I13</f>
        <v>0.9369953456267025</v>
      </c>
      <c r="AP13" s="130">
        <f t="shared" si="17"/>
        <v>1</v>
      </c>
      <c r="AQ13" s="130">
        <f t="shared" si="18"/>
        <v>1</v>
      </c>
      <c r="AR13" s="130">
        <f>+AE13/V13</f>
        <v>1</v>
      </c>
      <c r="AS13" s="135">
        <f t="shared" si="19"/>
        <v>0.8559894817769558</v>
      </c>
      <c r="AV13" s="66"/>
    </row>
    <row r="14" spans="1:48" ht="15" customHeight="1">
      <c r="A14" s="102" t="s">
        <v>27</v>
      </c>
      <c r="B14" s="7">
        <v>8547518</v>
      </c>
      <c r="C14" s="7"/>
      <c r="D14" s="7"/>
      <c r="E14" s="7"/>
      <c r="F14" s="7"/>
      <c r="G14" s="7"/>
      <c r="H14" s="7"/>
      <c r="I14" s="7">
        <f t="shared" si="8"/>
        <v>8547518</v>
      </c>
      <c r="J14" s="7">
        <v>2024658</v>
      </c>
      <c r="K14" s="7"/>
      <c r="L14" s="7">
        <v>-130816</v>
      </c>
      <c r="M14" s="7">
        <f t="shared" si="9"/>
        <v>1893842</v>
      </c>
      <c r="N14" s="7">
        <v>2136024.68315103</v>
      </c>
      <c r="O14" s="7">
        <v>243891</v>
      </c>
      <c r="P14" s="7">
        <f t="shared" si="10"/>
        <v>0.31684897001832724</v>
      </c>
      <c r="Q14" s="7">
        <f t="shared" si="11"/>
        <v>2379916</v>
      </c>
      <c r="R14" s="7">
        <v>2136024.68315103</v>
      </c>
      <c r="S14" s="7"/>
      <c r="T14" s="7">
        <f t="shared" si="12"/>
        <v>853.3168489700183</v>
      </c>
      <c r="U14" s="7">
        <f t="shared" si="13"/>
        <v>0</v>
      </c>
      <c r="V14" s="7">
        <f t="shared" si="0"/>
        <v>2136878</v>
      </c>
      <c r="W14" s="7">
        <v>2136882</v>
      </c>
      <c r="X14" s="7"/>
      <c r="Y14" s="7"/>
      <c r="Z14" s="7"/>
      <c r="AA14" s="7">
        <f t="shared" si="1"/>
        <v>2136882</v>
      </c>
      <c r="AB14" s="7">
        <f t="shared" si="2"/>
        <v>8547518</v>
      </c>
      <c r="AC14" s="414">
        <f>+'[4]MER ENE-MAR-11'!$G$34</f>
        <v>1893842</v>
      </c>
      <c r="AD14" s="414">
        <f>+'[4]MER ABR-JUN-11'!$G$38</f>
        <v>2379916</v>
      </c>
      <c r="AE14" s="414">
        <f>+'[4]MER JUL-SEP-11'!$G$34</f>
        <v>2136878</v>
      </c>
      <c r="AF14" s="414">
        <f>+'[4]MER OCT-DIC-11'!$G$36</f>
        <v>2067481</v>
      </c>
      <c r="AG14" s="414">
        <f t="shared" si="3"/>
        <v>8478117</v>
      </c>
      <c r="AH14" s="7">
        <f t="shared" si="4"/>
        <v>0</v>
      </c>
      <c r="AI14" s="7">
        <f t="shared" si="5"/>
        <v>0</v>
      </c>
      <c r="AJ14" s="7">
        <f t="shared" si="6"/>
        <v>0</v>
      </c>
      <c r="AK14" s="7">
        <f t="shared" si="14"/>
        <v>69401</v>
      </c>
      <c r="AL14" s="7">
        <f t="shared" si="15"/>
        <v>8547518</v>
      </c>
      <c r="AM14" s="7">
        <f t="shared" si="16"/>
        <v>0</v>
      </c>
      <c r="AN14" s="7">
        <f t="shared" si="7"/>
        <v>69401</v>
      </c>
      <c r="AO14" s="130">
        <f>+AG14/I14</f>
        <v>0.9918805669669254</v>
      </c>
      <c r="AP14" s="130">
        <f t="shared" si="17"/>
        <v>1</v>
      </c>
      <c r="AQ14" s="130">
        <f t="shared" si="18"/>
        <v>1</v>
      </c>
      <c r="AR14" s="130">
        <f>+AE14/V14</f>
        <v>1</v>
      </c>
      <c r="AS14" s="135">
        <f t="shared" si="19"/>
        <v>0.9675223058643387</v>
      </c>
      <c r="AV14" s="66"/>
    </row>
    <row r="15" spans="1:48" ht="15" customHeight="1">
      <c r="A15" s="102" t="s">
        <v>28</v>
      </c>
      <c r="B15" s="7">
        <v>7755159</v>
      </c>
      <c r="C15" s="7"/>
      <c r="D15" s="7"/>
      <c r="E15" s="7"/>
      <c r="F15" s="7"/>
      <c r="G15" s="7"/>
      <c r="H15" s="7"/>
      <c r="I15" s="7">
        <f t="shared" si="8"/>
        <v>7755159</v>
      </c>
      <c r="J15" s="7">
        <v>1932384</v>
      </c>
      <c r="K15" s="7"/>
      <c r="L15" s="7">
        <v>-714686</v>
      </c>
      <c r="M15" s="7">
        <f t="shared" si="9"/>
        <v>1217698</v>
      </c>
      <c r="N15" s="7">
        <v>1932384.3892364702</v>
      </c>
      <c r="O15" s="7">
        <v>263311</v>
      </c>
      <c r="P15" s="7">
        <f t="shared" si="10"/>
        <v>-0.38923647021874785</v>
      </c>
      <c r="Q15" s="7">
        <f t="shared" si="11"/>
        <v>2195695</v>
      </c>
      <c r="R15" s="7">
        <v>1932384.3892364702</v>
      </c>
      <c r="S15" s="7"/>
      <c r="T15" s="7">
        <f t="shared" si="12"/>
        <v>-17444.38923647022</v>
      </c>
      <c r="U15" s="7">
        <f t="shared" si="13"/>
        <v>0</v>
      </c>
      <c r="V15" s="7">
        <f t="shared" si="0"/>
        <v>1914940</v>
      </c>
      <c r="W15" s="7">
        <v>2426826</v>
      </c>
      <c r="X15" s="7"/>
      <c r="Y15" s="7"/>
      <c r="Z15" s="7"/>
      <c r="AA15" s="7">
        <f t="shared" si="1"/>
        <v>2426826</v>
      </c>
      <c r="AB15" s="7">
        <f t="shared" si="2"/>
        <v>7755159</v>
      </c>
      <c r="AC15" s="414">
        <f>+'[4]MER ENE-MAR-11'!$G$41</f>
        <v>1217698</v>
      </c>
      <c r="AD15" s="414">
        <f>+'[4]MER ABR-JUN-11'!$G$46</f>
        <v>2195695</v>
      </c>
      <c r="AE15" s="414">
        <f>+'[4]MER JUL-SEP-11'!$G$41</f>
        <v>1914940</v>
      </c>
      <c r="AF15" s="414">
        <f>+'[4]MER OCT-DIC-11'!$G$43</f>
        <v>1939761</v>
      </c>
      <c r="AG15" s="414">
        <f t="shared" si="3"/>
        <v>7268094</v>
      </c>
      <c r="AH15" s="7">
        <f t="shared" si="4"/>
        <v>0</v>
      </c>
      <c r="AI15" s="7">
        <f t="shared" si="5"/>
        <v>0</v>
      </c>
      <c r="AJ15" s="7">
        <f t="shared" si="6"/>
        <v>0</v>
      </c>
      <c r="AK15" s="7">
        <f t="shared" si="14"/>
        <v>487065</v>
      </c>
      <c r="AL15" s="7">
        <f t="shared" si="15"/>
        <v>7755159</v>
      </c>
      <c r="AM15" s="7">
        <f t="shared" si="16"/>
        <v>0</v>
      </c>
      <c r="AN15" s="7">
        <f t="shared" si="7"/>
        <v>487065</v>
      </c>
      <c r="AO15" s="130">
        <f>+AG15/I15</f>
        <v>0.9371947112883179</v>
      </c>
      <c r="AP15" s="130">
        <f t="shared" si="17"/>
        <v>1</v>
      </c>
      <c r="AQ15" s="130">
        <f t="shared" si="18"/>
        <v>1</v>
      </c>
      <c r="AR15" s="130">
        <f>+AE15/V15</f>
        <v>1</v>
      </c>
      <c r="AS15" s="135">
        <f t="shared" si="19"/>
        <v>0.7992995789562168</v>
      </c>
      <c r="AV15" s="66"/>
    </row>
    <row r="16" spans="1:45" ht="15" customHeight="1">
      <c r="A16" s="102" t="s">
        <v>29</v>
      </c>
      <c r="B16" s="7"/>
      <c r="C16" s="7"/>
      <c r="D16" s="7"/>
      <c r="E16" s="7"/>
      <c r="F16" s="7"/>
      <c r="G16" s="7"/>
      <c r="H16" s="7"/>
      <c r="I16" s="7">
        <f t="shared" si="8"/>
        <v>0</v>
      </c>
      <c r="J16" s="7"/>
      <c r="K16" s="7"/>
      <c r="L16" s="7">
        <v>0</v>
      </c>
      <c r="M16" s="7">
        <f t="shared" si="9"/>
        <v>0</v>
      </c>
      <c r="N16" s="7"/>
      <c r="O16" s="7"/>
      <c r="P16" s="7">
        <f t="shared" si="10"/>
        <v>0</v>
      </c>
      <c r="Q16" s="7">
        <f t="shared" si="11"/>
        <v>0</v>
      </c>
      <c r="R16" s="7">
        <v>0</v>
      </c>
      <c r="S16" s="7"/>
      <c r="T16" s="7">
        <f t="shared" si="12"/>
        <v>0</v>
      </c>
      <c r="U16" s="7">
        <f t="shared" si="13"/>
        <v>0</v>
      </c>
      <c r="V16" s="7">
        <f t="shared" si="0"/>
        <v>0</v>
      </c>
      <c r="W16" s="7">
        <v>0</v>
      </c>
      <c r="X16" s="7"/>
      <c r="Y16" s="7"/>
      <c r="Z16" s="7"/>
      <c r="AA16" s="7">
        <f t="shared" si="1"/>
        <v>0</v>
      </c>
      <c r="AB16" s="7">
        <f t="shared" si="2"/>
        <v>0</v>
      </c>
      <c r="AC16" s="414">
        <v>0</v>
      </c>
      <c r="AD16" s="414">
        <v>0</v>
      </c>
      <c r="AE16" s="414">
        <v>0</v>
      </c>
      <c r="AF16" s="414">
        <v>0</v>
      </c>
      <c r="AG16" s="414">
        <f t="shared" si="3"/>
        <v>0</v>
      </c>
      <c r="AH16" s="7">
        <f t="shared" si="4"/>
        <v>0</v>
      </c>
      <c r="AI16" s="7">
        <f t="shared" si="5"/>
        <v>0</v>
      </c>
      <c r="AJ16" s="7">
        <f t="shared" si="6"/>
        <v>0</v>
      </c>
      <c r="AK16" s="7">
        <f t="shared" si="14"/>
        <v>0</v>
      </c>
      <c r="AL16" s="7">
        <f t="shared" si="15"/>
        <v>0</v>
      </c>
      <c r="AM16" s="7">
        <f t="shared" si="16"/>
        <v>0</v>
      </c>
      <c r="AN16" s="7">
        <f t="shared" si="7"/>
        <v>0</v>
      </c>
      <c r="AO16" s="130">
        <v>0</v>
      </c>
      <c r="AP16" s="130">
        <v>0</v>
      </c>
      <c r="AQ16" s="130">
        <v>0</v>
      </c>
      <c r="AR16" s="130">
        <v>0</v>
      </c>
      <c r="AS16" s="135" t="e">
        <f t="shared" si="19"/>
        <v>#DIV/0!</v>
      </c>
    </row>
    <row r="17" spans="1:45" ht="15" customHeight="1">
      <c r="A17" s="102" t="s">
        <v>30</v>
      </c>
      <c r="B17" s="7">
        <v>33790720</v>
      </c>
      <c r="C17" s="7"/>
      <c r="D17" s="7"/>
      <c r="E17" s="7"/>
      <c r="F17" s="7"/>
      <c r="G17" s="7"/>
      <c r="H17" s="7"/>
      <c r="I17" s="7">
        <f t="shared" si="8"/>
        <v>33790720</v>
      </c>
      <c r="J17" s="7">
        <v>7835403</v>
      </c>
      <c r="K17" s="7"/>
      <c r="L17" s="7">
        <v>-1074647</v>
      </c>
      <c r="M17" s="7">
        <f t="shared" si="9"/>
        <v>6760756</v>
      </c>
      <c r="N17" s="7">
        <v>8424279</v>
      </c>
      <c r="O17" s="7"/>
      <c r="P17" s="7">
        <f t="shared" si="10"/>
        <v>-1395</v>
      </c>
      <c r="Q17" s="7">
        <f t="shared" si="11"/>
        <v>8422884</v>
      </c>
      <c r="R17" s="7">
        <v>8424279.175319202</v>
      </c>
      <c r="S17" s="7"/>
      <c r="T17" s="7">
        <f t="shared" si="12"/>
        <v>-1895.1753192022443</v>
      </c>
      <c r="U17" s="7">
        <f t="shared" si="13"/>
        <v>0</v>
      </c>
      <c r="V17" s="7">
        <f t="shared" si="0"/>
        <v>8422384</v>
      </c>
      <c r="W17" s="7">
        <v>10184696</v>
      </c>
      <c r="X17" s="7"/>
      <c r="Y17" s="7"/>
      <c r="Z17" s="7"/>
      <c r="AA17" s="7">
        <f t="shared" si="1"/>
        <v>10184696</v>
      </c>
      <c r="AB17" s="7">
        <f t="shared" si="2"/>
        <v>33790720</v>
      </c>
      <c r="AC17" s="414">
        <f>+'[4]MER ENE-MAR-11'!$G$48</f>
        <v>6760756</v>
      </c>
      <c r="AD17" s="414">
        <f>+'[4]MER ABR-JUN-11'!$G$54</f>
        <v>8422884</v>
      </c>
      <c r="AE17" s="414">
        <f>+'[4]MER JUL-SEP-11'!$G$48</f>
        <v>8422384</v>
      </c>
      <c r="AF17" s="414">
        <f>+'[4]MER OCT-DIC-11'!$G$50</f>
        <v>8240296</v>
      </c>
      <c r="AG17" s="414">
        <f t="shared" si="3"/>
        <v>31846320</v>
      </c>
      <c r="AH17" s="7">
        <f t="shared" si="4"/>
        <v>0</v>
      </c>
      <c r="AI17" s="7">
        <f t="shared" si="5"/>
        <v>0</v>
      </c>
      <c r="AJ17" s="7">
        <f t="shared" si="6"/>
        <v>0</v>
      </c>
      <c r="AK17" s="7">
        <f t="shared" si="14"/>
        <v>1944400</v>
      </c>
      <c r="AL17" s="7">
        <f t="shared" si="15"/>
        <v>33790720</v>
      </c>
      <c r="AM17" s="7">
        <f t="shared" si="16"/>
        <v>0</v>
      </c>
      <c r="AN17" s="7">
        <f t="shared" si="7"/>
        <v>1944400</v>
      </c>
      <c r="AO17" s="130">
        <f>+AG17/I17</f>
        <v>0.942457574150536</v>
      </c>
      <c r="AP17" s="130">
        <f t="shared" si="17"/>
        <v>1</v>
      </c>
      <c r="AQ17" s="130">
        <f t="shared" si="18"/>
        <v>1</v>
      </c>
      <c r="AR17" s="130">
        <f>+AE17/V17</f>
        <v>1</v>
      </c>
      <c r="AS17" s="135">
        <f t="shared" si="19"/>
        <v>0.8090861033063727</v>
      </c>
    </row>
    <row r="18" spans="1:45" ht="15" customHeight="1">
      <c r="A18" s="102" t="s">
        <v>31</v>
      </c>
      <c r="B18" s="7">
        <v>6429592</v>
      </c>
      <c r="C18" s="7"/>
      <c r="D18" s="7"/>
      <c r="E18" s="7"/>
      <c r="F18" s="7"/>
      <c r="G18" s="7"/>
      <c r="H18" s="7"/>
      <c r="I18" s="7">
        <f t="shared" si="8"/>
        <v>6429592</v>
      </c>
      <c r="J18" s="7">
        <v>1490896</v>
      </c>
      <c r="K18" s="7"/>
      <c r="L18" s="7">
        <v>-199696</v>
      </c>
      <c r="M18" s="7">
        <f t="shared" si="9"/>
        <v>1291200</v>
      </c>
      <c r="N18" s="7">
        <v>1602945</v>
      </c>
      <c r="O18" s="7">
        <v>255</v>
      </c>
      <c r="P18" s="7">
        <f t="shared" si="10"/>
        <v>0</v>
      </c>
      <c r="Q18" s="7">
        <f t="shared" si="11"/>
        <v>1603200</v>
      </c>
      <c r="R18" s="7">
        <v>1602945.328764</v>
      </c>
      <c r="S18" s="7"/>
      <c r="T18" s="7">
        <f t="shared" si="12"/>
        <v>-10445.328763999976</v>
      </c>
      <c r="U18" s="7">
        <f t="shared" si="13"/>
        <v>0</v>
      </c>
      <c r="V18" s="7">
        <f t="shared" si="0"/>
        <v>1592500</v>
      </c>
      <c r="W18" s="7">
        <v>1942692</v>
      </c>
      <c r="X18" s="7"/>
      <c r="Y18" s="7"/>
      <c r="Z18" s="7"/>
      <c r="AA18" s="7">
        <f t="shared" si="1"/>
        <v>1942692</v>
      </c>
      <c r="AB18" s="7">
        <f t="shared" si="2"/>
        <v>6429592</v>
      </c>
      <c r="AC18" s="414">
        <f>+'[4]MER ENE-MAR-11'!$G$55</f>
        <v>1291200</v>
      </c>
      <c r="AD18" s="414">
        <f>+'[4]MER ABR-JUN-11'!$G$61</f>
        <v>1603200</v>
      </c>
      <c r="AE18" s="414">
        <f>+'[4]MER JUL-SEP-11'!$G$55</f>
        <v>1592500</v>
      </c>
      <c r="AF18" s="414">
        <f>+'[4]MER OCT-DIC-11'!$G$57</f>
        <v>1569800</v>
      </c>
      <c r="AG18" s="414">
        <f t="shared" si="3"/>
        <v>6056700</v>
      </c>
      <c r="AH18" s="7">
        <f t="shared" si="4"/>
        <v>0</v>
      </c>
      <c r="AI18" s="7">
        <f t="shared" si="5"/>
        <v>0</v>
      </c>
      <c r="AJ18" s="7">
        <f t="shared" si="6"/>
        <v>0</v>
      </c>
      <c r="AK18" s="7">
        <f t="shared" si="14"/>
        <v>372892</v>
      </c>
      <c r="AL18" s="7">
        <f t="shared" si="15"/>
        <v>6429592</v>
      </c>
      <c r="AM18" s="7">
        <f t="shared" si="16"/>
        <v>0</v>
      </c>
      <c r="AN18" s="7">
        <f t="shared" si="7"/>
        <v>372892</v>
      </c>
      <c r="AO18" s="130">
        <f>+AG18/I18</f>
        <v>0.9420037849991104</v>
      </c>
      <c r="AP18" s="130">
        <f t="shared" si="17"/>
        <v>1</v>
      </c>
      <c r="AQ18" s="130">
        <f t="shared" si="18"/>
        <v>1</v>
      </c>
      <c r="AR18" s="130">
        <f>+AE18/V18</f>
        <v>1</v>
      </c>
      <c r="AS18" s="135">
        <f t="shared" si="19"/>
        <v>0.8080539787058371</v>
      </c>
    </row>
    <row r="19" spans="1:45" ht="15" customHeight="1">
      <c r="A19" s="102" t="s">
        <v>32</v>
      </c>
      <c r="B19" s="7">
        <v>8036990</v>
      </c>
      <c r="C19" s="7"/>
      <c r="D19" s="7"/>
      <c r="E19" s="7"/>
      <c r="F19" s="7"/>
      <c r="G19" s="7"/>
      <c r="H19" s="7"/>
      <c r="I19" s="7">
        <f t="shared" si="8"/>
        <v>8036990</v>
      </c>
      <c r="J19" s="7">
        <v>1863620</v>
      </c>
      <c r="K19" s="7"/>
      <c r="L19" s="7">
        <v>-249520</v>
      </c>
      <c r="M19" s="7">
        <f t="shared" si="9"/>
        <v>1614100</v>
      </c>
      <c r="N19" s="7">
        <v>2003682</v>
      </c>
      <c r="O19" s="7">
        <v>118</v>
      </c>
      <c r="P19" s="7">
        <f t="shared" si="10"/>
        <v>0</v>
      </c>
      <c r="Q19" s="7">
        <f t="shared" si="11"/>
        <v>2003800</v>
      </c>
      <c r="R19" s="7">
        <v>2003681.6609550002</v>
      </c>
      <c r="S19" s="7"/>
      <c r="T19" s="7">
        <v>-12878</v>
      </c>
      <c r="U19" s="7">
        <f t="shared" si="13"/>
        <v>-203.6609550002031</v>
      </c>
      <c r="V19" s="7">
        <f t="shared" si="0"/>
        <v>1990600</v>
      </c>
      <c r="W19" s="7">
        <v>2428490</v>
      </c>
      <c r="X19" s="7"/>
      <c r="Y19" s="7"/>
      <c r="Z19" s="7"/>
      <c r="AA19" s="7">
        <f t="shared" si="1"/>
        <v>2428490</v>
      </c>
      <c r="AB19" s="7">
        <f t="shared" si="2"/>
        <v>8036990</v>
      </c>
      <c r="AC19" s="414">
        <f>+'[4]MER ENE-MAR-11'!$G$62</f>
        <v>1614100</v>
      </c>
      <c r="AD19" s="414">
        <f>+'[4]MER ABR-JUN-11'!$G$68</f>
        <v>2003800</v>
      </c>
      <c r="AE19" s="414">
        <f>+'[4]MER JUL-SEP-11'!$G$62</f>
        <v>1990600</v>
      </c>
      <c r="AF19" s="414">
        <f>+'[4]MER OCT-DIC-11'!$G$64</f>
        <v>1962300</v>
      </c>
      <c r="AG19" s="414">
        <f t="shared" si="3"/>
        <v>7570800</v>
      </c>
      <c r="AH19" s="7">
        <f t="shared" si="4"/>
        <v>0</v>
      </c>
      <c r="AI19" s="7">
        <f t="shared" si="5"/>
        <v>0</v>
      </c>
      <c r="AJ19" s="7">
        <f t="shared" si="6"/>
        <v>0</v>
      </c>
      <c r="AK19" s="7">
        <f t="shared" si="14"/>
        <v>466190</v>
      </c>
      <c r="AL19" s="7">
        <f t="shared" si="15"/>
        <v>8036990</v>
      </c>
      <c r="AM19" s="7">
        <f t="shared" si="16"/>
        <v>0</v>
      </c>
      <c r="AN19" s="7">
        <f t="shared" si="7"/>
        <v>466190</v>
      </c>
      <c r="AO19" s="130">
        <f>+AG19/I19</f>
        <v>0.9419944531472604</v>
      </c>
      <c r="AP19" s="130">
        <f t="shared" si="17"/>
        <v>1</v>
      </c>
      <c r="AQ19" s="130">
        <f t="shared" si="18"/>
        <v>1</v>
      </c>
      <c r="AR19" s="130">
        <f>+AE19/V19</f>
        <v>1</v>
      </c>
      <c r="AS19" s="135">
        <f t="shared" si="19"/>
        <v>0.8080329752232869</v>
      </c>
    </row>
    <row r="20" spans="1:45" ht="15" customHeight="1" thickBot="1">
      <c r="A20" s="104" t="s">
        <v>33</v>
      </c>
      <c r="B20" s="7">
        <v>300000</v>
      </c>
      <c r="C20" s="11"/>
      <c r="D20" s="11"/>
      <c r="E20" s="11"/>
      <c r="F20" s="11"/>
      <c r="G20" s="11"/>
      <c r="H20" s="11"/>
      <c r="I20" s="7">
        <f t="shared" si="8"/>
        <v>300000</v>
      </c>
      <c r="J20" s="11">
        <v>0</v>
      </c>
      <c r="K20" s="11"/>
      <c r="L20" s="7">
        <v>0</v>
      </c>
      <c r="M20" s="7">
        <f t="shared" si="9"/>
        <v>0</v>
      </c>
      <c r="N20" s="11">
        <v>300000</v>
      </c>
      <c r="O20" s="11"/>
      <c r="P20" s="7">
        <f>+AD20-N20-O20</f>
        <v>0</v>
      </c>
      <c r="Q20" s="7">
        <f t="shared" si="11"/>
        <v>300000</v>
      </c>
      <c r="R20" s="11"/>
      <c r="S20" s="11"/>
      <c r="T20" s="11"/>
      <c r="U20" s="11"/>
      <c r="V20" s="11">
        <f t="shared" si="0"/>
        <v>0</v>
      </c>
      <c r="W20" s="11">
        <f>+I20-M20-Q20-V20</f>
        <v>0</v>
      </c>
      <c r="X20" s="11">
        <v>0</v>
      </c>
      <c r="Y20" s="11">
        <v>0</v>
      </c>
      <c r="Z20" s="11">
        <v>0</v>
      </c>
      <c r="AA20" s="11">
        <f t="shared" si="1"/>
        <v>0</v>
      </c>
      <c r="AB20" s="7">
        <f t="shared" si="2"/>
        <v>300000</v>
      </c>
      <c r="AC20" s="414">
        <f>+'[4]MER ENE-MAR-11'!$G$69</f>
        <v>0</v>
      </c>
      <c r="AD20" s="414">
        <f>+'[4]MER ABR-JUN-11'!$G$75</f>
        <v>300000</v>
      </c>
      <c r="AE20" s="414">
        <f>+'[4]MER JUL-SEP-11'!$G$69</f>
        <v>0</v>
      </c>
      <c r="AF20" s="414">
        <f>+'[4]MER OCT-DIC-11'!$G$71</f>
        <v>0</v>
      </c>
      <c r="AG20" s="414">
        <f t="shared" si="3"/>
        <v>300000</v>
      </c>
      <c r="AH20" s="11">
        <f t="shared" si="4"/>
        <v>0</v>
      </c>
      <c r="AI20" s="7">
        <f t="shared" si="5"/>
        <v>0</v>
      </c>
      <c r="AJ20" s="11">
        <f t="shared" si="6"/>
        <v>0</v>
      </c>
      <c r="AK20" s="11">
        <f t="shared" si="14"/>
        <v>0</v>
      </c>
      <c r="AL20" s="11">
        <f t="shared" si="15"/>
        <v>300000</v>
      </c>
      <c r="AM20" s="11">
        <f t="shared" si="16"/>
        <v>0</v>
      </c>
      <c r="AN20" s="11">
        <f t="shared" si="7"/>
        <v>0</v>
      </c>
      <c r="AO20" s="146">
        <f>+AG20/I20</f>
        <v>1</v>
      </c>
      <c r="AP20" s="130">
        <v>0</v>
      </c>
      <c r="AQ20" s="130">
        <f t="shared" si="18"/>
        <v>1</v>
      </c>
      <c r="AR20" s="146">
        <v>0</v>
      </c>
      <c r="AS20" s="180" t="e">
        <f t="shared" si="19"/>
        <v>#DIV/0!</v>
      </c>
    </row>
    <row r="21" spans="1:45" ht="15" customHeight="1" thickBot="1">
      <c r="A21" s="105" t="s">
        <v>35</v>
      </c>
      <c r="B21" s="50">
        <f>SUM(B11:B20)</f>
        <v>261074022</v>
      </c>
      <c r="C21" s="50">
        <f aca="true" t="shared" si="20" ref="C21:AN21">SUM(C11:C20)</f>
        <v>0</v>
      </c>
      <c r="D21" s="50">
        <f>SUM(D11:D20)</f>
        <v>0</v>
      </c>
      <c r="E21" s="50">
        <f>SUM(E11:E20)</f>
        <v>0</v>
      </c>
      <c r="F21" s="50">
        <f>SUM(F11:F20)</f>
        <v>0</v>
      </c>
      <c r="G21" s="50"/>
      <c r="H21" s="50">
        <f>SUM(H11:H20)</f>
        <v>0</v>
      </c>
      <c r="I21" s="50">
        <f t="shared" si="20"/>
        <v>261074022</v>
      </c>
      <c r="J21" s="50">
        <f t="shared" si="20"/>
        <v>60519759</v>
      </c>
      <c r="K21" s="50">
        <f>SUM(K11:K20)</f>
        <v>0</v>
      </c>
      <c r="L21" s="50">
        <f>SUM(L11:L20)</f>
        <v>-16396343</v>
      </c>
      <c r="M21" s="50">
        <f t="shared" si="20"/>
        <v>44123416</v>
      </c>
      <c r="N21" s="50">
        <f>SUM(N11:N20)</f>
        <v>65322615.71751665</v>
      </c>
      <c r="O21" s="50">
        <f>SUM(O11:O20)</f>
        <v>1596241</v>
      </c>
      <c r="P21" s="50">
        <f t="shared" si="20"/>
        <v>-228553.71751665376</v>
      </c>
      <c r="Q21" s="50">
        <f t="shared" si="20"/>
        <v>66690303</v>
      </c>
      <c r="R21" s="50">
        <f t="shared" si="20"/>
        <v>65022616.10165486</v>
      </c>
      <c r="S21" s="50">
        <f>SUM(S11:S20)</f>
        <v>0</v>
      </c>
      <c r="T21" s="50">
        <f>SUM(T11:T20)</f>
        <v>-0.4406998619087972</v>
      </c>
      <c r="U21" s="50">
        <f>SUM(U11:U20)</f>
        <v>-203.6609550002031</v>
      </c>
      <c r="V21" s="50">
        <f t="shared" si="20"/>
        <v>65022412</v>
      </c>
      <c r="W21" s="50">
        <f t="shared" si="20"/>
        <v>85237891</v>
      </c>
      <c r="X21" s="50">
        <f>SUM(X11:X20)</f>
        <v>0</v>
      </c>
      <c r="Y21" s="50">
        <f>SUM(Y11:Y20)</f>
        <v>0</v>
      </c>
      <c r="Z21" s="50">
        <f>SUM(Z11:Z20)</f>
        <v>0</v>
      </c>
      <c r="AA21" s="50">
        <f t="shared" si="20"/>
        <v>85237891</v>
      </c>
      <c r="AB21" s="50">
        <f t="shared" si="20"/>
        <v>261074022</v>
      </c>
      <c r="AC21" s="50">
        <f t="shared" si="20"/>
        <v>44123416</v>
      </c>
      <c r="AD21" s="50">
        <f t="shared" si="20"/>
        <v>66690303</v>
      </c>
      <c r="AE21" s="50">
        <f t="shared" si="20"/>
        <v>65022412</v>
      </c>
      <c r="AF21" s="50">
        <f>SUM(AF11:AF20)</f>
        <v>62731036</v>
      </c>
      <c r="AG21" s="50">
        <f>SUM(AG11:AG20)</f>
        <v>238567167</v>
      </c>
      <c r="AH21" s="50">
        <f t="shared" si="20"/>
        <v>0</v>
      </c>
      <c r="AI21" s="50">
        <f t="shared" si="20"/>
        <v>0</v>
      </c>
      <c r="AJ21" s="50">
        <f t="shared" si="20"/>
        <v>0</v>
      </c>
      <c r="AK21" s="50">
        <f t="shared" si="20"/>
        <v>22506855</v>
      </c>
      <c r="AL21" s="50">
        <f t="shared" si="20"/>
        <v>261074022</v>
      </c>
      <c r="AM21" s="50">
        <f t="shared" si="20"/>
        <v>0</v>
      </c>
      <c r="AN21" s="50">
        <f t="shared" si="20"/>
        <v>22506855</v>
      </c>
      <c r="AO21" s="148">
        <f>+AG21/I21</f>
        <v>0.9137912886637185</v>
      </c>
      <c r="AP21" s="148">
        <f>+AC21/J21</f>
        <v>0.729074549024559</v>
      </c>
      <c r="AQ21" s="148">
        <f>+AD21/N21</f>
        <v>1.0209374237002053</v>
      </c>
      <c r="AR21" s="148">
        <f>+AE21/V21</f>
        <v>1</v>
      </c>
      <c r="AS21" s="148">
        <f>+AF21/AA21</f>
        <v>0.7359524650838675</v>
      </c>
    </row>
    <row r="22" spans="1:45" ht="15" customHeight="1">
      <c r="A22" s="106"/>
      <c r="B22" s="55"/>
      <c r="C22" s="101"/>
      <c r="D22" s="101"/>
      <c r="E22" s="101"/>
      <c r="F22" s="101"/>
      <c r="G22" s="101"/>
      <c r="H22" s="101"/>
      <c r="I22" s="101"/>
      <c r="J22" s="55"/>
      <c r="K22" s="55"/>
      <c r="L22" s="55"/>
      <c r="M22" s="55"/>
      <c r="N22" s="55"/>
      <c r="O22" s="101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101"/>
      <c r="AC22" s="55"/>
      <c r="AD22" s="55"/>
      <c r="AE22" s="55"/>
      <c r="AF22" s="101"/>
      <c r="AG22" s="55"/>
      <c r="AH22" s="55"/>
      <c r="AI22" s="101"/>
      <c r="AJ22" s="55"/>
      <c r="AK22" s="101"/>
      <c r="AL22" s="101"/>
      <c r="AM22" s="55"/>
      <c r="AN22" s="101"/>
      <c r="AO22" s="107"/>
      <c r="AP22" s="107"/>
      <c r="AQ22" s="107"/>
      <c r="AR22" s="107"/>
      <c r="AS22" s="108"/>
    </row>
    <row r="23" spans="1:45" ht="15" customHeight="1">
      <c r="A23" s="109" t="s">
        <v>36</v>
      </c>
      <c r="B23" s="36"/>
      <c r="C23" s="7"/>
      <c r="D23" s="7"/>
      <c r="E23" s="7"/>
      <c r="F23" s="7"/>
      <c r="G23" s="7"/>
      <c r="H23" s="7"/>
      <c r="I23" s="7"/>
      <c r="J23" s="36"/>
      <c r="K23" s="36"/>
      <c r="L23" s="36"/>
      <c r="M23" s="36"/>
      <c r="N23" s="36"/>
      <c r="O23" s="7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7"/>
      <c r="AC23" s="36"/>
      <c r="AD23" s="36"/>
      <c r="AE23" s="36"/>
      <c r="AF23" s="36"/>
      <c r="AG23" s="36"/>
      <c r="AH23" s="7"/>
      <c r="AI23" s="7"/>
      <c r="AJ23" s="36"/>
      <c r="AK23" s="7"/>
      <c r="AL23" s="7"/>
      <c r="AM23" s="36"/>
      <c r="AN23" s="7"/>
      <c r="AO23" s="74"/>
      <c r="AP23" s="74"/>
      <c r="AQ23" s="74"/>
      <c r="AR23" s="74"/>
      <c r="AS23" s="110"/>
    </row>
    <row r="24" spans="1:45" ht="15" customHeight="1">
      <c r="A24" s="52" t="s">
        <v>105</v>
      </c>
      <c r="B24" s="7">
        <v>1500000</v>
      </c>
      <c r="C24" s="7"/>
      <c r="D24" s="7"/>
      <c r="E24" s="7"/>
      <c r="F24" s="7"/>
      <c r="G24" s="7"/>
      <c r="H24" s="7"/>
      <c r="I24" s="7">
        <f>SUM(B24:H24)</f>
        <v>1500000</v>
      </c>
      <c r="J24" s="7">
        <v>1500000</v>
      </c>
      <c r="K24" s="36"/>
      <c r="L24" s="7">
        <v>-1500000</v>
      </c>
      <c r="M24" s="7">
        <f>SUM(J24:L24)</f>
        <v>0</v>
      </c>
      <c r="N24" s="7">
        <v>1500000</v>
      </c>
      <c r="O24" s="7"/>
      <c r="P24" s="7">
        <f>+AD24-N24-O24</f>
        <v>0</v>
      </c>
      <c r="Q24" s="7">
        <f>SUM(N24:P24)</f>
        <v>1500000</v>
      </c>
      <c r="R24" s="36"/>
      <c r="S24" s="7"/>
      <c r="T24" s="7"/>
      <c r="U24" s="7">
        <f>-R24-S24-T24+AE24</f>
        <v>0</v>
      </c>
      <c r="V24" s="11">
        <f>+SUM(R24:U24)</f>
        <v>0</v>
      </c>
      <c r="W24" s="11">
        <f>+I24-M24-Q24-V24</f>
        <v>0</v>
      </c>
      <c r="X24" s="7"/>
      <c r="Y24" s="7"/>
      <c r="Z24" s="7"/>
      <c r="AA24" s="11">
        <f>+SUM(W24:W24)</f>
        <v>0</v>
      </c>
      <c r="AB24" s="7">
        <f>+M24+Q24+V24+AA24</f>
        <v>1500000</v>
      </c>
      <c r="AC24" s="414">
        <v>0</v>
      </c>
      <c r="AD24" s="414">
        <f>+'[4]MER ABR-JUN-11'!$G$81</f>
        <v>1500000</v>
      </c>
      <c r="AE24" s="414">
        <f>+'[4]MER JUL-SEP-11'!$G$74</f>
        <v>0</v>
      </c>
      <c r="AF24" s="414">
        <f>+'[4]MER OCT-DIC-11'!$G$77</f>
        <v>0</v>
      </c>
      <c r="AG24" s="414">
        <f>SUM(AC24:AF24)</f>
        <v>1500000</v>
      </c>
      <c r="AH24" s="7"/>
      <c r="AI24" s="7">
        <f>+N24-AD24</f>
        <v>0</v>
      </c>
      <c r="AJ24" s="36"/>
      <c r="AK24" s="7">
        <f>+AA24-AF24</f>
        <v>0</v>
      </c>
      <c r="AL24" s="7">
        <f>+AB24</f>
        <v>1500000</v>
      </c>
      <c r="AM24" s="7">
        <f>+I24-AB24</f>
        <v>0</v>
      </c>
      <c r="AN24" s="7"/>
      <c r="AO24" s="74"/>
      <c r="AP24" s="74"/>
      <c r="AQ24" s="74"/>
      <c r="AR24" s="74"/>
      <c r="AS24" s="110"/>
    </row>
    <row r="25" spans="1:45" ht="15" customHeight="1">
      <c r="A25" s="102" t="s">
        <v>40</v>
      </c>
      <c r="B25" s="7">
        <v>6190200</v>
      </c>
      <c r="C25" s="7"/>
      <c r="D25" s="7"/>
      <c r="E25" s="7"/>
      <c r="F25" s="7"/>
      <c r="G25" s="7"/>
      <c r="H25" s="7"/>
      <c r="I25" s="7">
        <f>SUM(B25:H25)</f>
        <v>6190200</v>
      </c>
      <c r="J25" s="7">
        <v>1545000</v>
      </c>
      <c r="K25" s="7"/>
      <c r="L25" s="7">
        <v>0</v>
      </c>
      <c r="M25" s="7">
        <f>SUM(J25:L25)</f>
        <v>1545000</v>
      </c>
      <c r="N25" s="7">
        <v>1545000</v>
      </c>
      <c r="O25" s="7"/>
      <c r="P25" s="7">
        <f>+AD25-N25-O25</f>
        <v>0</v>
      </c>
      <c r="Q25" s="7">
        <f>SUM(N25:P25)</f>
        <v>1545000</v>
      </c>
      <c r="R25" s="7">
        <v>1545000</v>
      </c>
      <c r="S25" s="7"/>
      <c r="T25" s="7"/>
      <c r="U25" s="7">
        <f>-R25-S25-T25+AE25</f>
        <v>0</v>
      </c>
      <c r="V25" s="11">
        <f>+SUM(R25:U25)</f>
        <v>1545000</v>
      </c>
      <c r="W25" s="11">
        <v>1555200</v>
      </c>
      <c r="X25" s="7"/>
      <c r="Y25" s="7"/>
      <c r="Z25" s="7"/>
      <c r="AA25" s="11">
        <f>+SUM(W25:W25)</f>
        <v>1555200</v>
      </c>
      <c r="AB25" s="7">
        <f>+M25+Q25+V25+AA25</f>
        <v>6190200</v>
      </c>
      <c r="AC25" s="414">
        <f>+'[4]MER ENE-MAR-11'!$G$75</f>
        <v>1545000</v>
      </c>
      <c r="AD25" s="414">
        <f>+'[4]MER ABR-JUN-11'!$G$87</f>
        <v>1545000</v>
      </c>
      <c r="AE25" s="414">
        <f>+'[4]MER JUL-SEP-11'!$G$78</f>
        <v>1545000</v>
      </c>
      <c r="AF25" s="414">
        <f>+'[4]MER OCT-DIC-11'!$G$82</f>
        <v>1545000</v>
      </c>
      <c r="AG25" s="414">
        <f>SUM(AC25:AF25)</f>
        <v>6180000</v>
      </c>
      <c r="AH25" s="7">
        <f>+M25-AC25</f>
        <v>0</v>
      </c>
      <c r="AI25" s="7">
        <f>+Q25-AD25</f>
        <v>0</v>
      </c>
      <c r="AJ25" s="7">
        <f>+V25-AE25</f>
        <v>0</v>
      </c>
      <c r="AK25" s="7">
        <f>+AA25-AF25</f>
        <v>10200</v>
      </c>
      <c r="AL25" s="7">
        <f>+AB25</f>
        <v>6190200</v>
      </c>
      <c r="AM25" s="7">
        <f>+I25-AB25</f>
        <v>0</v>
      </c>
      <c r="AN25" s="7">
        <f>+AL25-AG25</f>
        <v>10200</v>
      </c>
      <c r="AO25" s="130">
        <f>+AG25/I25</f>
        <v>0.9983522341766017</v>
      </c>
      <c r="AP25" s="130">
        <f>+AC25/M25</f>
        <v>1</v>
      </c>
      <c r="AQ25" s="130">
        <f>+AD25/Q25</f>
        <v>1</v>
      </c>
      <c r="AR25" s="130">
        <f>+AE25/V25</f>
        <v>1</v>
      </c>
      <c r="AS25" s="135">
        <f>+AF25/AA25</f>
        <v>0.9934413580246914</v>
      </c>
    </row>
    <row r="26" spans="1:45" ht="15" customHeight="1">
      <c r="A26" s="102" t="s">
        <v>41</v>
      </c>
      <c r="B26" s="7">
        <v>8852015.919300001</v>
      </c>
      <c r="C26" s="7"/>
      <c r="D26" s="7"/>
      <c r="E26" s="7"/>
      <c r="F26" s="7"/>
      <c r="G26" s="7"/>
      <c r="H26" s="7"/>
      <c r="I26" s="7">
        <f>SUM(B26:H26)</f>
        <v>8852015.919300001</v>
      </c>
      <c r="J26" s="7">
        <v>2209357.4675000003</v>
      </c>
      <c r="K26" s="7"/>
      <c r="L26" s="7">
        <v>-1227336.4675000003</v>
      </c>
      <c r="M26" s="7">
        <f>SUM(J26:L26)</f>
        <v>982021</v>
      </c>
      <c r="N26" s="7">
        <v>2213003.9798250003</v>
      </c>
      <c r="O26" s="7"/>
      <c r="P26" s="7">
        <f>+AD26-N26-O26</f>
        <v>-1101963.9798250003</v>
      </c>
      <c r="Q26" s="7">
        <f>SUM(N26:P26)</f>
        <v>1111040</v>
      </c>
      <c r="R26" s="7">
        <v>2213003.9798250003</v>
      </c>
      <c r="S26" s="7"/>
      <c r="T26" s="7"/>
      <c r="U26" s="7">
        <f>-R26-S26-T26+AE26</f>
        <v>-0.579825000371784</v>
      </c>
      <c r="V26" s="11">
        <f>+SUM(R26:U26)</f>
        <v>2213003.4</v>
      </c>
      <c r="W26" s="11">
        <v>4545951.519300001</v>
      </c>
      <c r="X26" s="7"/>
      <c r="Y26" s="7"/>
      <c r="Z26" s="7"/>
      <c r="AA26" s="11">
        <f>+SUM(W26:W26)</f>
        <v>4545951.519300001</v>
      </c>
      <c r="AB26" s="7">
        <f>+M26+Q26+V26+AA26</f>
        <v>8852015.919300001</v>
      </c>
      <c r="AC26" s="414">
        <f>+'[4]MER ENE-MAR-11'!$G$83</f>
        <v>982021</v>
      </c>
      <c r="AD26" s="414">
        <f>+'[4]MER ABR-JUN-11'!$G$95</f>
        <v>1111040</v>
      </c>
      <c r="AE26" s="414">
        <f>+'[4]MER JUL-SEP-11'!$G$85</f>
        <v>2213003.4</v>
      </c>
      <c r="AF26" s="414">
        <f>+'[4]MER OCT-DIC-11'!$G$90</f>
        <v>2196777</v>
      </c>
      <c r="AG26" s="414">
        <f>SUM(AC26:AF26)</f>
        <v>6502841.4</v>
      </c>
      <c r="AH26" s="7">
        <f>+M26-AC26</f>
        <v>0</v>
      </c>
      <c r="AI26" s="7">
        <f>+Q26-AD26</f>
        <v>0</v>
      </c>
      <c r="AJ26" s="7">
        <f>+V26-AE26</f>
        <v>0</v>
      </c>
      <c r="AK26" s="7">
        <f>+AA26-AF26</f>
        <v>2349174.5193000007</v>
      </c>
      <c r="AL26" s="7">
        <f>+AB26</f>
        <v>8852015.919300001</v>
      </c>
      <c r="AM26" s="7">
        <f>+I26-AB26</f>
        <v>0</v>
      </c>
      <c r="AN26" s="7">
        <f>+AL26-AG26</f>
        <v>2349174.5193000007</v>
      </c>
      <c r="AO26" s="130">
        <f>+AG26/I26</f>
        <v>0.7346170024188379</v>
      </c>
      <c r="AP26" s="130">
        <f>+AC26/M26</f>
        <v>1</v>
      </c>
      <c r="AQ26" s="130">
        <f>+AD26/Q26</f>
        <v>1</v>
      </c>
      <c r="AR26" s="130">
        <f>+AE26/V26</f>
        <v>1</v>
      </c>
      <c r="AS26" s="135">
        <f>+AF26/AA26</f>
        <v>0.48323810552609375</v>
      </c>
    </row>
    <row r="27" spans="1:45" ht="15" customHeight="1">
      <c r="A27" s="102" t="s">
        <v>43</v>
      </c>
      <c r="B27" s="7">
        <v>15000000</v>
      </c>
      <c r="C27" s="7"/>
      <c r="D27" s="7"/>
      <c r="E27" s="7"/>
      <c r="F27" s="7"/>
      <c r="G27" s="7"/>
      <c r="H27" s="7"/>
      <c r="I27" s="7">
        <f>SUM(B27:H27)</f>
        <v>15000000</v>
      </c>
      <c r="J27" s="7">
        <v>2727273</v>
      </c>
      <c r="K27" s="7"/>
      <c r="L27" s="7">
        <v>-42811</v>
      </c>
      <c r="M27" s="7">
        <f>SUM(J27:L27)</f>
        <v>2684462</v>
      </c>
      <c r="N27" s="7">
        <v>9090909</v>
      </c>
      <c r="O27" s="7">
        <v>-1596241</v>
      </c>
      <c r="P27" s="7">
        <f>+AD27-N27-O27</f>
        <v>-358918</v>
      </c>
      <c r="Q27" s="7">
        <f>SUM(N27:P27)</f>
        <v>7135750</v>
      </c>
      <c r="R27" s="7">
        <v>3000000</v>
      </c>
      <c r="S27" s="7"/>
      <c r="T27" s="7"/>
      <c r="U27" s="7">
        <f>-R27-S27-T27+AE27</f>
        <v>-368960</v>
      </c>
      <c r="V27" s="11">
        <f>+SUM(R27:U27)</f>
        <v>2631040</v>
      </c>
      <c r="W27" s="11">
        <v>2548748</v>
      </c>
      <c r="X27" s="7"/>
      <c r="Y27" s="7"/>
      <c r="Z27" s="7"/>
      <c r="AA27" s="11">
        <f>+SUM(W27:W27)</f>
        <v>2548748</v>
      </c>
      <c r="AB27" s="7">
        <f>+M27+Q27+V27+AA27</f>
        <v>15000000</v>
      </c>
      <c r="AC27" s="414">
        <f>+'[4]MER ENE-MAR-11'!$G$98</f>
        <v>2684462</v>
      </c>
      <c r="AD27" s="414">
        <f>+'[4]MER ABR-JUN-11'!$G$112</f>
        <v>7135750</v>
      </c>
      <c r="AE27" s="414">
        <f>+'[4]MER JUL-SEP-11'!$G$105</f>
        <v>2631040</v>
      </c>
      <c r="AF27" s="414">
        <f>+'[4]MER OCT-DIC-11'!$G$115</f>
        <v>2548748</v>
      </c>
      <c r="AG27" s="414">
        <f>SUM(AC27:AF27)</f>
        <v>15000000</v>
      </c>
      <c r="AH27" s="7">
        <f>+M27-AC27</f>
        <v>0</v>
      </c>
      <c r="AI27" s="7">
        <f>+Q27-AD27</f>
        <v>0</v>
      </c>
      <c r="AJ27" s="7">
        <f>+V27-AE27</f>
        <v>0</v>
      </c>
      <c r="AK27" s="7">
        <f>+AA27-AF27</f>
        <v>0</v>
      </c>
      <c r="AL27" s="7">
        <f>+AB27</f>
        <v>15000000</v>
      </c>
      <c r="AM27" s="7">
        <f>+I27-AB27</f>
        <v>0</v>
      </c>
      <c r="AN27" s="7">
        <f>+AL27-AG27</f>
        <v>0</v>
      </c>
      <c r="AO27" s="130">
        <f>+AG27/I27</f>
        <v>1</v>
      </c>
      <c r="AP27" s="130">
        <f>+AC27/M27</f>
        <v>1</v>
      </c>
      <c r="AQ27" s="130">
        <f>+AD27/Q27</f>
        <v>1</v>
      </c>
      <c r="AR27" s="130">
        <f>+AE27/V27</f>
        <v>1</v>
      </c>
      <c r="AS27" s="135">
        <f>+AF27/AA27</f>
        <v>1</v>
      </c>
    </row>
    <row r="28" spans="1:45" ht="15" customHeight="1">
      <c r="A28" s="111" t="s">
        <v>45</v>
      </c>
      <c r="B28" s="11">
        <v>10000000</v>
      </c>
      <c r="C28" s="11"/>
      <c r="D28" s="11"/>
      <c r="E28" s="11"/>
      <c r="F28" s="11"/>
      <c r="G28" s="11"/>
      <c r="H28" s="11"/>
      <c r="I28" s="7">
        <f>SUM(B28:H28)</f>
        <v>10000000</v>
      </c>
      <c r="J28" s="11">
        <v>3600000</v>
      </c>
      <c r="K28" s="11"/>
      <c r="L28" s="7">
        <v>-3558095</v>
      </c>
      <c r="M28" s="7">
        <f>SUM(J28:L28)</f>
        <v>41905</v>
      </c>
      <c r="N28" s="7">
        <v>5000000</v>
      </c>
      <c r="O28" s="11"/>
      <c r="P28" s="7">
        <f>+AD28-N28-O28</f>
        <v>-2272460</v>
      </c>
      <c r="Q28" s="7">
        <f>SUM(N28:P28)</f>
        <v>2727540</v>
      </c>
      <c r="R28" s="11">
        <v>2500000</v>
      </c>
      <c r="S28" s="11"/>
      <c r="T28" s="7"/>
      <c r="U28" s="7">
        <f>-R28-S28-T28+AE28</f>
        <v>0</v>
      </c>
      <c r="V28" s="11">
        <f>+SUM(R28:U28)</f>
        <v>2500000</v>
      </c>
      <c r="W28" s="11">
        <v>4730555</v>
      </c>
      <c r="X28" s="11"/>
      <c r="Y28" s="7"/>
      <c r="Z28" s="7"/>
      <c r="AA28" s="11">
        <f>+SUM(W28:W28)</f>
        <v>4730555</v>
      </c>
      <c r="AB28" s="7">
        <f>+M28+Q28+V28+AA28</f>
        <v>10000000</v>
      </c>
      <c r="AC28" s="414">
        <f>+'[4]MER ENE-MAR-11'!$G$110</f>
        <v>41905</v>
      </c>
      <c r="AD28" s="414">
        <f>+'[4]MER ABR-JUN-11'!$G$141</f>
        <v>2727540</v>
      </c>
      <c r="AE28" s="414">
        <f>+'[4]MER JUL-SEP-11'!$G$121</f>
        <v>2500000</v>
      </c>
      <c r="AF28" s="414">
        <f>+'[4]MER OCT-DIC-11'!$G$131</f>
        <v>3204670</v>
      </c>
      <c r="AG28" s="414">
        <f>SUM(AC28:AF28)</f>
        <v>8474115</v>
      </c>
      <c r="AH28" s="7">
        <f>+M28-AC28</f>
        <v>0</v>
      </c>
      <c r="AI28" s="7">
        <f>+Q28-AD28</f>
        <v>0</v>
      </c>
      <c r="AJ28" s="7">
        <f>+V28-AE28</f>
        <v>0</v>
      </c>
      <c r="AK28" s="7">
        <f>+AA28-AF28</f>
        <v>1525885</v>
      </c>
      <c r="AL28" s="7">
        <f>+AB28</f>
        <v>10000000</v>
      </c>
      <c r="AM28" s="7">
        <f>+I28-AB28</f>
        <v>0</v>
      </c>
      <c r="AN28" s="7">
        <f>+AL28-AG28</f>
        <v>1525885</v>
      </c>
      <c r="AO28" s="130">
        <f>+AG28/I28</f>
        <v>0.8474115</v>
      </c>
      <c r="AP28" s="130">
        <f>+AC28/M28</f>
        <v>1</v>
      </c>
      <c r="AQ28" s="130">
        <f>+AD28/Q28</f>
        <v>1</v>
      </c>
      <c r="AR28" s="130">
        <f>+AE28/V28</f>
        <v>1</v>
      </c>
      <c r="AS28" s="135">
        <f>+AF28/AA28</f>
        <v>0.6774405962936696</v>
      </c>
    </row>
    <row r="29" spans="1:45" ht="15" customHeight="1" thickBot="1">
      <c r="A29" s="104"/>
      <c r="B29" s="97"/>
      <c r="C29" s="11"/>
      <c r="D29" s="11"/>
      <c r="E29" s="11"/>
      <c r="F29" s="11"/>
      <c r="G29" s="11"/>
      <c r="H29" s="11"/>
      <c r="I29" s="11"/>
      <c r="J29" s="97"/>
      <c r="K29" s="97"/>
      <c r="L29" s="97"/>
      <c r="M29" s="97"/>
      <c r="N29" s="11"/>
      <c r="O29" s="11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11"/>
      <c r="AC29" s="414"/>
      <c r="AD29" s="414"/>
      <c r="AE29" s="414"/>
      <c r="AF29" s="414"/>
      <c r="AG29" s="414"/>
      <c r="AH29" s="97"/>
      <c r="AI29" s="11"/>
      <c r="AJ29" s="97"/>
      <c r="AK29" s="11"/>
      <c r="AL29" s="11"/>
      <c r="AM29" s="97"/>
      <c r="AN29" s="11"/>
      <c r="AO29" s="192"/>
      <c r="AP29" s="192"/>
      <c r="AQ29" s="192"/>
      <c r="AR29" s="192"/>
      <c r="AS29" s="193"/>
    </row>
    <row r="30" spans="1:45" ht="15" customHeight="1" thickBot="1">
      <c r="A30" s="50" t="s">
        <v>51</v>
      </c>
      <c r="B30" s="50">
        <f>SUM(B24:B29)</f>
        <v>41542215.919300005</v>
      </c>
      <c r="C30" s="50">
        <f aca="true" t="shared" si="21" ref="C30:AN30">SUM(C24:C29)</f>
        <v>0</v>
      </c>
      <c r="D30" s="50">
        <f>SUM(D24:D29)</f>
        <v>0</v>
      </c>
      <c r="E30" s="50">
        <f>SUM(E24:E29)</f>
        <v>0</v>
      </c>
      <c r="F30" s="50">
        <f>SUM(F24:F29)</f>
        <v>0</v>
      </c>
      <c r="G30" s="50"/>
      <c r="H30" s="50">
        <f>SUM(H24:H29)</f>
        <v>0</v>
      </c>
      <c r="I30" s="50">
        <f t="shared" si="21"/>
        <v>41542215.919300005</v>
      </c>
      <c r="J30" s="50">
        <f t="shared" si="21"/>
        <v>11581630.467500001</v>
      </c>
      <c r="K30" s="50">
        <f>SUM(K24:K28)</f>
        <v>0</v>
      </c>
      <c r="L30" s="50">
        <f>SUM(L24:L28)</f>
        <v>-6328242.4675</v>
      </c>
      <c r="M30" s="50">
        <f t="shared" si="21"/>
        <v>5253388</v>
      </c>
      <c r="N30" s="50">
        <f>SUM(N24:N29)</f>
        <v>19348912.979825</v>
      </c>
      <c r="O30" s="50">
        <f>SUM(O24:O29)</f>
        <v>-1596241</v>
      </c>
      <c r="P30" s="50">
        <f t="shared" si="21"/>
        <v>-3733341.9798250003</v>
      </c>
      <c r="Q30" s="50">
        <f t="shared" si="21"/>
        <v>14019330</v>
      </c>
      <c r="R30" s="50">
        <f t="shared" si="21"/>
        <v>9258003.979825001</v>
      </c>
      <c r="S30" s="50">
        <f>SUM(S24:S29)</f>
        <v>0</v>
      </c>
      <c r="T30" s="50"/>
      <c r="U30" s="50">
        <f>SUM(U24:U29)</f>
        <v>-368960.5798250004</v>
      </c>
      <c r="V30" s="50">
        <f t="shared" si="21"/>
        <v>8889043.4</v>
      </c>
      <c r="W30" s="50">
        <f t="shared" si="21"/>
        <v>13380454.5193</v>
      </c>
      <c r="X30" s="50">
        <f>SUM(X24:X29)</f>
        <v>0</v>
      </c>
      <c r="Y30" s="50">
        <f>SUM(Y24:Y29)</f>
        <v>0</v>
      </c>
      <c r="Z30" s="50">
        <f>SUM(Z24:Z29)</f>
        <v>0</v>
      </c>
      <c r="AA30" s="50">
        <f t="shared" si="21"/>
        <v>13380454.5193</v>
      </c>
      <c r="AB30" s="50">
        <f t="shared" si="21"/>
        <v>41542215.919300005</v>
      </c>
      <c r="AC30" s="50">
        <f t="shared" si="21"/>
        <v>5253388</v>
      </c>
      <c r="AD30" s="50">
        <f t="shared" si="21"/>
        <v>14019330</v>
      </c>
      <c r="AE30" s="50">
        <f t="shared" si="21"/>
        <v>8889043.4</v>
      </c>
      <c r="AF30" s="50">
        <f>SUM(AF24:AF29)</f>
        <v>9495195</v>
      </c>
      <c r="AG30" s="50">
        <f>SUM(AG24:AG29)</f>
        <v>37656956.4</v>
      </c>
      <c r="AH30" s="50">
        <f t="shared" si="21"/>
        <v>0</v>
      </c>
      <c r="AI30" s="50">
        <f t="shared" si="21"/>
        <v>0</v>
      </c>
      <c r="AJ30" s="50">
        <f t="shared" si="21"/>
        <v>0</v>
      </c>
      <c r="AK30" s="50">
        <f>SUM(AK24:AK29)</f>
        <v>3885259.5193000007</v>
      </c>
      <c r="AL30" s="50">
        <f t="shared" si="21"/>
        <v>41542215.919300005</v>
      </c>
      <c r="AM30" s="50">
        <f t="shared" si="21"/>
        <v>0</v>
      </c>
      <c r="AN30" s="50">
        <f t="shared" si="21"/>
        <v>3885259.5193000007</v>
      </c>
      <c r="AO30" s="148">
        <f>+AG30/I30</f>
        <v>0.9064744276798445</v>
      </c>
      <c r="AP30" s="148">
        <f>+AC30/J30</f>
        <v>0.4535965825141709</v>
      </c>
      <c r="AQ30" s="148">
        <f>+AD30/N30</f>
        <v>0.7245538813791697</v>
      </c>
      <c r="AR30" s="148">
        <f>+AE30/V30</f>
        <v>1</v>
      </c>
      <c r="AS30" s="148">
        <f>+AF30/AA30</f>
        <v>0.709631723369644</v>
      </c>
    </row>
    <row r="31" spans="1:45" ht="15" customHeight="1">
      <c r="A31" s="112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13"/>
      <c r="AP31" s="113"/>
      <c r="AQ31" s="113"/>
      <c r="AR31" s="113"/>
      <c r="AS31" s="114"/>
    </row>
    <row r="32" spans="1:45" ht="15" customHeight="1" thickBot="1">
      <c r="A32" s="115" t="s">
        <v>52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28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68"/>
      <c r="AP32" s="68"/>
      <c r="AQ32" s="68"/>
      <c r="AR32" s="68"/>
      <c r="AS32" s="116"/>
    </row>
    <row r="33" spans="1:45" ht="15" customHeight="1" thickBot="1">
      <c r="A33" s="50" t="s">
        <v>106</v>
      </c>
      <c r="B33" s="50">
        <f>+B35+B41+B47+B54+B64+B68</f>
        <v>2419905480.5964</v>
      </c>
      <c r="C33" s="50">
        <f aca="true" t="shared" si="22" ref="C33:AR33">+C35+C41+C47+C54+C64+C68</f>
        <v>-154458505</v>
      </c>
      <c r="D33" s="50">
        <f>+D35+D41+D47+D54+D64+D68+D70</f>
        <v>309629945</v>
      </c>
      <c r="E33" s="50">
        <f t="shared" si="22"/>
        <v>0</v>
      </c>
      <c r="F33" s="50">
        <f>+F35+F41+F47+F54+F64+F68+F70</f>
        <v>-65898781</v>
      </c>
      <c r="G33" s="50"/>
      <c r="H33" s="50">
        <f t="shared" si="22"/>
        <v>0</v>
      </c>
      <c r="I33" s="50">
        <f>+I35+I41+I47+I54+I64+I68+I70</f>
        <v>2509178139.5964</v>
      </c>
      <c r="J33" s="50">
        <f t="shared" si="22"/>
        <v>287688037</v>
      </c>
      <c r="K33" s="50">
        <f t="shared" si="22"/>
        <v>0</v>
      </c>
      <c r="L33" s="50">
        <f>+L35+L41+L47+L54+L64+L68</f>
        <v>-10091444</v>
      </c>
      <c r="M33" s="50">
        <f t="shared" si="22"/>
        <v>277596593</v>
      </c>
      <c r="N33" s="50">
        <f>+N35+N41+N47+N54+N64+N68+N70</f>
        <v>957324863</v>
      </c>
      <c r="O33" s="50">
        <f t="shared" si="22"/>
        <v>0</v>
      </c>
      <c r="P33" s="50">
        <f t="shared" si="22"/>
        <v>-237838150</v>
      </c>
      <c r="Q33" s="50">
        <f>+Q35+Q41+Q47+Q54+Q64+Q68+Q70</f>
        <v>634398313</v>
      </c>
      <c r="R33" s="50">
        <f>+R35+R41+R47+R54+R64+R68+R70</f>
        <v>885826722</v>
      </c>
      <c r="S33" s="50">
        <f>+S35+S41+S47+S54+S64+S68+S70</f>
        <v>21128573</v>
      </c>
      <c r="T33" s="50"/>
      <c r="U33" s="50">
        <f t="shared" si="22"/>
        <v>-57849576.199999996</v>
      </c>
      <c r="V33" s="50">
        <f>+V35+V41+V47+V54+V64+V68+V70</f>
        <v>849105718.8000001</v>
      </c>
      <c r="W33" s="50">
        <f t="shared" si="22"/>
        <v>743734437.4083999</v>
      </c>
      <c r="X33" s="50">
        <f t="shared" si="22"/>
        <v>0</v>
      </c>
      <c r="Y33" s="50">
        <f t="shared" si="22"/>
        <v>0</v>
      </c>
      <c r="Z33" s="50">
        <f t="shared" si="22"/>
        <v>0</v>
      </c>
      <c r="AA33" s="50">
        <f t="shared" si="22"/>
        <v>743734437.4083999</v>
      </c>
      <c r="AB33" s="50">
        <f t="shared" si="22"/>
        <v>2504835062.2084</v>
      </c>
      <c r="AC33" s="50">
        <f t="shared" si="22"/>
        <v>277596593</v>
      </c>
      <c r="AD33" s="50">
        <f t="shared" si="22"/>
        <v>634398313</v>
      </c>
      <c r="AE33" s="50">
        <f>+AE35+AE41+AE47+AE54+AE64+AE68</f>
        <v>849105718.8000001</v>
      </c>
      <c r="AF33" s="50">
        <f t="shared" si="22"/>
        <v>679948897</v>
      </c>
      <c r="AG33" s="50">
        <f>+AG35+AG41+AG47+AG54+AG64+AG68</f>
        <v>2441049521.7999997</v>
      </c>
      <c r="AH33" s="50">
        <f t="shared" si="22"/>
        <v>0</v>
      </c>
      <c r="AI33" s="50">
        <f t="shared" si="22"/>
        <v>0</v>
      </c>
      <c r="AJ33" s="50">
        <f t="shared" si="22"/>
        <v>0</v>
      </c>
      <c r="AK33" s="50">
        <f>+AK35+AK41+AK47+AK54+AK64+AK68</f>
        <v>63785540.408399984</v>
      </c>
      <c r="AL33" s="50">
        <f t="shared" si="22"/>
        <v>2438993311.2084</v>
      </c>
      <c r="AM33" s="50">
        <f t="shared" si="22"/>
        <v>4343077.387999997</v>
      </c>
      <c r="AN33" s="50">
        <f t="shared" si="22"/>
        <v>63101822.00839999</v>
      </c>
      <c r="AO33" s="398">
        <f>+AG33/I33</f>
        <v>0.9728482339610377</v>
      </c>
      <c r="AP33" s="50">
        <f t="shared" si="22"/>
        <v>6</v>
      </c>
      <c r="AQ33" s="50">
        <f t="shared" si="22"/>
        <v>6</v>
      </c>
      <c r="AR33" s="50">
        <f t="shared" si="22"/>
        <v>5</v>
      </c>
      <c r="AS33" s="148">
        <f>+AF33/AA33</f>
        <v>0.9142361342972559</v>
      </c>
    </row>
    <row r="34" spans="1:47" s="2" customFormat="1" ht="15" customHeight="1">
      <c r="A34" s="117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4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107"/>
      <c r="AP34" s="107"/>
      <c r="AQ34" s="107"/>
      <c r="AR34" s="107"/>
      <c r="AS34" s="108"/>
      <c r="AU34" s="3"/>
    </row>
    <row r="35" spans="1:47" s="2" customFormat="1" ht="15" customHeight="1">
      <c r="A35" s="118" t="s">
        <v>107</v>
      </c>
      <c r="B35" s="36">
        <f>SUM(B36:B40)</f>
        <v>102018368.388</v>
      </c>
      <c r="C35" s="36">
        <f aca="true" t="shared" si="23" ref="C35:AN35">SUM(C36:C40)</f>
        <v>0</v>
      </c>
      <c r="D35" s="36">
        <f>SUM(D36:D40)</f>
        <v>0</v>
      </c>
      <c r="E35" s="36">
        <f>SUM(E36:E40)</f>
        <v>0</v>
      </c>
      <c r="F35" s="36">
        <f>SUM(F36:F40)</f>
        <v>33000000</v>
      </c>
      <c r="G35" s="36"/>
      <c r="H35" s="36">
        <f>SUM(H36:H40)</f>
        <v>0</v>
      </c>
      <c r="I35" s="36">
        <f t="shared" si="23"/>
        <v>135018368.388</v>
      </c>
      <c r="J35" s="36">
        <f t="shared" si="23"/>
        <v>2150640</v>
      </c>
      <c r="K35" s="36">
        <f t="shared" si="23"/>
        <v>0</v>
      </c>
      <c r="L35" s="36">
        <f>SUM(L36:L40)</f>
        <v>0</v>
      </c>
      <c r="M35" s="36">
        <f t="shared" si="23"/>
        <v>2150640</v>
      </c>
      <c r="N35" s="36">
        <f>SUM(N36:N40)</f>
        <v>3225960</v>
      </c>
      <c r="O35" s="36">
        <f>SUM(O36:O40)</f>
        <v>0</v>
      </c>
      <c r="P35" s="36">
        <f>SUM(P36:P40)</f>
        <v>0</v>
      </c>
      <c r="Q35" s="36">
        <f>SUM(Q36:Q40)</f>
        <v>3225960</v>
      </c>
      <c r="R35" s="36">
        <f t="shared" si="23"/>
        <v>3225960</v>
      </c>
      <c r="S35" s="36">
        <f>SUM(S36:S40)</f>
        <v>0</v>
      </c>
      <c r="T35" s="36"/>
      <c r="U35" s="36">
        <f>SUM(U36:U40)</f>
        <v>0</v>
      </c>
      <c r="V35" s="36">
        <f>SUM(V36:V40)</f>
        <v>3225960</v>
      </c>
      <c r="W35" s="36">
        <f t="shared" si="23"/>
        <v>122074769</v>
      </c>
      <c r="X35" s="36">
        <f>SUM(X36:X40)</f>
        <v>0</v>
      </c>
      <c r="Y35" s="36">
        <f>SUM(Y36:Y40)</f>
        <v>0</v>
      </c>
      <c r="Z35" s="36">
        <f>SUM(Z36:Z40)</f>
        <v>0</v>
      </c>
      <c r="AA35" s="36">
        <f t="shared" si="23"/>
        <v>122074769</v>
      </c>
      <c r="AB35" s="36">
        <f t="shared" si="23"/>
        <v>130677329</v>
      </c>
      <c r="AC35" s="430">
        <f t="shared" si="23"/>
        <v>2150640</v>
      </c>
      <c r="AD35" s="430">
        <f t="shared" si="23"/>
        <v>3225960</v>
      </c>
      <c r="AE35" s="430">
        <f t="shared" si="23"/>
        <v>3225960</v>
      </c>
      <c r="AF35" s="430">
        <f>SUM(AF36:AF40)</f>
        <v>122074766</v>
      </c>
      <c r="AG35" s="430">
        <f t="shared" si="23"/>
        <v>130677326</v>
      </c>
      <c r="AH35" s="36">
        <f t="shared" si="23"/>
        <v>0</v>
      </c>
      <c r="AI35" s="36">
        <f t="shared" si="23"/>
        <v>0</v>
      </c>
      <c r="AJ35" s="36">
        <f t="shared" si="23"/>
        <v>0</v>
      </c>
      <c r="AK35" s="36">
        <f>SUM(AK36:AK40)</f>
        <v>3</v>
      </c>
      <c r="AL35" s="36">
        <f t="shared" si="23"/>
        <v>130677329</v>
      </c>
      <c r="AM35" s="36">
        <f t="shared" si="23"/>
        <v>4341039.387999997</v>
      </c>
      <c r="AN35" s="36">
        <f t="shared" si="23"/>
        <v>3</v>
      </c>
      <c r="AO35" s="133">
        <f>+AG35/I35</f>
        <v>0.9678485050602506</v>
      </c>
      <c r="AP35" s="130">
        <f aca="true" t="shared" si="24" ref="AP35:AP54">+AC35/M35</f>
        <v>1</v>
      </c>
      <c r="AQ35" s="130">
        <f aca="true" t="shared" si="25" ref="AQ35:AQ69">+AD35/Q35</f>
        <v>1</v>
      </c>
      <c r="AR35" s="133">
        <v>0</v>
      </c>
      <c r="AS35" s="136">
        <f aca="true" t="shared" si="26" ref="AS35:AS47">+AF35/AA35</f>
        <v>0.9999999754248972</v>
      </c>
      <c r="AT35" s="83"/>
      <c r="AU35" s="3"/>
    </row>
    <row r="36" spans="1:47" s="2" customFormat="1" ht="15" customHeight="1" hidden="1" outlineLevel="1">
      <c r="A36" s="234" t="s">
        <v>195</v>
      </c>
      <c r="B36" s="7">
        <v>34507018.800000004</v>
      </c>
      <c r="C36" s="36"/>
      <c r="D36" s="36"/>
      <c r="E36" s="36"/>
      <c r="F36" s="36"/>
      <c r="G36" s="36"/>
      <c r="H36" s="36"/>
      <c r="I36" s="7">
        <f aca="true" t="shared" si="27" ref="I36:I71">SUM(B36:H36)</f>
        <v>34507018.800000004</v>
      </c>
      <c r="J36" s="7">
        <v>0</v>
      </c>
      <c r="K36" s="36"/>
      <c r="L36" s="7">
        <v>0</v>
      </c>
      <c r="M36" s="7">
        <f>SUM(J36:L36)</f>
        <v>0</v>
      </c>
      <c r="N36" s="7"/>
      <c r="O36" s="36"/>
      <c r="P36" s="7">
        <f>+AD36-N36-O36</f>
        <v>0</v>
      </c>
      <c r="Q36" s="7">
        <f>SUM(N36:P36)</f>
        <v>0</v>
      </c>
      <c r="R36" s="7">
        <v>0</v>
      </c>
      <c r="S36" s="7"/>
      <c r="T36" s="7"/>
      <c r="U36" s="7">
        <f aca="true" t="shared" si="28" ref="U36:U71">-R36-S36-T36+AE36</f>
        <v>0</v>
      </c>
      <c r="V36" s="7">
        <f>+SUM(R36:U36)</f>
        <v>0</v>
      </c>
      <c r="W36" s="7">
        <v>34507019</v>
      </c>
      <c r="X36" s="7"/>
      <c r="Y36" s="7"/>
      <c r="Z36" s="7"/>
      <c r="AA36" s="7">
        <f>+SUM(W36:W36)</f>
        <v>34507019</v>
      </c>
      <c r="AB36" s="7">
        <f>+M36+Q36+V36+AA36</f>
        <v>34507019</v>
      </c>
      <c r="AC36" s="414">
        <f>+'[4]MER ENE-MAR-11'!$G$120</f>
        <v>0</v>
      </c>
      <c r="AD36" s="414">
        <f>+'[4]MER ABR-JUN-11'!$G$152</f>
        <v>0</v>
      </c>
      <c r="AE36" s="414">
        <f>+'[4]MER JUL-SEP-11'!$G$133</f>
        <v>0</v>
      </c>
      <c r="AF36" s="414">
        <f>+'[4]MER OCT-DIC-11'!$G$148</f>
        <v>34507019</v>
      </c>
      <c r="AG36" s="414">
        <f>SUM(AC36:AF36)</f>
        <v>34507019</v>
      </c>
      <c r="AH36" s="7">
        <f>+M36-AC36</f>
        <v>0</v>
      </c>
      <c r="AI36" s="7">
        <f aca="true" t="shared" si="29" ref="AI36:AI69">+Q36-AD36</f>
        <v>0</v>
      </c>
      <c r="AJ36" s="7">
        <f>+V36-AE36</f>
        <v>0</v>
      </c>
      <c r="AK36" s="7">
        <f>+AA36-AF36</f>
        <v>0</v>
      </c>
      <c r="AL36" s="7">
        <f>+AB36</f>
        <v>34507019</v>
      </c>
      <c r="AM36" s="7">
        <f>+I36-AB36</f>
        <v>-0.19999999552965164</v>
      </c>
      <c r="AN36" s="7">
        <f>+AL36-AG36</f>
        <v>0</v>
      </c>
      <c r="AO36" s="130">
        <f>+AG36/I36</f>
        <v>1.0000000057959222</v>
      </c>
      <c r="AP36" s="130">
        <v>0</v>
      </c>
      <c r="AQ36" s="130">
        <v>0</v>
      </c>
      <c r="AR36" s="130">
        <v>0</v>
      </c>
      <c r="AS36" s="135">
        <f t="shared" si="26"/>
        <v>1</v>
      </c>
      <c r="AU36" s="3"/>
    </row>
    <row r="37" spans="1:45" ht="15" customHeight="1" hidden="1" outlineLevel="1">
      <c r="A37" s="234" t="s">
        <v>196</v>
      </c>
      <c r="B37" s="7">
        <v>56758149.58799999</v>
      </c>
      <c r="C37" s="34"/>
      <c r="D37" s="34"/>
      <c r="E37" s="34"/>
      <c r="F37" s="34"/>
      <c r="G37" s="34"/>
      <c r="H37" s="34"/>
      <c r="I37" s="7">
        <f t="shared" si="27"/>
        <v>56758149.58799999</v>
      </c>
      <c r="J37" s="7">
        <v>0</v>
      </c>
      <c r="K37" s="7"/>
      <c r="L37" s="7">
        <v>0</v>
      </c>
      <c r="M37" s="7">
        <f>SUM(J37:L37)</f>
        <v>0</v>
      </c>
      <c r="N37" s="7"/>
      <c r="O37" s="34"/>
      <c r="P37" s="7">
        <f>+AD37-N37-O37</f>
        <v>0</v>
      </c>
      <c r="Q37" s="7">
        <f>SUM(N37:P37)</f>
        <v>0</v>
      </c>
      <c r="R37" s="7">
        <v>0</v>
      </c>
      <c r="S37" s="7"/>
      <c r="T37" s="7"/>
      <c r="U37" s="7">
        <f t="shared" si="28"/>
        <v>0</v>
      </c>
      <c r="V37" s="7">
        <f>+SUM(R37:U37)</f>
        <v>0</v>
      </c>
      <c r="W37" s="7">
        <f>56758150</f>
        <v>56758150</v>
      </c>
      <c r="X37" s="7"/>
      <c r="Y37" s="7"/>
      <c r="Z37" s="7"/>
      <c r="AA37" s="7">
        <f>+SUM(W37:W37)</f>
        <v>56758150</v>
      </c>
      <c r="AB37" s="7">
        <f>+M37+Q37+V37+AA37</f>
        <v>56758150</v>
      </c>
      <c r="AC37" s="414">
        <f>+'[4]MER ENE-MAR-11'!$G$126</f>
        <v>0</v>
      </c>
      <c r="AD37" s="414">
        <f>+'[4]MER ABR-JUN-11'!$G$158</f>
        <v>0</v>
      </c>
      <c r="AE37" s="414">
        <f>+'[4]MER JUL-SEP-11'!$G$137</f>
        <v>0</v>
      </c>
      <c r="AF37" s="414">
        <f>+'[4]MER OCT-DIC-11'!$G$154</f>
        <v>56758150</v>
      </c>
      <c r="AG37" s="414">
        <f>SUM(AC37:AF37)</f>
        <v>56758150</v>
      </c>
      <c r="AH37" s="7">
        <f>+M37-AC37</f>
        <v>0</v>
      </c>
      <c r="AI37" s="7">
        <f t="shared" si="29"/>
        <v>0</v>
      </c>
      <c r="AJ37" s="7">
        <f>+V37-AE37</f>
        <v>0</v>
      </c>
      <c r="AK37" s="7">
        <f>+AA37-AF37</f>
        <v>0</v>
      </c>
      <c r="AL37" s="7">
        <f>+AB37</f>
        <v>56758150</v>
      </c>
      <c r="AM37" s="7">
        <f>+I37-AB37</f>
        <v>-0.41200000792741776</v>
      </c>
      <c r="AN37" s="7">
        <f>+AL37-AG37</f>
        <v>0</v>
      </c>
      <c r="AO37" s="130">
        <f>+AG37/I37</f>
        <v>1.0000000072588697</v>
      </c>
      <c r="AP37" s="130">
        <v>0</v>
      </c>
      <c r="AQ37" s="130">
        <v>0</v>
      </c>
      <c r="AR37" s="130">
        <v>0</v>
      </c>
      <c r="AS37" s="135">
        <f t="shared" si="26"/>
        <v>1</v>
      </c>
    </row>
    <row r="38" spans="1:45" ht="15" customHeight="1" hidden="1" outlineLevel="1">
      <c r="A38" s="234" t="s">
        <v>197</v>
      </c>
      <c r="B38" s="7">
        <v>0</v>
      </c>
      <c r="C38" s="36"/>
      <c r="D38" s="36"/>
      <c r="E38" s="36"/>
      <c r="F38" s="36"/>
      <c r="G38" s="36"/>
      <c r="H38" s="36"/>
      <c r="I38" s="7">
        <f t="shared" si="27"/>
        <v>0</v>
      </c>
      <c r="J38" s="7">
        <v>0</v>
      </c>
      <c r="K38" s="7"/>
      <c r="L38" s="7">
        <v>0</v>
      </c>
      <c r="M38" s="7">
        <f>SUM(J38:L38)</f>
        <v>0</v>
      </c>
      <c r="N38" s="7"/>
      <c r="O38" s="36"/>
      <c r="P38" s="7">
        <f>+AD38-N38-O38</f>
        <v>0</v>
      </c>
      <c r="Q38" s="7">
        <f>SUM(N38:P38)</f>
        <v>0</v>
      </c>
      <c r="R38" s="7">
        <v>0</v>
      </c>
      <c r="S38" s="7"/>
      <c r="T38" s="7"/>
      <c r="U38" s="7">
        <f t="shared" si="28"/>
        <v>0</v>
      </c>
      <c r="V38" s="7">
        <f>+SUM(R38:U38)</f>
        <v>0</v>
      </c>
      <c r="W38" s="7">
        <v>0</v>
      </c>
      <c r="X38" s="7"/>
      <c r="Y38" s="7"/>
      <c r="Z38" s="7"/>
      <c r="AA38" s="7">
        <f>+SUM(W38:W38)</f>
        <v>0</v>
      </c>
      <c r="AB38" s="7">
        <f>+M38+Q38+V38+AA38</f>
        <v>0</v>
      </c>
      <c r="AC38" s="414">
        <f>+'[4]MER ENE-MAR-11'!$G$132</f>
        <v>0</v>
      </c>
      <c r="AD38" s="414">
        <f>+'[4]MER ABR-JUN-11'!$G$164</f>
        <v>0</v>
      </c>
      <c r="AE38" s="414">
        <f>+'[4]MER JUL-SEP-11'!$G$141</f>
        <v>0</v>
      </c>
      <c r="AF38" s="414">
        <f>+'[4]MER OCT-DIC-11'!$G$160</f>
        <v>0</v>
      </c>
      <c r="AG38" s="414">
        <f>SUM(AC38:AF38)</f>
        <v>0</v>
      </c>
      <c r="AH38" s="7">
        <f>+M38-AC38</f>
        <v>0</v>
      </c>
      <c r="AI38" s="7">
        <f t="shared" si="29"/>
        <v>0</v>
      </c>
      <c r="AJ38" s="7">
        <f>+V38-AE38</f>
        <v>0</v>
      </c>
      <c r="AK38" s="7">
        <f>+AA38-AF38</f>
        <v>0</v>
      </c>
      <c r="AL38" s="7">
        <f>+AB38</f>
        <v>0</v>
      </c>
      <c r="AM38" s="7">
        <f>+I38-AB38</f>
        <v>0</v>
      </c>
      <c r="AN38" s="7">
        <f>+AL38-AG38</f>
        <v>0</v>
      </c>
      <c r="AO38" s="130">
        <v>0</v>
      </c>
      <c r="AP38" s="130">
        <v>0</v>
      </c>
      <c r="AQ38" s="130">
        <v>0</v>
      </c>
      <c r="AR38" s="130">
        <v>0</v>
      </c>
      <c r="AS38" s="135" t="e">
        <f t="shared" si="26"/>
        <v>#DIV/0!</v>
      </c>
    </row>
    <row r="39" spans="1:45" ht="15" customHeight="1" hidden="1" outlineLevel="1">
      <c r="A39" s="234" t="s">
        <v>198</v>
      </c>
      <c r="B39" s="7">
        <v>10753200</v>
      </c>
      <c r="C39" s="34"/>
      <c r="D39" s="34"/>
      <c r="E39" s="34"/>
      <c r="F39" s="34"/>
      <c r="G39" s="34"/>
      <c r="H39" s="34"/>
      <c r="I39" s="7">
        <f t="shared" si="27"/>
        <v>10753200</v>
      </c>
      <c r="J39" s="7">
        <v>2150640</v>
      </c>
      <c r="K39" s="7"/>
      <c r="L39" s="7">
        <v>0</v>
      </c>
      <c r="M39" s="7">
        <f>SUM(J39:L39)</f>
        <v>2150640</v>
      </c>
      <c r="N39" s="7">
        <v>3225960</v>
      </c>
      <c r="O39" s="34"/>
      <c r="P39" s="7">
        <f>+AD39-N39-O39</f>
        <v>0</v>
      </c>
      <c r="Q39" s="7">
        <f>SUM(N39:P39)</f>
        <v>3225960</v>
      </c>
      <c r="R39" s="7">
        <v>3225960</v>
      </c>
      <c r="S39" s="7"/>
      <c r="T39" s="7"/>
      <c r="U39" s="7">
        <f t="shared" si="28"/>
        <v>0</v>
      </c>
      <c r="V39" s="7">
        <f>+SUM(R39:U39)</f>
        <v>3225960</v>
      </c>
      <c r="W39" s="7">
        <v>2150640</v>
      </c>
      <c r="X39" s="7"/>
      <c r="Y39" s="7"/>
      <c r="Z39" s="7"/>
      <c r="AA39" s="7">
        <f>+SUM(W39:W39)</f>
        <v>2150640</v>
      </c>
      <c r="AB39" s="7">
        <f>+M39+Q39+V39+AA39</f>
        <v>10753200</v>
      </c>
      <c r="AC39" s="414">
        <f>+'[4]MER ENE-MAR-11'!$G$139</f>
        <v>2150640</v>
      </c>
      <c r="AD39" s="414">
        <f>+'[4]MER ABR-JUN-11'!$G$171</f>
        <v>3225960</v>
      </c>
      <c r="AE39" s="414">
        <f>+'[4]MER JUL-SEP-11'!$G$145</f>
        <v>3225960</v>
      </c>
      <c r="AF39" s="414">
        <f>+'[4]MER OCT-DIC-11'!$G$167</f>
        <v>2150640</v>
      </c>
      <c r="AG39" s="414">
        <f>SUM(AC39:AF39)</f>
        <v>10753200</v>
      </c>
      <c r="AH39" s="7">
        <f>+M39-AC39</f>
        <v>0</v>
      </c>
      <c r="AI39" s="7">
        <f t="shared" si="29"/>
        <v>0</v>
      </c>
      <c r="AJ39" s="7">
        <f>+V39-AE39</f>
        <v>0</v>
      </c>
      <c r="AK39" s="7">
        <f>+AA39-AF39</f>
        <v>0</v>
      </c>
      <c r="AL39" s="7">
        <f>+AB39</f>
        <v>10753200</v>
      </c>
      <c r="AM39" s="7">
        <f>+I39-AB39</f>
        <v>0</v>
      </c>
      <c r="AN39" s="7">
        <f>+AL39-AG39</f>
        <v>0</v>
      </c>
      <c r="AO39" s="130">
        <v>0</v>
      </c>
      <c r="AP39" s="130">
        <f t="shared" si="24"/>
        <v>1</v>
      </c>
      <c r="AQ39" s="130">
        <f t="shared" si="25"/>
        <v>1</v>
      </c>
      <c r="AR39" s="130">
        <v>0</v>
      </c>
      <c r="AS39" s="135">
        <f t="shared" si="26"/>
        <v>1</v>
      </c>
    </row>
    <row r="40" spans="1:45" ht="15" customHeight="1" hidden="1" outlineLevel="1">
      <c r="A40" s="234" t="s">
        <v>285</v>
      </c>
      <c r="B40" s="7">
        <v>0</v>
      </c>
      <c r="C40" s="34"/>
      <c r="D40" s="34"/>
      <c r="E40" s="34"/>
      <c r="F40" s="34">
        <v>33000000</v>
      </c>
      <c r="G40" s="34"/>
      <c r="H40" s="34"/>
      <c r="I40" s="7">
        <f t="shared" si="27"/>
        <v>33000000</v>
      </c>
      <c r="J40" s="7">
        <v>0</v>
      </c>
      <c r="K40" s="7"/>
      <c r="L40" s="7">
        <v>0</v>
      </c>
      <c r="M40" s="7">
        <f>SUM(J40:L40)</f>
        <v>0</v>
      </c>
      <c r="N40" s="7"/>
      <c r="O40" s="34"/>
      <c r="P40" s="7">
        <f>+AD40-N40-O40</f>
        <v>0</v>
      </c>
      <c r="Q40" s="7">
        <f>+N40+P40</f>
        <v>0</v>
      </c>
      <c r="R40" s="7">
        <v>0</v>
      </c>
      <c r="S40" s="7"/>
      <c r="T40" s="7"/>
      <c r="U40" s="7">
        <f t="shared" si="28"/>
        <v>0</v>
      </c>
      <c r="V40" s="7">
        <f>+SUM(R40:U40)</f>
        <v>0</v>
      </c>
      <c r="W40" s="7">
        <v>28658960</v>
      </c>
      <c r="X40" s="7"/>
      <c r="Y40" s="7"/>
      <c r="Z40" s="7"/>
      <c r="AA40" s="7">
        <f>+SUM(W40:W40)</f>
        <v>28658960</v>
      </c>
      <c r="AB40" s="7">
        <f>+M40+Q40+V40+AA40</f>
        <v>28658960</v>
      </c>
      <c r="AC40" s="414">
        <f>+'[4]MER ENE-MAR-11'!$G$146</f>
        <v>0</v>
      </c>
      <c r="AD40" s="414">
        <f>+'[4]MER ABR-JUN-11'!$G$179</f>
        <v>0</v>
      </c>
      <c r="AE40" s="414">
        <f>+'[4]MER JUL-SEP-11'!$G$153</f>
        <v>0</v>
      </c>
      <c r="AF40" s="414">
        <f>+'[4]MER OCT-DIC-11'!$G$175</f>
        <v>28658957</v>
      </c>
      <c r="AG40" s="414">
        <f>SUM(AC40:AF40)</f>
        <v>28658957</v>
      </c>
      <c r="AH40" s="7">
        <f>+M40-AC40</f>
        <v>0</v>
      </c>
      <c r="AI40" s="7">
        <f t="shared" si="29"/>
        <v>0</v>
      </c>
      <c r="AJ40" s="7">
        <f>+V40-AE40</f>
        <v>0</v>
      </c>
      <c r="AK40" s="7">
        <f>+AA40-AF40</f>
        <v>3</v>
      </c>
      <c r="AL40" s="7">
        <f>+AB40</f>
        <v>28658960</v>
      </c>
      <c r="AM40" s="7">
        <f>+I40-AB40</f>
        <v>4341040</v>
      </c>
      <c r="AN40" s="7">
        <f>+AL40-AG40</f>
        <v>3</v>
      </c>
      <c r="AO40" s="130">
        <v>0</v>
      </c>
      <c r="AP40" s="130">
        <v>0</v>
      </c>
      <c r="AQ40" s="130">
        <v>0</v>
      </c>
      <c r="AR40" s="130">
        <v>0</v>
      </c>
      <c r="AS40" s="135">
        <f t="shared" si="26"/>
        <v>0.9999998953206956</v>
      </c>
    </row>
    <row r="41" spans="1:46" ht="15" customHeight="1" collapsed="1">
      <c r="A41" s="118" t="s">
        <v>199</v>
      </c>
      <c r="B41" s="36">
        <f aca="true" t="shared" si="30" ref="B41:AH41">SUM(B42:B46)</f>
        <v>273410413</v>
      </c>
      <c r="C41" s="1">
        <f t="shared" si="30"/>
        <v>0</v>
      </c>
      <c r="D41" s="1">
        <f t="shared" si="30"/>
        <v>0</v>
      </c>
      <c r="E41" s="1">
        <f t="shared" si="30"/>
        <v>0</v>
      </c>
      <c r="F41" s="1">
        <f t="shared" si="30"/>
        <v>0</v>
      </c>
      <c r="G41" s="1"/>
      <c r="H41" s="1">
        <f t="shared" si="30"/>
        <v>0</v>
      </c>
      <c r="I41" s="36">
        <f t="shared" si="30"/>
        <v>273410413</v>
      </c>
      <c r="J41" s="36">
        <f t="shared" si="30"/>
        <v>66808323</v>
      </c>
      <c r="K41" s="36">
        <f t="shared" si="30"/>
        <v>0</v>
      </c>
      <c r="L41" s="36">
        <f>SUM(L42:L46)</f>
        <v>-2968954</v>
      </c>
      <c r="M41" s="36">
        <f t="shared" si="30"/>
        <v>63839369</v>
      </c>
      <c r="N41" s="36">
        <f t="shared" si="30"/>
        <v>86158284</v>
      </c>
      <c r="O41" s="1">
        <f t="shared" si="30"/>
        <v>0</v>
      </c>
      <c r="P41" s="36">
        <f t="shared" si="30"/>
        <v>-380651</v>
      </c>
      <c r="Q41" s="36">
        <f t="shared" si="30"/>
        <v>85777633</v>
      </c>
      <c r="R41" s="36">
        <f t="shared" si="30"/>
        <v>74301222</v>
      </c>
      <c r="S41" s="36">
        <f t="shared" si="30"/>
        <v>0</v>
      </c>
      <c r="T41" s="36"/>
      <c r="U41" s="36">
        <f t="shared" si="30"/>
        <v>-1643284</v>
      </c>
      <c r="V41" s="36">
        <f t="shared" si="30"/>
        <v>72657938</v>
      </c>
      <c r="W41" s="36">
        <v>51133435</v>
      </c>
      <c r="X41" s="36">
        <f t="shared" si="30"/>
        <v>0</v>
      </c>
      <c r="Y41" s="36">
        <f t="shared" si="30"/>
        <v>0</v>
      </c>
      <c r="Z41" s="36">
        <f t="shared" si="30"/>
        <v>0</v>
      </c>
      <c r="AA41" s="36">
        <f t="shared" si="30"/>
        <v>51133435</v>
      </c>
      <c r="AB41" s="36">
        <f t="shared" si="30"/>
        <v>273408375</v>
      </c>
      <c r="AC41" s="430">
        <f t="shared" si="30"/>
        <v>63839369</v>
      </c>
      <c r="AD41" s="430">
        <f t="shared" si="30"/>
        <v>85777633</v>
      </c>
      <c r="AE41" s="430">
        <f t="shared" si="30"/>
        <v>72657938</v>
      </c>
      <c r="AF41" s="430">
        <f>SUM(AF42:AF46)</f>
        <v>50862112</v>
      </c>
      <c r="AG41" s="430">
        <f>SUM(AG42:AG46)</f>
        <v>273137052</v>
      </c>
      <c r="AH41" s="36">
        <f t="shared" si="30"/>
        <v>0</v>
      </c>
      <c r="AI41" s="7">
        <f t="shared" si="29"/>
        <v>0</v>
      </c>
      <c r="AJ41" s="36">
        <f>SUM(AJ42:AJ46)</f>
        <v>0</v>
      </c>
      <c r="AK41" s="36">
        <f>SUM(AK42:AK46)</f>
        <v>271323</v>
      </c>
      <c r="AL41" s="36">
        <f>SUM(AL42:AL46)</f>
        <v>273408375</v>
      </c>
      <c r="AM41" s="36">
        <f>SUM(AM42:AM46)</f>
        <v>2038</v>
      </c>
      <c r="AN41" s="36">
        <f>SUM(AN42:AN46)</f>
        <v>271323</v>
      </c>
      <c r="AO41" s="133">
        <f>+AG41/I41</f>
        <v>0.9990001807283031</v>
      </c>
      <c r="AP41" s="130">
        <f t="shared" si="24"/>
        <v>1</v>
      </c>
      <c r="AQ41" s="130">
        <f t="shared" si="25"/>
        <v>1</v>
      </c>
      <c r="AR41" s="133">
        <f>+AE41/V41</f>
        <v>1</v>
      </c>
      <c r="AS41" s="136">
        <f t="shared" si="26"/>
        <v>0.994693824109411</v>
      </c>
      <c r="AT41" s="83"/>
    </row>
    <row r="42" spans="1:46" ht="15" customHeight="1" hidden="1" outlineLevel="1">
      <c r="A42" s="234" t="s">
        <v>200</v>
      </c>
      <c r="B42" s="7">
        <v>65836620</v>
      </c>
      <c r="C42" s="34"/>
      <c r="D42" s="34"/>
      <c r="E42" s="34"/>
      <c r="F42" s="34"/>
      <c r="G42" s="34"/>
      <c r="H42" s="34"/>
      <c r="I42" s="7">
        <f t="shared" si="27"/>
        <v>65836620</v>
      </c>
      <c r="J42" s="7">
        <v>13167324</v>
      </c>
      <c r="K42" s="7"/>
      <c r="L42" s="7">
        <v>-33176</v>
      </c>
      <c r="M42" s="7">
        <f>SUM(J42:L42)</f>
        <v>13134148</v>
      </c>
      <c r="N42" s="7">
        <f>19750986</f>
        <v>19750986</v>
      </c>
      <c r="O42" s="34"/>
      <c r="P42" s="7">
        <f>+AD42-N42-O42</f>
        <v>-44872</v>
      </c>
      <c r="Q42" s="7">
        <f>SUM(N42:P42)</f>
        <v>19706114</v>
      </c>
      <c r="R42" s="7">
        <v>19701222</v>
      </c>
      <c r="S42" s="7"/>
      <c r="T42" s="7"/>
      <c r="U42" s="7">
        <f t="shared" si="28"/>
        <v>0</v>
      </c>
      <c r="V42" s="7">
        <f>+SUM(R42:U42)</f>
        <v>19701222</v>
      </c>
      <c r="W42" s="7">
        <v>13295136</v>
      </c>
      <c r="X42" s="7"/>
      <c r="Y42" s="7"/>
      <c r="Z42" s="7"/>
      <c r="AA42" s="7">
        <f>+SUM(W42:W42)</f>
        <v>13295136</v>
      </c>
      <c r="AB42" s="7">
        <f>+M42+Q42+V42+AA42</f>
        <v>65836620</v>
      </c>
      <c r="AC42" s="414">
        <f>+'[4]MER ENE-MAR-11'!$G$153</f>
        <v>13134148</v>
      </c>
      <c r="AD42" s="414">
        <f>+'[4]MER ABR-JUN-11'!$G$186</f>
        <v>19706114</v>
      </c>
      <c r="AE42" s="414">
        <f>+'[4]MER JUL-SEP-11'!$G$159</f>
        <v>19701222</v>
      </c>
      <c r="AF42" s="414">
        <f>+'[4]MER OCT-DIC-11'!$G$183</f>
        <v>13134148</v>
      </c>
      <c r="AG42" s="414">
        <f>SUM(AC42:AF42)</f>
        <v>65675632</v>
      </c>
      <c r="AH42" s="7">
        <f>+M42-AC42</f>
        <v>0</v>
      </c>
      <c r="AI42" s="7">
        <f t="shared" si="29"/>
        <v>0</v>
      </c>
      <c r="AJ42" s="7">
        <f>+V42-AE42</f>
        <v>0</v>
      </c>
      <c r="AK42" s="7">
        <f>+AA42-AF42</f>
        <v>160988</v>
      </c>
      <c r="AL42" s="7">
        <f>+AB42</f>
        <v>65836620</v>
      </c>
      <c r="AM42" s="7">
        <f>+I42-AB42</f>
        <v>0</v>
      </c>
      <c r="AN42" s="7">
        <f>+AL42-AG42</f>
        <v>160988</v>
      </c>
      <c r="AO42" s="130">
        <f>+AG42/I42</f>
        <v>0.9975547347357747</v>
      </c>
      <c r="AP42" s="130">
        <f t="shared" si="24"/>
        <v>1</v>
      </c>
      <c r="AQ42" s="130">
        <f t="shared" si="25"/>
        <v>1</v>
      </c>
      <c r="AR42" s="130">
        <f>+AE42/V42</f>
        <v>1</v>
      </c>
      <c r="AS42" s="135">
        <f t="shared" si="26"/>
        <v>0.9878912107405294</v>
      </c>
      <c r="AT42" s="83"/>
    </row>
    <row r="43" spans="1:46" ht="15" customHeight="1" hidden="1" outlineLevel="1">
      <c r="A43" s="234" t="s">
        <v>148</v>
      </c>
      <c r="B43" s="7">
        <v>10000000</v>
      </c>
      <c r="C43" s="36"/>
      <c r="D43" s="36"/>
      <c r="E43" s="36"/>
      <c r="F43" s="36"/>
      <c r="G43" s="36"/>
      <c r="H43" s="430"/>
      <c r="I43" s="7">
        <f t="shared" si="27"/>
        <v>10000000</v>
      </c>
      <c r="J43" s="7">
        <v>2000000</v>
      </c>
      <c r="K43" s="7"/>
      <c r="L43" s="7">
        <v>-37037</v>
      </c>
      <c r="M43" s="7">
        <f>SUM(J43:L43)</f>
        <v>1962963</v>
      </c>
      <c r="N43" s="7">
        <v>3000000</v>
      </c>
      <c r="O43" s="36"/>
      <c r="P43" s="7">
        <f>+AD43-N43-O43</f>
        <v>-20574</v>
      </c>
      <c r="Q43" s="7">
        <f>SUM(N43:P43)</f>
        <v>2979426</v>
      </c>
      <c r="R43" s="7">
        <v>3000000</v>
      </c>
      <c r="S43" s="7"/>
      <c r="T43" s="7"/>
      <c r="U43" s="7">
        <f t="shared" si="28"/>
        <v>-434814</v>
      </c>
      <c r="V43" s="7">
        <f>+SUM(R43:U43)</f>
        <v>2565186</v>
      </c>
      <c r="W43" s="7">
        <v>2492425</v>
      </c>
      <c r="X43" s="7"/>
      <c r="Y43" s="7"/>
      <c r="Z43" s="7"/>
      <c r="AA43" s="7">
        <f>+SUM(W43:W43)</f>
        <v>2492425</v>
      </c>
      <c r="AB43" s="7">
        <f>+M43+Q43+V43+AA43</f>
        <v>10000000</v>
      </c>
      <c r="AC43" s="414">
        <f>+'[4]MER ENE-MAR-11'!$G$172</f>
        <v>1962963</v>
      </c>
      <c r="AD43" s="414">
        <f>+'[4]MER ABR-JUN-11'!$G$212</f>
        <v>2979426</v>
      </c>
      <c r="AE43" s="414">
        <f>+'[4]MER JUL-SEP-11'!$G$181</f>
        <v>2565186</v>
      </c>
      <c r="AF43" s="414">
        <f>+'[4]MER OCT-DIC-11'!$G$203</f>
        <v>2432853</v>
      </c>
      <c r="AG43" s="414">
        <f>SUM(AC43:AF43)</f>
        <v>9940428</v>
      </c>
      <c r="AH43" s="7">
        <f>+M43-AC43</f>
        <v>0</v>
      </c>
      <c r="AI43" s="7">
        <f t="shared" si="29"/>
        <v>0</v>
      </c>
      <c r="AJ43" s="7">
        <f>+V43-AE43</f>
        <v>0</v>
      </c>
      <c r="AK43" s="7">
        <f>+AA43-AF43</f>
        <v>59572</v>
      </c>
      <c r="AL43" s="7">
        <f>+AB43</f>
        <v>10000000</v>
      </c>
      <c r="AM43" s="7">
        <f>+I43-AB43</f>
        <v>0</v>
      </c>
      <c r="AN43" s="7">
        <f>+AL43-AG43</f>
        <v>59572</v>
      </c>
      <c r="AO43" s="130">
        <f>+AG43/I43</f>
        <v>0.9940428</v>
      </c>
      <c r="AP43" s="130">
        <f t="shared" si="24"/>
        <v>1</v>
      </c>
      <c r="AQ43" s="130">
        <f t="shared" si="25"/>
        <v>1</v>
      </c>
      <c r="AR43" s="130">
        <f>+AE43/V43</f>
        <v>1</v>
      </c>
      <c r="AS43" s="135">
        <f t="shared" si="26"/>
        <v>0.9760987793012829</v>
      </c>
      <c r="AT43" s="83"/>
    </row>
    <row r="44" spans="1:46" ht="15" customHeight="1" hidden="1" outlineLevel="1">
      <c r="A44" s="234" t="s">
        <v>149</v>
      </c>
      <c r="B44" s="7">
        <f>10500000</f>
        <v>10500000</v>
      </c>
      <c r="C44" s="36"/>
      <c r="D44" s="36"/>
      <c r="E44" s="36"/>
      <c r="F44" s="36"/>
      <c r="G44" s="36"/>
      <c r="H44" s="414">
        <f>-228800-7325307</f>
        <v>-7554107</v>
      </c>
      <c r="I44" s="7">
        <f t="shared" si="27"/>
        <v>2945893</v>
      </c>
      <c r="J44" s="7">
        <v>2600000</v>
      </c>
      <c r="K44" s="7"/>
      <c r="L44" s="7">
        <v>-2600000</v>
      </c>
      <c r="M44" s="7">
        <f>SUM(J44:L44)</f>
        <v>0</v>
      </c>
      <c r="N44" s="7">
        <v>2600000</v>
      </c>
      <c r="O44" s="36"/>
      <c r="P44" s="7">
        <f>+AD44-N44-O44</f>
        <v>-25307</v>
      </c>
      <c r="Q44" s="7">
        <f>SUM(N44:P44)</f>
        <v>2574693</v>
      </c>
      <c r="R44" s="7">
        <f>2600000-2000000</f>
        <v>600000</v>
      </c>
      <c r="S44" s="7"/>
      <c r="T44" s="7"/>
      <c r="U44" s="7">
        <f t="shared" si="28"/>
        <v>-228800</v>
      </c>
      <c r="V44" s="7">
        <f>+SUM(R44:U44)</f>
        <v>371200</v>
      </c>
      <c r="W44" s="7">
        <f>228800-228800</f>
        <v>0</v>
      </c>
      <c r="X44" s="7"/>
      <c r="Y44" s="7"/>
      <c r="Z44" s="7"/>
      <c r="AA44" s="7">
        <f>+SUM(W44:W44)</f>
        <v>0</v>
      </c>
      <c r="AB44" s="7">
        <f>+M44+Q44+V44+AA44</f>
        <v>2945893</v>
      </c>
      <c r="AC44" s="414">
        <f>+'[4]MER ENE-MAR-11'!$G$184</f>
        <v>0</v>
      </c>
      <c r="AD44" s="414">
        <f>+'[4]MER ABR-JUN-11'!$G$227</f>
        <v>2574693</v>
      </c>
      <c r="AE44" s="414">
        <f>+'[4]MER JUL-SEP-11'!$G$193</f>
        <v>371200</v>
      </c>
      <c r="AF44" s="414">
        <f>+'[4]MER OCT-DIC-11'!$G$218</f>
        <v>0</v>
      </c>
      <c r="AG44" s="414">
        <f>SUM(AC44:AF44)</f>
        <v>2945893</v>
      </c>
      <c r="AH44" s="7">
        <f>+M44-AC44</f>
        <v>0</v>
      </c>
      <c r="AI44" s="7">
        <f t="shared" si="29"/>
        <v>0</v>
      </c>
      <c r="AJ44" s="7">
        <f>+V44-AE44</f>
        <v>0</v>
      </c>
      <c r="AK44" s="7">
        <f>+AA44-AF44</f>
        <v>0</v>
      </c>
      <c r="AL44" s="7">
        <f>+AB44</f>
        <v>2945893</v>
      </c>
      <c r="AM44" s="7">
        <f>+I44-AB44</f>
        <v>0</v>
      </c>
      <c r="AN44" s="7">
        <f>+AL44-AG44</f>
        <v>0</v>
      </c>
      <c r="AO44" s="130">
        <f>+AG44/I44</f>
        <v>1</v>
      </c>
      <c r="AP44" s="130">
        <v>0</v>
      </c>
      <c r="AQ44" s="130">
        <f t="shared" si="25"/>
        <v>1</v>
      </c>
      <c r="AR44" s="130">
        <v>0</v>
      </c>
      <c r="AS44" s="135" t="e">
        <f t="shared" si="26"/>
        <v>#DIV/0!</v>
      </c>
      <c r="AT44" s="83"/>
    </row>
    <row r="45" spans="1:46" ht="15" customHeight="1" hidden="1" outlineLevel="1">
      <c r="A45" s="234" t="s">
        <v>201</v>
      </c>
      <c r="B45" s="7">
        <v>15000000</v>
      </c>
      <c r="C45" s="36"/>
      <c r="D45" s="36"/>
      <c r="E45" s="36"/>
      <c r="F45" s="36"/>
      <c r="G45" s="36"/>
      <c r="H45" s="430"/>
      <c r="I45" s="7">
        <f t="shared" si="27"/>
        <v>15000000</v>
      </c>
      <c r="J45" s="7">
        <v>8000000</v>
      </c>
      <c r="K45" s="7"/>
      <c r="L45" s="7">
        <v>-2038</v>
      </c>
      <c r="M45" s="7">
        <f>SUM(J45:L45)</f>
        <v>7997962</v>
      </c>
      <c r="N45" s="7">
        <v>7000000</v>
      </c>
      <c r="O45" s="36"/>
      <c r="P45" s="7">
        <f>+AD45-N45-O45</f>
        <v>0</v>
      </c>
      <c r="Q45" s="7">
        <f>SUM(N45:P45)</f>
        <v>7000000</v>
      </c>
      <c r="R45" s="7"/>
      <c r="S45" s="7"/>
      <c r="T45" s="7"/>
      <c r="U45" s="7">
        <f t="shared" si="28"/>
        <v>0</v>
      </c>
      <c r="V45" s="7">
        <f>+SUM(R45:U45)</f>
        <v>0</v>
      </c>
      <c r="W45" s="7">
        <v>0</v>
      </c>
      <c r="X45" s="7"/>
      <c r="Y45" s="7"/>
      <c r="Z45" s="7"/>
      <c r="AA45" s="7">
        <f>+SUM(W45:W45)</f>
        <v>0</v>
      </c>
      <c r="AB45" s="7">
        <f>+M45+Q45+V45+AA45</f>
        <v>14997962</v>
      </c>
      <c r="AC45" s="414">
        <f>+'[4]MER ENE-MAR-11'!$G$189</f>
        <v>7997962</v>
      </c>
      <c r="AD45" s="414">
        <f>+'[4]MER ABR-JUN-11'!$G$238</f>
        <v>7000000</v>
      </c>
      <c r="AE45" s="414">
        <f>+'[4]MER JUL-SEP-11'!$G$199</f>
        <v>0</v>
      </c>
      <c r="AF45" s="414">
        <f>+'[4]MER OCT-DIC-11'!$G$223</f>
        <v>0</v>
      </c>
      <c r="AG45" s="414">
        <f>SUM(AC45:AF45)</f>
        <v>14997962</v>
      </c>
      <c r="AH45" s="7">
        <f>+M45-AC45</f>
        <v>0</v>
      </c>
      <c r="AI45" s="7">
        <f t="shared" si="29"/>
        <v>0</v>
      </c>
      <c r="AJ45" s="7">
        <f>+V45-AE45</f>
        <v>0</v>
      </c>
      <c r="AK45" s="7">
        <f>+AA45-AF45</f>
        <v>0</v>
      </c>
      <c r="AL45" s="7">
        <f>+AB45</f>
        <v>14997962</v>
      </c>
      <c r="AM45" s="7">
        <f>+I45-AB45</f>
        <v>2038</v>
      </c>
      <c r="AN45" s="7">
        <f>+AL45-AG45</f>
        <v>0</v>
      </c>
      <c r="AO45" s="130">
        <v>0</v>
      </c>
      <c r="AP45" s="130">
        <f t="shared" si="24"/>
        <v>1</v>
      </c>
      <c r="AQ45" s="130">
        <f t="shared" si="25"/>
        <v>1</v>
      </c>
      <c r="AR45" s="130">
        <v>0</v>
      </c>
      <c r="AS45" s="135" t="e">
        <f t="shared" si="26"/>
        <v>#DIV/0!</v>
      </c>
      <c r="AT45" s="83"/>
    </row>
    <row r="46" spans="1:46" ht="15" customHeight="1" hidden="1" outlineLevel="1">
      <c r="A46" s="234" t="s">
        <v>202</v>
      </c>
      <c r="B46" s="7">
        <f>172073793</f>
        <v>172073793</v>
      </c>
      <c r="C46" s="36"/>
      <c r="D46" s="36"/>
      <c r="E46" s="36"/>
      <c r="F46" s="36"/>
      <c r="G46" s="36"/>
      <c r="H46" s="414">
        <f>228800+7325307</f>
        <v>7554107</v>
      </c>
      <c r="I46" s="7">
        <f t="shared" si="27"/>
        <v>179627900</v>
      </c>
      <c r="J46" s="7">
        <v>41040999</v>
      </c>
      <c r="K46" s="7"/>
      <c r="L46" s="7">
        <v>-296703</v>
      </c>
      <c r="M46" s="7">
        <f>SUM(J46:L46)</f>
        <v>40744296</v>
      </c>
      <c r="N46" s="7">
        <f>53807298</f>
        <v>53807298</v>
      </c>
      <c r="O46" s="36"/>
      <c r="P46" s="7">
        <f>+AD46-N46-O46</f>
        <v>-289898</v>
      </c>
      <c r="Q46" s="7">
        <f>SUM(N46:P46)</f>
        <v>53517400</v>
      </c>
      <c r="R46" s="7">
        <f>49000000+2000000</f>
        <v>51000000</v>
      </c>
      <c r="S46" s="7"/>
      <c r="T46" s="7"/>
      <c r="U46" s="7">
        <f t="shared" si="28"/>
        <v>-979670</v>
      </c>
      <c r="V46" s="7">
        <f>+SUM(R46:U46)</f>
        <v>50020330</v>
      </c>
      <c r="W46" s="7">
        <f>35117074+228800</f>
        <v>35345874</v>
      </c>
      <c r="X46" s="7"/>
      <c r="Y46" s="7"/>
      <c r="Z46" s="7"/>
      <c r="AA46" s="7">
        <f>+SUM(W46:W46)</f>
        <v>35345874</v>
      </c>
      <c r="AB46" s="7">
        <f>+M46+Q46+V46+AA46</f>
        <v>179627900</v>
      </c>
      <c r="AC46" s="414">
        <f>+'[4]MER ENE-MAR-11'!$G$195</f>
        <v>40744296</v>
      </c>
      <c r="AD46" s="414">
        <f>+'[4]MER ABR-JUN-11'!$G$246</f>
        <v>53517400</v>
      </c>
      <c r="AE46" s="414">
        <f>+'[4]MER JUL-SEP-11'!$G$203</f>
        <v>50020330</v>
      </c>
      <c r="AF46" s="414">
        <f>+'[4]MER OCT-DIC-11'!$G$228</f>
        <v>35295111</v>
      </c>
      <c r="AG46" s="414">
        <f>SUM(AC46:AF46)</f>
        <v>179577137</v>
      </c>
      <c r="AH46" s="7">
        <f>+M46-AC46</f>
        <v>0</v>
      </c>
      <c r="AI46" s="7">
        <f t="shared" si="29"/>
        <v>0</v>
      </c>
      <c r="AJ46" s="127">
        <f>+V46-AE46</f>
        <v>0</v>
      </c>
      <c r="AK46" s="7">
        <f>+AA46-AF46</f>
        <v>50763</v>
      </c>
      <c r="AL46" s="7">
        <f>+AB46</f>
        <v>179627900</v>
      </c>
      <c r="AM46" s="7">
        <f>+I46-AB46</f>
        <v>0</v>
      </c>
      <c r="AN46" s="7">
        <f>+AL46-AG46</f>
        <v>50763</v>
      </c>
      <c r="AO46" s="130">
        <f aca="true" t="shared" si="31" ref="AO46:AO52">+AG46/I46</f>
        <v>0.9997173991345443</v>
      </c>
      <c r="AP46" s="130">
        <f t="shared" si="24"/>
        <v>1</v>
      </c>
      <c r="AQ46" s="130">
        <f t="shared" si="25"/>
        <v>1</v>
      </c>
      <c r="AR46" s="130">
        <f>+AE46/V46</f>
        <v>1</v>
      </c>
      <c r="AS46" s="135">
        <f t="shared" si="26"/>
        <v>0.998563821055889</v>
      </c>
      <c r="AT46" s="83"/>
    </row>
    <row r="47" spans="1:46" ht="16.5" collapsed="1">
      <c r="A47" s="118" t="s">
        <v>203</v>
      </c>
      <c r="B47" s="36">
        <f aca="true" t="shared" si="32" ref="B47:AH47">SUM(B48:B53)</f>
        <v>422560367.85</v>
      </c>
      <c r="C47" s="1">
        <f t="shared" si="32"/>
        <v>0</v>
      </c>
      <c r="D47" s="1">
        <f t="shared" si="32"/>
        <v>0</v>
      </c>
      <c r="E47" s="1">
        <f t="shared" si="32"/>
        <v>0</v>
      </c>
      <c r="F47" s="1">
        <f t="shared" si="32"/>
        <v>0</v>
      </c>
      <c r="G47" s="1"/>
      <c r="H47" s="635">
        <f t="shared" si="32"/>
        <v>0</v>
      </c>
      <c r="I47" s="36">
        <f t="shared" si="32"/>
        <v>422560367.85</v>
      </c>
      <c r="J47" s="36">
        <f t="shared" si="32"/>
        <v>107949403</v>
      </c>
      <c r="K47" s="36">
        <f t="shared" si="32"/>
        <v>0</v>
      </c>
      <c r="L47" s="36">
        <f>SUM(L48:L53)</f>
        <v>-3314494</v>
      </c>
      <c r="M47" s="36">
        <f t="shared" si="32"/>
        <v>104634909</v>
      </c>
      <c r="N47" s="36">
        <f t="shared" si="32"/>
        <v>129414105</v>
      </c>
      <c r="O47" s="1">
        <f t="shared" si="32"/>
        <v>0</v>
      </c>
      <c r="P47" s="36">
        <f t="shared" si="32"/>
        <v>-15994935</v>
      </c>
      <c r="Q47" s="36">
        <f t="shared" si="32"/>
        <v>113419170</v>
      </c>
      <c r="R47" s="36">
        <f t="shared" si="32"/>
        <v>121614105</v>
      </c>
      <c r="S47" s="36">
        <f t="shared" si="32"/>
        <v>0</v>
      </c>
      <c r="T47" s="36"/>
      <c r="U47" s="36">
        <f t="shared" si="32"/>
        <v>-17983293</v>
      </c>
      <c r="V47" s="36">
        <f t="shared" si="32"/>
        <v>103630812</v>
      </c>
      <c r="W47" s="36">
        <f t="shared" si="32"/>
        <v>100875476.85</v>
      </c>
      <c r="X47" s="36">
        <f t="shared" si="32"/>
        <v>0</v>
      </c>
      <c r="Y47" s="36">
        <f t="shared" si="32"/>
        <v>0</v>
      </c>
      <c r="Z47" s="36">
        <f t="shared" si="32"/>
        <v>0</v>
      </c>
      <c r="AA47" s="36">
        <f t="shared" si="32"/>
        <v>100875476.85</v>
      </c>
      <c r="AB47" s="36">
        <f t="shared" si="32"/>
        <v>422560367.85</v>
      </c>
      <c r="AC47" s="430">
        <f t="shared" si="32"/>
        <v>104634909</v>
      </c>
      <c r="AD47" s="430">
        <f t="shared" si="32"/>
        <v>113419170</v>
      </c>
      <c r="AE47" s="430">
        <f t="shared" si="32"/>
        <v>103630812</v>
      </c>
      <c r="AF47" s="430">
        <f>SUM(AF48:AF53)</f>
        <v>98714633</v>
      </c>
      <c r="AG47" s="430">
        <f>SUM(AG48:AG53)</f>
        <v>420399524</v>
      </c>
      <c r="AH47" s="36">
        <f t="shared" si="32"/>
        <v>0</v>
      </c>
      <c r="AI47" s="7">
        <f t="shared" si="29"/>
        <v>0</v>
      </c>
      <c r="AJ47" s="36">
        <f>SUM(AJ48:AJ53)</f>
        <v>0</v>
      </c>
      <c r="AK47" s="36">
        <f>SUM(AK48:AK53)</f>
        <v>2160843.849999994</v>
      </c>
      <c r="AL47" s="36">
        <f>SUM(AL48:AL53)</f>
        <v>422560367.85</v>
      </c>
      <c r="AM47" s="36">
        <f>SUM(AM48:AM53)</f>
        <v>0</v>
      </c>
      <c r="AN47" s="36">
        <f>SUM(AN48:AN53)</f>
        <v>2160843.849999994</v>
      </c>
      <c r="AO47" s="133">
        <f t="shared" si="31"/>
        <v>0.9948863073435058</v>
      </c>
      <c r="AP47" s="130">
        <f t="shared" si="24"/>
        <v>1</v>
      </c>
      <c r="AQ47" s="130">
        <f t="shared" si="25"/>
        <v>1</v>
      </c>
      <c r="AR47" s="133">
        <f>+AE47/V47</f>
        <v>1</v>
      </c>
      <c r="AS47" s="136">
        <f t="shared" si="26"/>
        <v>0.978579096550759</v>
      </c>
      <c r="AT47" s="83"/>
    </row>
    <row r="48" spans="1:46" ht="15" customHeight="1" hidden="1" outlineLevel="1">
      <c r="A48" s="234" t="s">
        <v>151</v>
      </c>
      <c r="B48" s="7">
        <v>162766578</v>
      </c>
      <c r="C48" s="36"/>
      <c r="D48" s="36"/>
      <c r="E48" s="36"/>
      <c r="F48" s="36"/>
      <c r="G48" s="36"/>
      <c r="H48" s="430"/>
      <c r="I48" s="7">
        <f t="shared" si="27"/>
        <v>162766578</v>
      </c>
      <c r="J48" s="7">
        <f>31088872+315000</f>
        <v>31403872</v>
      </c>
      <c r="K48" s="7"/>
      <c r="L48" s="7">
        <v>-101714</v>
      </c>
      <c r="M48" s="7">
        <f aca="true" t="shared" si="33" ref="M48:M53">SUM(J48:L48)</f>
        <v>31302158</v>
      </c>
      <c r="N48" s="7">
        <v>46633308</v>
      </c>
      <c r="O48" s="36"/>
      <c r="P48" s="7">
        <f aca="true" t="shared" si="34" ref="P48:P53">+AD48-N48-O48</f>
        <v>-1675238</v>
      </c>
      <c r="Q48" s="7">
        <f aca="true" t="shared" si="35" ref="Q48:Q53">SUM(N48:P48)</f>
        <v>44958070</v>
      </c>
      <c r="R48" s="7">
        <v>52833308</v>
      </c>
      <c r="S48" s="7"/>
      <c r="T48" s="7"/>
      <c r="U48" s="7">
        <f t="shared" si="28"/>
        <v>-6174000</v>
      </c>
      <c r="V48" s="7">
        <f aca="true" t="shared" si="36" ref="V48:V53">+SUM(R48:U48)</f>
        <v>46659308</v>
      </c>
      <c r="W48" s="7">
        <v>39847042</v>
      </c>
      <c r="X48" s="7"/>
      <c r="Y48" s="7"/>
      <c r="Z48" s="7"/>
      <c r="AA48" s="7">
        <f>SUM(W48:Z48)</f>
        <v>39847042</v>
      </c>
      <c r="AB48" s="7">
        <f aca="true" t="shared" si="37" ref="AB48:AB53">+M48+Q48+V48+AA48</f>
        <v>162766578</v>
      </c>
      <c r="AC48" s="414">
        <f>+'[4]MER ENE-MAR-11'!$G$250</f>
        <v>31302158</v>
      </c>
      <c r="AD48" s="414">
        <f>+'[4]MER ABR-JUN-11'!$G$299</f>
        <v>44958070</v>
      </c>
      <c r="AE48" s="414">
        <f>+'[4]MER JUL-SEP-11'!$G$248</f>
        <v>46659308</v>
      </c>
      <c r="AF48" s="414">
        <f>+'[4]MER OCT-DIC-11'!$G$268</f>
        <v>39817328</v>
      </c>
      <c r="AG48" s="414">
        <f aca="true" t="shared" si="38" ref="AG48:AG53">SUM(AC48:AF48)</f>
        <v>162736864</v>
      </c>
      <c r="AH48" s="7">
        <f aca="true" t="shared" si="39" ref="AH48:AH53">+M48-AC48</f>
        <v>0</v>
      </c>
      <c r="AI48" s="7">
        <f t="shared" si="29"/>
        <v>0</v>
      </c>
      <c r="AJ48" s="7">
        <f>+V48-AE48</f>
        <v>0</v>
      </c>
      <c r="AK48" s="7">
        <f aca="true" t="shared" si="40" ref="AK48:AK53">+AA48-AF48</f>
        <v>29714</v>
      </c>
      <c r="AL48" s="7">
        <f aca="true" t="shared" si="41" ref="AL48:AL53">+AB48</f>
        <v>162766578</v>
      </c>
      <c r="AM48" s="7">
        <f aca="true" t="shared" si="42" ref="AM48:AM53">+I48-AB48</f>
        <v>0</v>
      </c>
      <c r="AN48" s="7">
        <f aca="true" t="shared" si="43" ref="AN48:AN53">+AL48-AG48</f>
        <v>29714</v>
      </c>
      <c r="AO48" s="130">
        <f t="shared" si="31"/>
        <v>0.9998174440946962</v>
      </c>
      <c r="AP48" s="130">
        <f t="shared" si="24"/>
        <v>1</v>
      </c>
      <c r="AQ48" s="130">
        <f t="shared" si="25"/>
        <v>1</v>
      </c>
      <c r="AR48" s="130">
        <v>0</v>
      </c>
      <c r="AS48" s="135">
        <f aca="true" t="shared" si="44" ref="AS48:AS54">+AF48/AA48</f>
        <v>0.9992542984746522</v>
      </c>
      <c r="AT48" s="83"/>
    </row>
    <row r="49" spans="1:46" ht="15" customHeight="1" hidden="1" outlineLevel="1">
      <c r="A49" s="234" t="s">
        <v>152</v>
      </c>
      <c r="B49" s="7">
        <v>111062789.85</v>
      </c>
      <c r="C49" s="36"/>
      <c r="D49" s="36"/>
      <c r="E49" s="36"/>
      <c r="F49" s="36"/>
      <c r="G49" s="36"/>
      <c r="H49" s="430"/>
      <c r="I49" s="7">
        <f t="shared" si="27"/>
        <v>111062789.85</v>
      </c>
      <c r="J49" s="7">
        <f>21240531-315000</f>
        <v>20925531</v>
      </c>
      <c r="K49" s="7"/>
      <c r="L49" s="7">
        <v>-513270</v>
      </c>
      <c r="M49" s="7">
        <f t="shared" si="33"/>
        <v>20412261</v>
      </c>
      <c r="N49" s="7">
        <v>31860797</v>
      </c>
      <c r="O49" s="36"/>
      <c r="P49" s="7">
        <f t="shared" si="34"/>
        <v>-1881396</v>
      </c>
      <c r="Q49" s="7">
        <f t="shared" si="35"/>
        <v>29979401</v>
      </c>
      <c r="R49" s="7">
        <f>31860797-103890</f>
        <v>31756907</v>
      </c>
      <c r="S49" s="7"/>
      <c r="T49" s="7"/>
      <c r="U49" s="7">
        <f t="shared" si="28"/>
        <v>-210143</v>
      </c>
      <c r="V49" s="7">
        <f t="shared" si="36"/>
        <v>31546764</v>
      </c>
      <c r="W49" s="7">
        <v>29124363.849999994</v>
      </c>
      <c r="X49" s="7"/>
      <c r="Y49" s="7"/>
      <c r="Z49" s="7"/>
      <c r="AA49" s="7">
        <f aca="true" t="shared" si="45" ref="AA49:AA63">SUM(W49:Z49)</f>
        <v>29124363.849999994</v>
      </c>
      <c r="AB49" s="7">
        <f t="shared" si="37"/>
        <v>111062789.85</v>
      </c>
      <c r="AC49" s="414">
        <f>+'[4]MER ENE-MAR-11'!$G$285</f>
        <v>20412261</v>
      </c>
      <c r="AD49" s="414">
        <f>+'[4]MER ABR-JUN-11'!$G$349</f>
        <v>29979401</v>
      </c>
      <c r="AE49" s="414">
        <f>+'[4]MER JUL-SEP-11'!$G$295</f>
        <v>31546764</v>
      </c>
      <c r="AF49" s="414">
        <f>+'[4]MER OCT-DIC-11'!$G$315</f>
        <v>27403995</v>
      </c>
      <c r="AG49" s="414">
        <f t="shared" si="38"/>
        <v>109342421</v>
      </c>
      <c r="AH49" s="7">
        <f t="shared" si="39"/>
        <v>0</v>
      </c>
      <c r="AI49" s="7">
        <f t="shared" si="29"/>
        <v>0</v>
      </c>
      <c r="AJ49" s="7">
        <f>+V49-AE49</f>
        <v>0</v>
      </c>
      <c r="AK49" s="7">
        <f t="shared" si="40"/>
        <v>1720368.849999994</v>
      </c>
      <c r="AL49" s="7">
        <f t="shared" si="41"/>
        <v>111062789.85</v>
      </c>
      <c r="AM49" s="7">
        <f t="shared" si="42"/>
        <v>0</v>
      </c>
      <c r="AN49" s="7">
        <f t="shared" si="43"/>
        <v>1720368.849999994</v>
      </c>
      <c r="AO49" s="130">
        <f t="shared" si="31"/>
        <v>0.9845099438585732</v>
      </c>
      <c r="AP49" s="130">
        <f t="shared" si="24"/>
        <v>1</v>
      </c>
      <c r="AQ49" s="130">
        <f t="shared" si="25"/>
        <v>1</v>
      </c>
      <c r="AR49" s="130">
        <f>+AE49/V49</f>
        <v>1</v>
      </c>
      <c r="AS49" s="135">
        <f t="shared" si="44"/>
        <v>0.9409302514259039</v>
      </c>
      <c r="AT49" s="83"/>
    </row>
    <row r="50" spans="1:46" ht="15" customHeight="1" hidden="1" outlineLevel="1">
      <c r="A50" s="234" t="s">
        <v>204</v>
      </c>
      <c r="B50" s="7">
        <v>92481000</v>
      </c>
      <c r="C50" s="36"/>
      <c r="D50" s="36"/>
      <c r="E50" s="36"/>
      <c r="F50" s="36"/>
      <c r="G50" s="36"/>
      <c r="H50" s="414">
        <v>-1535555</v>
      </c>
      <c r="I50" s="7">
        <f t="shared" si="27"/>
        <v>90945445</v>
      </c>
      <c r="J50" s="7">
        <v>50620000</v>
      </c>
      <c r="K50" s="7"/>
      <c r="L50" s="7">
        <v>-2581196</v>
      </c>
      <c r="M50" s="7">
        <f t="shared" si="33"/>
        <v>48038804</v>
      </c>
      <c r="N50" s="7">
        <v>10920000</v>
      </c>
      <c r="O50" s="36"/>
      <c r="P50" s="7">
        <f t="shared" si="34"/>
        <v>-1721991</v>
      </c>
      <c r="Q50" s="7">
        <f t="shared" si="35"/>
        <v>9198009</v>
      </c>
      <c r="R50" s="7">
        <f>14920000+1433496+103890</f>
        <v>16457386</v>
      </c>
      <c r="S50" s="7"/>
      <c r="T50" s="7"/>
      <c r="U50" s="7">
        <f t="shared" si="28"/>
        <v>-3480000</v>
      </c>
      <c r="V50" s="7">
        <f t="shared" si="36"/>
        <v>12977386</v>
      </c>
      <c r="W50" s="7">
        <f>22266801-1535555</f>
        <v>20731246</v>
      </c>
      <c r="X50" s="7"/>
      <c r="Y50" s="7"/>
      <c r="Z50" s="7"/>
      <c r="AA50" s="7">
        <f t="shared" si="45"/>
        <v>20731246</v>
      </c>
      <c r="AB50" s="7">
        <f t="shared" si="37"/>
        <v>90945445</v>
      </c>
      <c r="AC50" s="414">
        <f>+'[4]MER ENE-MAR-11'!$G$319</f>
        <v>48038804</v>
      </c>
      <c r="AD50" s="414">
        <f>+'[4]MER ABR-JUN-11'!$G$392</f>
        <v>9198009</v>
      </c>
      <c r="AE50" s="414">
        <f>+'[4]MER JUL-SEP-11'!$G$342</f>
        <v>12977386</v>
      </c>
      <c r="AF50" s="414">
        <f>+'[4]MER OCT-DIC-11'!$G$367</f>
        <v>20330470</v>
      </c>
      <c r="AG50" s="414">
        <f t="shared" si="38"/>
        <v>90544669</v>
      </c>
      <c r="AH50" s="7">
        <f t="shared" si="39"/>
        <v>0</v>
      </c>
      <c r="AI50" s="7">
        <f t="shared" si="29"/>
        <v>0</v>
      </c>
      <c r="AJ50" s="7">
        <f>+V50-AE50</f>
        <v>0</v>
      </c>
      <c r="AK50" s="7">
        <f t="shared" si="40"/>
        <v>400776</v>
      </c>
      <c r="AL50" s="7">
        <f t="shared" si="41"/>
        <v>90945445</v>
      </c>
      <c r="AM50" s="7">
        <f t="shared" si="42"/>
        <v>0</v>
      </c>
      <c r="AN50" s="7">
        <f t="shared" si="43"/>
        <v>400776</v>
      </c>
      <c r="AO50" s="130">
        <f t="shared" si="31"/>
        <v>0.99559322624679</v>
      </c>
      <c r="AP50" s="130">
        <f t="shared" si="24"/>
        <v>1</v>
      </c>
      <c r="AQ50" s="130">
        <f t="shared" si="25"/>
        <v>1</v>
      </c>
      <c r="AR50" s="130">
        <f>+AE50/V50</f>
        <v>1</v>
      </c>
      <c r="AS50" s="135">
        <f t="shared" si="44"/>
        <v>0.9806680215940711</v>
      </c>
      <c r="AT50" s="83"/>
    </row>
    <row r="51" spans="1:46" ht="15" customHeight="1" hidden="1" outlineLevel="1">
      <c r="A51" s="234" t="s">
        <v>221</v>
      </c>
      <c r="B51" s="7">
        <v>31000000</v>
      </c>
      <c r="C51" s="36"/>
      <c r="D51" s="36"/>
      <c r="E51" s="36"/>
      <c r="F51" s="36"/>
      <c r="G51" s="36"/>
      <c r="H51" s="414">
        <v>-3330000</v>
      </c>
      <c r="I51" s="7">
        <f t="shared" si="27"/>
        <v>27670000</v>
      </c>
      <c r="J51" s="7">
        <v>0</v>
      </c>
      <c r="K51" s="7"/>
      <c r="L51" s="7">
        <v>0</v>
      </c>
      <c r="M51" s="7">
        <f t="shared" si="33"/>
        <v>0</v>
      </c>
      <c r="N51" s="7">
        <f>31000000-7200000</f>
        <v>23800000</v>
      </c>
      <c r="O51" s="36"/>
      <c r="P51" s="7">
        <f t="shared" si="34"/>
        <v>-10135640</v>
      </c>
      <c r="Q51" s="7">
        <f t="shared" si="35"/>
        <v>13664360</v>
      </c>
      <c r="R51" s="7">
        <f>12000000+5335640</f>
        <v>17335640</v>
      </c>
      <c r="S51" s="7"/>
      <c r="T51" s="7"/>
      <c r="U51" s="7">
        <f t="shared" si="28"/>
        <v>-6583686</v>
      </c>
      <c r="V51" s="7">
        <f t="shared" si="36"/>
        <v>10751954</v>
      </c>
      <c r="W51" s="7">
        <f>6583686-3330000</f>
        <v>3253686</v>
      </c>
      <c r="X51" s="7"/>
      <c r="Y51" s="7"/>
      <c r="Z51" s="7"/>
      <c r="AA51" s="7">
        <f t="shared" si="45"/>
        <v>3253686</v>
      </c>
      <c r="AB51" s="7">
        <f t="shared" si="37"/>
        <v>27670000</v>
      </c>
      <c r="AC51" s="414">
        <f>+'[4]MER ENE-MAR-11'!$G$347</f>
        <v>0</v>
      </c>
      <c r="AD51" s="414">
        <f>+'[4]MER ABR-JUN-11'!$G$427</f>
        <v>13664360</v>
      </c>
      <c r="AE51" s="414">
        <f>+'[4]MER JUL-SEP-11'!$G$371</f>
        <v>10751954</v>
      </c>
      <c r="AF51" s="414">
        <f>+'[4]MER OCT-DIC-11'!$G$408</f>
        <v>3244054</v>
      </c>
      <c r="AG51" s="414">
        <f t="shared" si="38"/>
        <v>27660368</v>
      </c>
      <c r="AH51" s="7">
        <f t="shared" si="39"/>
        <v>0</v>
      </c>
      <c r="AI51" s="7"/>
      <c r="AJ51" s="7"/>
      <c r="AK51" s="7">
        <f t="shared" si="40"/>
        <v>9632</v>
      </c>
      <c r="AL51" s="7">
        <f t="shared" si="41"/>
        <v>27670000</v>
      </c>
      <c r="AM51" s="7">
        <f t="shared" si="42"/>
        <v>0</v>
      </c>
      <c r="AN51" s="7">
        <f t="shared" si="43"/>
        <v>9632</v>
      </c>
      <c r="AO51" s="130">
        <f>+AG51/I51</f>
        <v>0.9996518973617636</v>
      </c>
      <c r="AP51" s="130">
        <v>0</v>
      </c>
      <c r="AQ51" s="130">
        <f t="shared" si="25"/>
        <v>1</v>
      </c>
      <c r="AR51" s="130">
        <f>+AE51/V51</f>
        <v>1</v>
      </c>
      <c r="AS51" s="135">
        <f>+AF51/AA51</f>
        <v>0.9970396651674439</v>
      </c>
      <c r="AT51" s="83"/>
    </row>
    <row r="52" spans="1:46" ht="15" customHeight="1" hidden="1" outlineLevel="1">
      <c r="A52" s="234" t="s">
        <v>150</v>
      </c>
      <c r="B52" s="7">
        <v>5250000</v>
      </c>
      <c r="C52" s="36"/>
      <c r="D52" s="36"/>
      <c r="E52" s="36"/>
      <c r="F52" s="36"/>
      <c r="G52" s="36"/>
      <c r="H52" s="414">
        <f>1535555+3330000</f>
        <v>4865555</v>
      </c>
      <c r="I52" s="7">
        <f t="shared" si="27"/>
        <v>10115555</v>
      </c>
      <c r="J52" s="7">
        <v>1000000</v>
      </c>
      <c r="K52" s="7"/>
      <c r="L52" s="7">
        <v>-9360</v>
      </c>
      <c r="M52" s="7">
        <f t="shared" si="33"/>
        <v>990640</v>
      </c>
      <c r="N52" s="7">
        <v>1000000</v>
      </c>
      <c r="O52" s="36"/>
      <c r="P52" s="7">
        <f t="shared" si="34"/>
        <v>-258760</v>
      </c>
      <c r="Q52" s="7">
        <f t="shared" si="35"/>
        <v>741240</v>
      </c>
      <c r="R52" s="7">
        <v>2000000</v>
      </c>
      <c r="S52" s="7"/>
      <c r="T52" s="7"/>
      <c r="U52" s="7">
        <f t="shared" si="28"/>
        <v>-304600</v>
      </c>
      <c r="V52" s="7">
        <f t="shared" si="36"/>
        <v>1695400</v>
      </c>
      <c r="W52" s="7">
        <f>1822720+1535555+3330000</f>
        <v>6688275</v>
      </c>
      <c r="X52" s="7"/>
      <c r="Y52" s="7"/>
      <c r="Z52" s="7"/>
      <c r="AA52" s="7">
        <f t="shared" si="45"/>
        <v>6688275</v>
      </c>
      <c r="AB52" s="7">
        <f t="shared" si="37"/>
        <v>10115555</v>
      </c>
      <c r="AC52" s="414">
        <f>+'[4]MER ENE-MAR-11'!$G$353</f>
        <v>990640</v>
      </c>
      <c r="AD52" s="414">
        <f>+'[4]MER ABR-JUN-11'!$G$433</f>
        <v>741240</v>
      </c>
      <c r="AE52" s="414">
        <f>+'[4]MER JUL-SEP-11'!$G$382</f>
        <v>1695400</v>
      </c>
      <c r="AF52" s="414">
        <f>+'[4]MER OCT-DIC-11'!$G$418</f>
        <v>6687922</v>
      </c>
      <c r="AG52" s="414">
        <f t="shared" si="38"/>
        <v>10115202</v>
      </c>
      <c r="AH52" s="7">
        <f t="shared" si="39"/>
        <v>0</v>
      </c>
      <c r="AI52" s="7">
        <f t="shared" si="29"/>
        <v>0</v>
      </c>
      <c r="AJ52" s="7">
        <f>+V52-AE52</f>
        <v>0</v>
      </c>
      <c r="AK52" s="7">
        <f t="shared" si="40"/>
        <v>353</v>
      </c>
      <c r="AL52" s="7">
        <f t="shared" si="41"/>
        <v>10115555</v>
      </c>
      <c r="AM52" s="7">
        <f t="shared" si="42"/>
        <v>0</v>
      </c>
      <c r="AN52" s="7">
        <f t="shared" si="43"/>
        <v>353</v>
      </c>
      <c r="AO52" s="130">
        <f t="shared" si="31"/>
        <v>0.9999651032494016</v>
      </c>
      <c r="AP52" s="130">
        <f t="shared" si="24"/>
        <v>1</v>
      </c>
      <c r="AQ52" s="130">
        <f t="shared" si="25"/>
        <v>1</v>
      </c>
      <c r="AR52" s="130">
        <f>+AE52/V52</f>
        <v>1</v>
      </c>
      <c r="AS52" s="135">
        <f t="shared" si="44"/>
        <v>0.9999472210697078</v>
      </c>
      <c r="AT52" s="83"/>
    </row>
    <row r="53" spans="1:46" ht="15" customHeight="1" hidden="1" outlineLevel="1">
      <c r="A53" s="234" t="s">
        <v>153</v>
      </c>
      <c r="B53" s="7">
        <v>20000000</v>
      </c>
      <c r="C53" s="36"/>
      <c r="D53" s="36"/>
      <c r="E53" s="36"/>
      <c r="F53" s="36"/>
      <c r="G53" s="36"/>
      <c r="H53" s="430"/>
      <c r="I53" s="7">
        <f t="shared" si="27"/>
        <v>20000000</v>
      </c>
      <c r="J53" s="7">
        <v>4000000</v>
      </c>
      <c r="K53" s="7"/>
      <c r="L53" s="7">
        <v>-108954</v>
      </c>
      <c r="M53" s="7">
        <f t="shared" si="33"/>
        <v>3891046</v>
      </c>
      <c r="N53" s="7">
        <f>8000000+7200000</f>
        <v>15200000</v>
      </c>
      <c r="O53" s="36"/>
      <c r="P53" s="7">
        <f t="shared" si="34"/>
        <v>-321910</v>
      </c>
      <c r="Q53" s="7">
        <f t="shared" si="35"/>
        <v>14878090</v>
      </c>
      <c r="R53" s="7">
        <f>8000000-6769136</f>
        <v>1230864</v>
      </c>
      <c r="S53" s="7"/>
      <c r="T53" s="7"/>
      <c r="U53" s="7">
        <f t="shared" si="28"/>
        <v>-1230864</v>
      </c>
      <c r="V53" s="7">
        <f t="shared" si="36"/>
        <v>0</v>
      </c>
      <c r="W53" s="7">
        <v>1230864</v>
      </c>
      <c r="X53" s="7"/>
      <c r="Y53" s="7"/>
      <c r="Z53" s="7"/>
      <c r="AA53" s="7">
        <f t="shared" si="45"/>
        <v>1230864</v>
      </c>
      <c r="AB53" s="7">
        <f t="shared" si="37"/>
        <v>20000000</v>
      </c>
      <c r="AC53" s="414">
        <f>+'[4]MER ENE-MAR-11'!$G$359</f>
        <v>3891046</v>
      </c>
      <c r="AD53" s="414">
        <f>+'[4]MER ABR-JUN-11'!$G$439</f>
        <v>14878090</v>
      </c>
      <c r="AE53" s="414">
        <f>+'[4]MER JUL-SEP-11'!$G$389</f>
        <v>0</v>
      </c>
      <c r="AF53" s="414">
        <f>+'[4]MER OCT-DIC-11'!$G$430</f>
        <v>1230864</v>
      </c>
      <c r="AG53" s="414">
        <f t="shared" si="38"/>
        <v>20000000</v>
      </c>
      <c r="AH53" s="7">
        <f t="shared" si="39"/>
        <v>0</v>
      </c>
      <c r="AI53" s="7">
        <f t="shared" si="29"/>
        <v>0</v>
      </c>
      <c r="AJ53" s="7">
        <f>+V53-AE53</f>
        <v>0</v>
      </c>
      <c r="AK53" s="7">
        <f t="shared" si="40"/>
        <v>0</v>
      </c>
      <c r="AL53" s="7">
        <f t="shared" si="41"/>
        <v>20000000</v>
      </c>
      <c r="AM53" s="7">
        <f t="shared" si="42"/>
        <v>0</v>
      </c>
      <c r="AN53" s="7">
        <f t="shared" si="43"/>
        <v>0</v>
      </c>
      <c r="AO53" s="130">
        <v>0</v>
      </c>
      <c r="AP53" s="130">
        <f t="shared" si="24"/>
        <v>1</v>
      </c>
      <c r="AQ53" s="130">
        <f t="shared" si="25"/>
        <v>1</v>
      </c>
      <c r="AR53" s="130">
        <v>0</v>
      </c>
      <c r="AS53" s="135">
        <f t="shared" si="44"/>
        <v>1</v>
      </c>
      <c r="AT53" s="83"/>
    </row>
    <row r="54" spans="1:47" s="2" customFormat="1" ht="15" customHeight="1" collapsed="1">
      <c r="A54" s="118" t="s">
        <v>119</v>
      </c>
      <c r="B54" s="36">
        <f aca="true" t="shared" si="46" ref="B54:AH54">SUM(B55:B63)</f>
        <v>1170049200</v>
      </c>
      <c r="C54" s="1">
        <f t="shared" si="46"/>
        <v>-154458505</v>
      </c>
      <c r="D54" s="1">
        <f t="shared" si="46"/>
        <v>-25326493</v>
      </c>
      <c r="E54" s="1">
        <f t="shared" si="46"/>
        <v>0</v>
      </c>
      <c r="F54" s="1">
        <f t="shared" si="46"/>
        <v>196057657</v>
      </c>
      <c r="G54" s="1"/>
      <c r="H54" s="635">
        <f t="shared" si="46"/>
        <v>0</v>
      </c>
      <c r="I54" s="36">
        <f t="shared" si="46"/>
        <v>1186321859</v>
      </c>
      <c r="J54" s="36">
        <f t="shared" si="46"/>
        <v>82179840</v>
      </c>
      <c r="K54" s="36">
        <f t="shared" si="46"/>
        <v>0</v>
      </c>
      <c r="L54" s="36">
        <f>SUM(L55:L63)</f>
        <v>-3020121</v>
      </c>
      <c r="M54" s="36">
        <f t="shared" si="46"/>
        <v>79159719</v>
      </c>
      <c r="N54" s="36">
        <f t="shared" si="46"/>
        <v>335694760</v>
      </c>
      <c r="O54" s="1">
        <f t="shared" si="46"/>
        <v>0</v>
      </c>
      <c r="P54" s="36">
        <f t="shared" si="46"/>
        <v>-10139794</v>
      </c>
      <c r="Q54" s="36">
        <f t="shared" si="46"/>
        <v>325554966</v>
      </c>
      <c r="R54" s="36">
        <f t="shared" si="46"/>
        <v>397429951</v>
      </c>
      <c r="S54" s="36">
        <f t="shared" si="46"/>
        <v>21428573</v>
      </c>
      <c r="T54" s="36"/>
      <c r="U54" s="36">
        <f t="shared" si="46"/>
        <v>-24409837.4</v>
      </c>
      <c r="V54" s="36">
        <f t="shared" si="46"/>
        <v>394448686.6</v>
      </c>
      <c r="W54" s="36">
        <f t="shared" si="46"/>
        <v>387158487.4</v>
      </c>
      <c r="X54" s="36">
        <f t="shared" si="46"/>
        <v>0</v>
      </c>
      <c r="Y54" s="36">
        <f t="shared" si="46"/>
        <v>0</v>
      </c>
      <c r="Z54" s="36">
        <f t="shared" si="46"/>
        <v>0</v>
      </c>
      <c r="AA54" s="36">
        <f t="shared" si="46"/>
        <v>387158487.4</v>
      </c>
      <c r="AB54" s="36">
        <f t="shared" si="46"/>
        <v>1186321859</v>
      </c>
      <c r="AC54" s="430">
        <f t="shared" si="46"/>
        <v>79159719</v>
      </c>
      <c r="AD54" s="430">
        <f t="shared" si="46"/>
        <v>325554966</v>
      </c>
      <c r="AE54" s="430">
        <f t="shared" si="46"/>
        <v>394448686.6</v>
      </c>
      <c r="AF54" s="430">
        <f t="shared" si="46"/>
        <v>331831094</v>
      </c>
      <c r="AG54" s="430">
        <f>SUM(AG55:AG63)</f>
        <v>1130994465.6</v>
      </c>
      <c r="AH54" s="36">
        <f t="shared" si="46"/>
        <v>0</v>
      </c>
      <c r="AI54" s="7">
        <f t="shared" si="29"/>
        <v>0</v>
      </c>
      <c r="AJ54" s="36">
        <f>SUM(AJ55:AJ63)</f>
        <v>0</v>
      </c>
      <c r="AK54" s="36">
        <f>SUM(AK55:AK63)</f>
        <v>55327393.4</v>
      </c>
      <c r="AL54" s="36">
        <f>SUM(AL55:AL63)</f>
        <v>1120480108</v>
      </c>
      <c r="AM54" s="36">
        <f>SUM(AM55:AM63)</f>
        <v>0</v>
      </c>
      <c r="AN54" s="36">
        <f>SUM(AN55:AN63)</f>
        <v>54643675</v>
      </c>
      <c r="AO54" s="133">
        <f aca="true" t="shared" si="47" ref="AO54:AO67">+AG54/I54</f>
        <v>0.9533622406261334</v>
      </c>
      <c r="AP54" s="130">
        <f t="shared" si="24"/>
        <v>1</v>
      </c>
      <c r="AQ54" s="130">
        <f t="shared" si="25"/>
        <v>1</v>
      </c>
      <c r="AR54" s="133">
        <f>+AE54/V54</f>
        <v>1</v>
      </c>
      <c r="AS54" s="136">
        <f t="shared" si="44"/>
        <v>0.8570936833348111</v>
      </c>
      <c r="AT54" s="83"/>
      <c r="AU54" s="3"/>
    </row>
    <row r="55" spans="1:45" ht="15" customHeight="1" hidden="1" outlineLevel="1">
      <c r="A55" s="234" t="s">
        <v>205</v>
      </c>
      <c r="B55" s="7">
        <v>100000000</v>
      </c>
      <c r="C55" s="36"/>
      <c r="D55" s="36"/>
      <c r="E55" s="36"/>
      <c r="F55" s="7">
        <v>25000000</v>
      </c>
      <c r="G55" s="7"/>
      <c r="H55" s="414">
        <v>-1497819</v>
      </c>
      <c r="I55" s="7">
        <f t="shared" si="27"/>
        <v>123502181</v>
      </c>
      <c r="J55" s="7">
        <v>2860000</v>
      </c>
      <c r="K55" s="7"/>
      <c r="L55" s="7">
        <v>-2858</v>
      </c>
      <c r="M55" s="7">
        <f aca="true" t="shared" si="48" ref="M55:M63">SUM(J55:L55)</f>
        <v>2857142</v>
      </c>
      <c r="N55" s="7">
        <f>50000000+7500000</f>
        <v>57500000</v>
      </c>
      <c r="O55" s="36"/>
      <c r="P55" s="7">
        <f aca="true" t="shared" si="49" ref="P55:P62">+AD55-N55-O55</f>
        <v>-3652350</v>
      </c>
      <c r="Q55" s="7">
        <f aca="true" t="shared" si="50" ref="Q55:Q63">SUM(N55:P55)</f>
        <v>53847650</v>
      </c>
      <c r="R55" s="7">
        <f>61859511-18564303</f>
        <v>43295208</v>
      </c>
      <c r="S55" s="7">
        <v>21428573</v>
      </c>
      <c r="T55" s="7"/>
      <c r="U55" s="7">
        <f t="shared" si="28"/>
        <v>-17942528</v>
      </c>
      <c r="V55" s="7">
        <f aca="true" t="shared" si="51" ref="V55:V63">+SUM(R55:U55)</f>
        <v>46781253</v>
      </c>
      <c r="W55" s="7">
        <f>21513955-1497819</f>
        <v>20016136</v>
      </c>
      <c r="X55" s="7"/>
      <c r="Y55" s="7"/>
      <c r="Z55" s="7"/>
      <c r="AA55" s="7">
        <f t="shared" si="45"/>
        <v>20016136</v>
      </c>
      <c r="AB55" s="7">
        <f aca="true" t="shared" si="52" ref="AB55:AB63">+M55+Q55+V55+AA55</f>
        <v>123502181</v>
      </c>
      <c r="AC55" s="414">
        <f>+'[4]MER ENE-MAR-11'!$G$373</f>
        <v>2857142</v>
      </c>
      <c r="AD55" s="414">
        <f>+'[4]MER ABR-JUN-11'!$G$453</f>
        <v>53847650</v>
      </c>
      <c r="AE55" s="414">
        <f>+'[4]MER JUL-SEP-11'!$G$395</f>
        <v>46781253</v>
      </c>
      <c r="AF55" s="414">
        <f>+'[4]MER OCT-DIC-11'!$G$440</f>
        <v>20016136</v>
      </c>
      <c r="AG55" s="414">
        <f aca="true" t="shared" si="53" ref="AG55:AG63">SUM(AC55:AF55)</f>
        <v>123502181</v>
      </c>
      <c r="AH55" s="7">
        <f aca="true" t="shared" si="54" ref="AH55:AH63">+M55-AC55</f>
        <v>0</v>
      </c>
      <c r="AI55" s="7">
        <f t="shared" si="29"/>
        <v>0</v>
      </c>
      <c r="AJ55" s="7">
        <f aca="true" t="shared" si="55" ref="AJ55:AJ63">+V55-AE55</f>
        <v>0</v>
      </c>
      <c r="AK55" s="7">
        <f aca="true" t="shared" si="56" ref="AK55:AK63">+AA55-AF55</f>
        <v>0</v>
      </c>
      <c r="AL55" s="7">
        <f aca="true" t="shared" si="57" ref="AL55:AL63">+AB55</f>
        <v>123502181</v>
      </c>
      <c r="AM55" s="7">
        <f aca="true" t="shared" si="58" ref="AM55:AM63">+I55-AB55</f>
        <v>0</v>
      </c>
      <c r="AN55" s="7">
        <f aca="true" t="shared" si="59" ref="AN55:AN63">+AL55-AG55</f>
        <v>0</v>
      </c>
      <c r="AO55" s="130">
        <f t="shared" si="47"/>
        <v>1</v>
      </c>
      <c r="AP55" s="130">
        <f>+AC55/M55</f>
        <v>1</v>
      </c>
      <c r="AQ55" s="130">
        <f t="shared" si="25"/>
        <v>1</v>
      </c>
      <c r="AR55" s="130">
        <f>+AE55/V55</f>
        <v>1</v>
      </c>
      <c r="AS55" s="135">
        <f aca="true" t="shared" si="60" ref="AS55:AS63">+AF55/AA55</f>
        <v>1</v>
      </c>
    </row>
    <row r="56" spans="1:45" ht="15" customHeight="1" hidden="1" outlineLevel="1">
      <c r="A56" s="234" t="s">
        <v>206</v>
      </c>
      <c r="B56" s="7">
        <v>900000000</v>
      </c>
      <c r="C56" s="34">
        <v>-154458505</v>
      </c>
      <c r="D56" s="236">
        <f>-15000000-10326493</f>
        <v>-25326493</v>
      </c>
      <c r="E56" s="34"/>
      <c r="F56" s="34">
        <f>15000000+136057657</f>
        <v>151057657</v>
      </c>
      <c r="G56" s="34"/>
      <c r="H56" s="636"/>
      <c r="I56" s="7">
        <f t="shared" si="27"/>
        <v>871272659</v>
      </c>
      <c r="J56" s="7">
        <v>50000000</v>
      </c>
      <c r="K56" s="7"/>
      <c r="L56" s="7">
        <v>-1657495</v>
      </c>
      <c r="M56" s="7">
        <f t="shared" si="48"/>
        <v>48342505</v>
      </c>
      <c r="N56" s="7">
        <v>250000000</v>
      </c>
      <c r="O56" s="34"/>
      <c r="P56" s="7">
        <f t="shared" si="49"/>
        <v>-3153151</v>
      </c>
      <c r="Q56" s="7">
        <f t="shared" si="50"/>
        <v>246846849</v>
      </c>
      <c r="R56" s="7">
        <f>295510761+18564302+7500000</f>
        <v>321575063</v>
      </c>
      <c r="S56" s="7"/>
      <c r="T56" s="7"/>
      <c r="U56" s="7">
        <f t="shared" si="28"/>
        <v>-1665773</v>
      </c>
      <c r="V56" s="7">
        <f t="shared" si="51"/>
        <v>319909290</v>
      </c>
      <c r="W56" s="7">
        <v>256174015</v>
      </c>
      <c r="X56" s="34"/>
      <c r="Y56" s="7"/>
      <c r="Z56" s="7"/>
      <c r="AA56" s="7">
        <f t="shared" si="45"/>
        <v>256174015</v>
      </c>
      <c r="AB56" s="7">
        <f t="shared" si="52"/>
        <v>871272659</v>
      </c>
      <c r="AC56" s="414">
        <f>+'[4]MER ENE-MAR-11'!$G$380</f>
        <v>48342505</v>
      </c>
      <c r="AD56" s="414">
        <f>+'[4]MER ABR-JUN-11'!$G$485</f>
        <v>246846849</v>
      </c>
      <c r="AE56" s="414">
        <f>+'[4]MER JUL-SEP-11'!$G$420</f>
        <v>319909290</v>
      </c>
      <c r="AF56" s="414">
        <f>+'[4]MER OCT-DIC-11'!$G$451</f>
        <v>203837511</v>
      </c>
      <c r="AG56" s="414">
        <f t="shared" si="53"/>
        <v>818936155</v>
      </c>
      <c r="AH56" s="7">
        <f t="shared" si="54"/>
        <v>0</v>
      </c>
      <c r="AI56" s="7">
        <f t="shared" si="29"/>
        <v>0</v>
      </c>
      <c r="AJ56" s="7">
        <f t="shared" si="55"/>
        <v>0</v>
      </c>
      <c r="AK56" s="7">
        <f t="shared" si="56"/>
        <v>52336504</v>
      </c>
      <c r="AL56" s="7">
        <f t="shared" si="57"/>
        <v>871272659</v>
      </c>
      <c r="AM56" s="7">
        <f t="shared" si="58"/>
        <v>0</v>
      </c>
      <c r="AN56" s="7">
        <f t="shared" si="59"/>
        <v>52336504</v>
      </c>
      <c r="AO56" s="130">
        <f aca="true" t="shared" si="61" ref="AO56:AO62">+AG56/I56</f>
        <v>0.9399309694165441</v>
      </c>
      <c r="AP56" s="130">
        <f aca="true" t="shared" si="62" ref="AP56:AP62">+AC56/M56</f>
        <v>1</v>
      </c>
      <c r="AQ56" s="130">
        <f aca="true" t="shared" si="63" ref="AQ56:AQ62">+AD56/Q56</f>
        <v>1</v>
      </c>
      <c r="AR56" s="130">
        <f aca="true" t="shared" si="64" ref="AR56:AR62">+AE56/V56</f>
        <v>1</v>
      </c>
      <c r="AS56" s="135">
        <f t="shared" si="60"/>
        <v>0.7956994037822298</v>
      </c>
    </row>
    <row r="57" spans="1:45" ht="15" customHeight="1" hidden="1" outlineLevel="1">
      <c r="A57" s="234" t="s">
        <v>207</v>
      </c>
      <c r="B57" s="7">
        <v>0</v>
      </c>
      <c r="C57" s="34"/>
      <c r="D57" s="34"/>
      <c r="E57" s="34"/>
      <c r="F57" s="34"/>
      <c r="G57" s="34"/>
      <c r="H57" s="636"/>
      <c r="I57" s="7">
        <f t="shared" si="27"/>
        <v>0</v>
      </c>
      <c r="J57" s="7">
        <v>0</v>
      </c>
      <c r="K57" s="7"/>
      <c r="L57" s="7">
        <v>0</v>
      </c>
      <c r="M57" s="7">
        <f t="shared" si="48"/>
        <v>0</v>
      </c>
      <c r="N57" s="7"/>
      <c r="O57" s="34"/>
      <c r="P57" s="7">
        <f t="shared" si="49"/>
        <v>0</v>
      </c>
      <c r="Q57" s="7">
        <f t="shared" si="50"/>
        <v>0</v>
      </c>
      <c r="R57" s="7">
        <v>0</v>
      </c>
      <c r="S57" s="7"/>
      <c r="T57" s="7"/>
      <c r="U57" s="7">
        <f t="shared" si="28"/>
        <v>0</v>
      </c>
      <c r="V57" s="7">
        <f t="shared" si="51"/>
        <v>0</v>
      </c>
      <c r="W57" s="7">
        <v>0</v>
      </c>
      <c r="X57" s="34"/>
      <c r="Y57" s="7"/>
      <c r="Z57" s="7"/>
      <c r="AA57" s="7">
        <f t="shared" si="45"/>
        <v>0</v>
      </c>
      <c r="AB57" s="7">
        <f t="shared" si="52"/>
        <v>0</v>
      </c>
      <c r="AC57" s="414">
        <f>+'[4]MER ENE-MAR-11'!$G$392</f>
        <v>0</v>
      </c>
      <c r="AD57" s="414">
        <f>+'[4]MER ABR-JUN-11'!$G$512</f>
        <v>0</v>
      </c>
      <c r="AE57" s="414">
        <f>+'[4]MER JUL-SEP-11'!$G$447</f>
        <v>0</v>
      </c>
      <c r="AF57" s="414">
        <f>+'[4]MER OCT-DIC-11'!$G$469</f>
        <v>0</v>
      </c>
      <c r="AG57" s="414">
        <f t="shared" si="53"/>
        <v>0</v>
      </c>
      <c r="AH57" s="7">
        <f t="shared" si="54"/>
        <v>0</v>
      </c>
      <c r="AI57" s="7">
        <f t="shared" si="29"/>
        <v>0</v>
      </c>
      <c r="AJ57" s="7">
        <f t="shared" si="55"/>
        <v>0</v>
      </c>
      <c r="AK57" s="7">
        <f t="shared" si="56"/>
        <v>0</v>
      </c>
      <c r="AL57" s="7">
        <f t="shared" si="57"/>
        <v>0</v>
      </c>
      <c r="AM57" s="7">
        <f t="shared" si="58"/>
        <v>0</v>
      </c>
      <c r="AN57" s="7">
        <f t="shared" si="59"/>
        <v>0</v>
      </c>
      <c r="AO57" s="130">
        <v>0</v>
      </c>
      <c r="AP57" s="130">
        <v>0</v>
      </c>
      <c r="AQ57" s="130">
        <v>0</v>
      </c>
      <c r="AR57" s="130">
        <v>0</v>
      </c>
      <c r="AS57" s="135" t="e">
        <f t="shared" si="60"/>
        <v>#DIV/0!</v>
      </c>
    </row>
    <row r="58" spans="1:45" ht="15" customHeight="1" hidden="1" outlineLevel="1">
      <c r="A58" s="234" t="s">
        <v>208</v>
      </c>
      <c r="B58" s="7">
        <v>15000000</v>
      </c>
      <c r="C58" s="34"/>
      <c r="D58" s="34"/>
      <c r="E58" s="34"/>
      <c r="F58" s="34"/>
      <c r="G58" s="34"/>
      <c r="H58" s="636">
        <v>-943932</v>
      </c>
      <c r="I58" s="7">
        <f t="shared" si="27"/>
        <v>14056068</v>
      </c>
      <c r="J58" s="7">
        <v>0</v>
      </c>
      <c r="K58" s="7"/>
      <c r="L58" s="7">
        <v>0</v>
      </c>
      <c r="M58" s="7">
        <f t="shared" si="48"/>
        <v>0</v>
      </c>
      <c r="N58" s="7">
        <f>7500000-7500000</f>
        <v>0</v>
      </c>
      <c r="O58" s="34"/>
      <c r="P58" s="7">
        <f t="shared" si="49"/>
        <v>0</v>
      </c>
      <c r="Q58" s="7">
        <f t="shared" si="50"/>
        <v>0</v>
      </c>
      <c r="R58" s="7">
        <f>7500000-7500000</f>
        <v>0</v>
      </c>
      <c r="S58" s="7"/>
      <c r="T58" s="7"/>
      <c r="U58" s="7">
        <f t="shared" si="28"/>
        <v>0</v>
      </c>
      <c r="V58" s="7">
        <f t="shared" si="51"/>
        <v>0</v>
      </c>
      <c r="W58" s="7">
        <f>15000000-943932</f>
        <v>14056068</v>
      </c>
      <c r="X58" s="34"/>
      <c r="Y58" s="7"/>
      <c r="Z58" s="7"/>
      <c r="AA58" s="7">
        <f t="shared" si="45"/>
        <v>14056068</v>
      </c>
      <c r="AB58" s="7">
        <f t="shared" si="52"/>
        <v>14056068</v>
      </c>
      <c r="AC58" s="414">
        <f>+'[4]MER ENE-MAR-11'!$G$396</f>
        <v>0</v>
      </c>
      <c r="AD58" s="414">
        <f>+'[4]MER ABR-JUN-11'!$G$517</f>
        <v>0</v>
      </c>
      <c r="AE58" s="414">
        <f>+'[4]MER JUL-SEP-11'!$G$450</f>
        <v>0</v>
      </c>
      <c r="AF58" s="414">
        <f>+'[4]MER OCT-DIC-11'!$G$474</f>
        <v>14056068</v>
      </c>
      <c r="AG58" s="414">
        <f t="shared" si="53"/>
        <v>14056068</v>
      </c>
      <c r="AH58" s="7">
        <f t="shared" si="54"/>
        <v>0</v>
      </c>
      <c r="AI58" s="7">
        <f t="shared" si="29"/>
        <v>0</v>
      </c>
      <c r="AJ58" s="7">
        <f t="shared" si="55"/>
        <v>0</v>
      </c>
      <c r="AK58" s="7">
        <f t="shared" si="56"/>
        <v>0</v>
      </c>
      <c r="AL58" s="7">
        <f t="shared" si="57"/>
        <v>14056068</v>
      </c>
      <c r="AM58" s="7">
        <f t="shared" si="58"/>
        <v>0</v>
      </c>
      <c r="AN58" s="7">
        <f t="shared" si="59"/>
        <v>0</v>
      </c>
      <c r="AO58" s="130">
        <f t="shared" si="61"/>
        <v>1</v>
      </c>
      <c r="AP58" s="130">
        <v>0</v>
      </c>
      <c r="AQ58" s="130">
        <v>0</v>
      </c>
      <c r="AR58" s="130">
        <v>0</v>
      </c>
      <c r="AS58" s="135">
        <f t="shared" si="60"/>
        <v>1</v>
      </c>
    </row>
    <row r="59" spans="1:45" ht="15" customHeight="1" hidden="1" outlineLevel="1">
      <c r="A59" s="234" t="s">
        <v>209</v>
      </c>
      <c r="B59" s="7">
        <v>43400000</v>
      </c>
      <c r="C59" s="34"/>
      <c r="D59" s="34"/>
      <c r="E59" s="34"/>
      <c r="F59" s="34"/>
      <c r="G59" s="34"/>
      <c r="H59" s="636">
        <f>1497819+943932</f>
        <v>2441751</v>
      </c>
      <c r="I59" s="7">
        <f t="shared" si="27"/>
        <v>45841751</v>
      </c>
      <c r="J59" s="7">
        <v>18500000</v>
      </c>
      <c r="K59" s="7"/>
      <c r="L59" s="7">
        <v>-12558</v>
      </c>
      <c r="M59" s="7">
        <f t="shared" si="48"/>
        <v>18487442</v>
      </c>
      <c r="N59" s="7">
        <v>9200000</v>
      </c>
      <c r="O59" s="34"/>
      <c r="P59" s="7">
        <f t="shared" si="49"/>
        <v>-1179528</v>
      </c>
      <c r="Q59" s="7">
        <f t="shared" si="50"/>
        <v>8020472</v>
      </c>
      <c r="R59" s="7">
        <v>10000000</v>
      </c>
      <c r="S59" s="7"/>
      <c r="T59" s="7"/>
      <c r="U59" s="7">
        <f t="shared" si="28"/>
        <v>-348800.4000000004</v>
      </c>
      <c r="V59" s="7">
        <f t="shared" si="51"/>
        <v>9651199.6</v>
      </c>
      <c r="W59" s="7">
        <f>7240886.4+1497819+943932</f>
        <v>9682637.4</v>
      </c>
      <c r="X59" s="34"/>
      <c r="Y59" s="7"/>
      <c r="Z59" s="7"/>
      <c r="AA59" s="7">
        <f t="shared" si="45"/>
        <v>9682637.4</v>
      </c>
      <c r="AB59" s="7">
        <f t="shared" si="52"/>
        <v>45841751</v>
      </c>
      <c r="AC59" s="414">
        <f>+'[4]MER ENE-MAR-11'!$G$401</f>
        <v>18487442</v>
      </c>
      <c r="AD59" s="414">
        <f>+'[4]MER ABR-JUN-11'!$G$526</f>
        <v>8020472</v>
      </c>
      <c r="AE59" s="414">
        <f>+'[4]MER JUL-SEP-11'!$G$454</f>
        <v>9651199.6</v>
      </c>
      <c r="AF59" s="414">
        <f>+'[4]MER OCT-DIC-11'!$G$483</f>
        <v>9643998</v>
      </c>
      <c r="AG59" s="414">
        <f t="shared" si="53"/>
        <v>45803111.6</v>
      </c>
      <c r="AH59" s="7">
        <f t="shared" si="54"/>
        <v>0</v>
      </c>
      <c r="AI59" s="7">
        <f t="shared" si="29"/>
        <v>0</v>
      </c>
      <c r="AJ59" s="7">
        <f t="shared" si="55"/>
        <v>0</v>
      </c>
      <c r="AK59" s="7">
        <f t="shared" si="56"/>
        <v>38639.40000000037</v>
      </c>
      <c r="AL59" s="7"/>
      <c r="AM59" s="7">
        <f t="shared" si="58"/>
        <v>0</v>
      </c>
      <c r="AN59" s="7"/>
      <c r="AO59" s="130">
        <f t="shared" si="61"/>
        <v>0.9991571133484844</v>
      </c>
      <c r="AP59" s="130">
        <f t="shared" si="62"/>
        <v>1</v>
      </c>
      <c r="AQ59" s="130">
        <f t="shared" si="63"/>
        <v>1</v>
      </c>
      <c r="AR59" s="130">
        <f t="shared" si="64"/>
        <v>1</v>
      </c>
      <c r="AS59" s="135">
        <f t="shared" si="60"/>
        <v>0.996009413716143</v>
      </c>
    </row>
    <row r="60" spans="1:45" ht="15" customHeight="1" hidden="1" outlineLevel="1">
      <c r="A60" s="234" t="s">
        <v>210</v>
      </c>
      <c r="B60" s="7">
        <v>5000000</v>
      </c>
      <c r="C60" s="34"/>
      <c r="D60" s="34"/>
      <c r="E60" s="34"/>
      <c r="F60" s="34"/>
      <c r="G60" s="34"/>
      <c r="H60" s="636">
        <v>-300000</v>
      </c>
      <c r="I60" s="7">
        <f t="shared" si="27"/>
        <v>4700000</v>
      </c>
      <c r="J60" s="7">
        <v>1000000</v>
      </c>
      <c r="K60" s="7"/>
      <c r="L60" s="7">
        <v>-470000</v>
      </c>
      <c r="M60" s="7">
        <f t="shared" si="48"/>
        <v>530000</v>
      </c>
      <c r="N60" s="7">
        <v>1500000</v>
      </c>
      <c r="O60" s="34"/>
      <c r="P60" s="7">
        <f t="shared" si="49"/>
        <v>-35750</v>
      </c>
      <c r="Q60" s="7">
        <f t="shared" si="50"/>
        <v>1464250</v>
      </c>
      <c r="R60" s="7">
        <v>2000000</v>
      </c>
      <c r="S60" s="7"/>
      <c r="T60" s="7"/>
      <c r="U60" s="7">
        <f t="shared" si="28"/>
        <v>0</v>
      </c>
      <c r="V60" s="7">
        <f t="shared" si="51"/>
        <v>2000000</v>
      </c>
      <c r="W60" s="7">
        <f>1005750-300000</f>
        <v>705750</v>
      </c>
      <c r="X60" s="34"/>
      <c r="Y60" s="7"/>
      <c r="Z60" s="7"/>
      <c r="AA60" s="7">
        <f t="shared" si="45"/>
        <v>705750</v>
      </c>
      <c r="AB60" s="7">
        <f t="shared" si="52"/>
        <v>4700000</v>
      </c>
      <c r="AC60" s="414">
        <f>+'[4]MER ENE-MAR-11'!$G$409</f>
        <v>530000</v>
      </c>
      <c r="AD60" s="414">
        <f>+'[4]MER ABR-JUN-11'!$G$536</f>
        <v>1464250</v>
      </c>
      <c r="AE60" s="414">
        <f>+'[4]MER JUL-SEP-11'!$G$461</f>
        <v>2000000</v>
      </c>
      <c r="AF60" s="414">
        <f>+'[4]MER OCT-DIC-11'!$G$492</f>
        <v>350000</v>
      </c>
      <c r="AG60" s="414">
        <f t="shared" si="53"/>
        <v>4344250</v>
      </c>
      <c r="AH60" s="7">
        <f t="shared" si="54"/>
        <v>0</v>
      </c>
      <c r="AI60" s="7">
        <f t="shared" si="29"/>
        <v>0</v>
      </c>
      <c r="AJ60" s="7">
        <f t="shared" si="55"/>
        <v>0</v>
      </c>
      <c r="AK60" s="7">
        <f t="shared" si="56"/>
        <v>355750</v>
      </c>
      <c r="AL60" s="7"/>
      <c r="AM60" s="7">
        <f t="shared" si="58"/>
        <v>0</v>
      </c>
      <c r="AN60" s="7"/>
      <c r="AO60" s="130">
        <f t="shared" si="61"/>
        <v>0.9243085106382979</v>
      </c>
      <c r="AP60" s="130">
        <f t="shared" si="62"/>
        <v>1</v>
      </c>
      <c r="AQ60" s="130">
        <f t="shared" si="63"/>
        <v>1</v>
      </c>
      <c r="AR60" s="130">
        <f t="shared" si="64"/>
        <v>1</v>
      </c>
      <c r="AS60" s="135">
        <f t="shared" si="60"/>
        <v>0.495926319518243</v>
      </c>
    </row>
    <row r="61" spans="1:45" ht="15" customHeight="1" hidden="1" outlineLevel="1">
      <c r="A61" s="234" t="s">
        <v>211</v>
      </c>
      <c r="B61" s="7">
        <v>15000000</v>
      </c>
      <c r="C61" s="34"/>
      <c r="D61" s="34"/>
      <c r="E61" s="34"/>
      <c r="F61" s="34"/>
      <c r="G61" s="34"/>
      <c r="H61" s="636">
        <v>300000</v>
      </c>
      <c r="I61" s="7">
        <f>SUM(B61:H61)</f>
        <v>15300000</v>
      </c>
      <c r="J61" s="7">
        <v>4350000</v>
      </c>
      <c r="K61" s="7"/>
      <c r="L61" s="7">
        <v>-335936</v>
      </c>
      <c r="M61" s="7">
        <f t="shared" si="48"/>
        <v>4014064</v>
      </c>
      <c r="N61" s="7">
        <v>5000000</v>
      </c>
      <c r="O61" s="34"/>
      <c r="P61" s="7">
        <f t="shared" si="49"/>
        <v>-15637</v>
      </c>
      <c r="Q61" s="7">
        <f t="shared" si="50"/>
        <v>4984363</v>
      </c>
      <c r="R61" s="7">
        <f>4600000</f>
        <v>4600000</v>
      </c>
      <c r="S61" s="7"/>
      <c r="T61" s="7"/>
      <c r="U61" s="7">
        <f t="shared" si="28"/>
        <v>-11112</v>
      </c>
      <c r="V61" s="7">
        <f t="shared" si="51"/>
        <v>4588888</v>
      </c>
      <c r="W61" s="7">
        <f>1412685+300000</f>
        <v>1712685</v>
      </c>
      <c r="X61" s="34"/>
      <c r="Y61" s="7"/>
      <c r="Z61" s="7"/>
      <c r="AA61" s="7">
        <f t="shared" si="45"/>
        <v>1712685</v>
      </c>
      <c r="AB61" s="7">
        <f t="shared" si="52"/>
        <v>15300000</v>
      </c>
      <c r="AC61" s="414">
        <f>+'[4]MER ENE-MAR-11'!$G$415</f>
        <v>4014064</v>
      </c>
      <c r="AD61" s="414">
        <f>+'[4]MER ABR-JUN-11'!$G$548</f>
        <v>4984363</v>
      </c>
      <c r="AE61" s="414">
        <f>+'[4]MER JUL-SEP-11'!$G$468</f>
        <v>4588888</v>
      </c>
      <c r="AF61" s="414">
        <f>+'[4]MER OCT-DIC-11'!$G$500</f>
        <v>1423356</v>
      </c>
      <c r="AG61" s="414">
        <f t="shared" si="53"/>
        <v>15010671</v>
      </c>
      <c r="AH61" s="7">
        <f t="shared" si="54"/>
        <v>0</v>
      </c>
      <c r="AI61" s="7">
        <f t="shared" si="29"/>
        <v>0</v>
      </c>
      <c r="AJ61" s="7">
        <f t="shared" si="55"/>
        <v>0</v>
      </c>
      <c r="AK61" s="7">
        <f t="shared" si="56"/>
        <v>289329</v>
      </c>
      <c r="AL61" s="7"/>
      <c r="AM61" s="7">
        <f t="shared" si="58"/>
        <v>0</v>
      </c>
      <c r="AN61" s="7"/>
      <c r="AO61" s="130">
        <f t="shared" si="61"/>
        <v>0.9810896078431373</v>
      </c>
      <c r="AP61" s="130">
        <f t="shared" si="62"/>
        <v>1</v>
      </c>
      <c r="AQ61" s="130">
        <f t="shared" si="63"/>
        <v>1</v>
      </c>
      <c r="AR61" s="130">
        <f t="shared" si="64"/>
        <v>1</v>
      </c>
      <c r="AS61" s="135">
        <f t="shared" si="60"/>
        <v>0.8310670088194851</v>
      </c>
    </row>
    <row r="62" spans="1:45" ht="15" customHeight="1" hidden="1" outlineLevel="1">
      <c r="A62" s="234" t="s">
        <v>212</v>
      </c>
      <c r="B62" s="7">
        <v>41649200</v>
      </c>
      <c r="C62" s="36"/>
      <c r="D62" s="36"/>
      <c r="E62" s="36"/>
      <c r="F62" s="36"/>
      <c r="G62" s="36"/>
      <c r="H62" s="430"/>
      <c r="I62" s="7">
        <f>SUM(B62:H62)</f>
        <v>41649200</v>
      </c>
      <c r="J62" s="7">
        <f>8329840-2860000</f>
        <v>5469840</v>
      </c>
      <c r="K62" s="7"/>
      <c r="L62" s="7">
        <v>-541274</v>
      </c>
      <c r="M62" s="7">
        <f t="shared" si="48"/>
        <v>4928566</v>
      </c>
      <c r="N62" s="7">
        <v>12494760</v>
      </c>
      <c r="O62" s="36"/>
      <c r="P62" s="7">
        <f t="shared" si="49"/>
        <v>-2103378</v>
      </c>
      <c r="Q62" s="7">
        <f t="shared" si="50"/>
        <v>10391382</v>
      </c>
      <c r="R62" s="7">
        <f>15959680</f>
        <v>15959680</v>
      </c>
      <c r="S62" s="7"/>
      <c r="T62" s="7"/>
      <c r="U62" s="7">
        <f t="shared" si="28"/>
        <v>-4441624</v>
      </c>
      <c r="V62" s="7">
        <f t="shared" si="51"/>
        <v>11518056</v>
      </c>
      <c r="W62" s="7">
        <v>14811196</v>
      </c>
      <c r="X62" s="7"/>
      <c r="Y62" s="7"/>
      <c r="Z62" s="7"/>
      <c r="AA62" s="7">
        <f t="shared" si="45"/>
        <v>14811196</v>
      </c>
      <c r="AB62" s="7">
        <f t="shared" si="52"/>
        <v>41649200</v>
      </c>
      <c r="AC62" s="414">
        <f>+'[4]MER ENE-MAR-11'!$G$423</f>
        <v>4928566</v>
      </c>
      <c r="AD62" s="414">
        <f>+'[4]MER ABR-JUN-11'!$G$559</f>
        <v>10391382</v>
      </c>
      <c r="AE62" s="414">
        <f>+'[4]MER JUL-SEP-11'!$G$486</f>
        <v>11518056</v>
      </c>
      <c r="AF62" s="414">
        <f>+'[4]MER OCT-DIC-11'!$G$514</f>
        <v>12505169</v>
      </c>
      <c r="AG62" s="414">
        <f t="shared" si="53"/>
        <v>39343173</v>
      </c>
      <c r="AH62" s="7">
        <f t="shared" si="54"/>
        <v>0</v>
      </c>
      <c r="AI62" s="7">
        <f t="shared" si="29"/>
        <v>0</v>
      </c>
      <c r="AJ62" s="7">
        <f t="shared" si="55"/>
        <v>0</v>
      </c>
      <c r="AK62" s="7">
        <f t="shared" si="56"/>
        <v>2306027</v>
      </c>
      <c r="AL62" s="7">
        <f t="shared" si="57"/>
        <v>41649200</v>
      </c>
      <c r="AM62" s="7">
        <f t="shared" si="58"/>
        <v>0</v>
      </c>
      <c r="AN62" s="7">
        <f t="shared" si="59"/>
        <v>2306027</v>
      </c>
      <c r="AO62" s="130">
        <f t="shared" si="61"/>
        <v>0.94463214179384</v>
      </c>
      <c r="AP62" s="130">
        <f t="shared" si="62"/>
        <v>1</v>
      </c>
      <c r="AQ62" s="130">
        <f t="shared" si="63"/>
        <v>1</v>
      </c>
      <c r="AR62" s="130">
        <f t="shared" si="64"/>
        <v>1</v>
      </c>
      <c r="AS62" s="135">
        <f t="shared" si="60"/>
        <v>0.8443051459179934</v>
      </c>
    </row>
    <row r="63" spans="1:45" ht="15" customHeight="1" hidden="1" outlineLevel="1">
      <c r="A63" s="234" t="s">
        <v>213</v>
      </c>
      <c r="B63" s="7">
        <v>50000000</v>
      </c>
      <c r="C63" s="34"/>
      <c r="D63" s="34"/>
      <c r="E63" s="34"/>
      <c r="F63" s="34">
        <v>20000000</v>
      </c>
      <c r="G63" s="34"/>
      <c r="H63" s="636"/>
      <c r="I63" s="7">
        <f t="shared" si="27"/>
        <v>70000000</v>
      </c>
      <c r="J63" s="7">
        <v>0</v>
      </c>
      <c r="K63" s="7"/>
      <c r="L63" s="7">
        <v>0</v>
      </c>
      <c r="M63" s="7">
        <f t="shared" si="48"/>
        <v>0</v>
      </c>
      <c r="N63" s="7"/>
      <c r="O63" s="34"/>
      <c r="P63" s="7"/>
      <c r="Q63" s="7">
        <f t="shared" si="50"/>
        <v>0</v>
      </c>
      <c r="R63" s="7">
        <v>0</v>
      </c>
      <c r="S63" s="7"/>
      <c r="T63" s="7"/>
      <c r="U63" s="7">
        <f t="shared" si="28"/>
        <v>0</v>
      </c>
      <c r="V63" s="7">
        <f t="shared" si="51"/>
        <v>0</v>
      </c>
      <c r="W63" s="7">
        <v>70000000</v>
      </c>
      <c r="X63" s="7"/>
      <c r="Y63" s="7"/>
      <c r="Z63" s="7"/>
      <c r="AA63" s="7">
        <f t="shared" si="45"/>
        <v>70000000</v>
      </c>
      <c r="AB63" s="7">
        <f t="shared" si="52"/>
        <v>70000000</v>
      </c>
      <c r="AC63" s="414">
        <f>+'[4]MER ENE-MAR-11'!$G$433</f>
        <v>0</v>
      </c>
      <c r="AD63" s="414">
        <f>+'[4]MER ABR-JUN-11'!$G$574</f>
        <v>0</v>
      </c>
      <c r="AE63" s="414">
        <f>+'[4]MER JUL-SEP-11'!$G$499</f>
        <v>0</v>
      </c>
      <c r="AF63" s="414">
        <f>+'[4]MER OCT-DIC-11'!$G$531</f>
        <v>69998856</v>
      </c>
      <c r="AG63" s="414">
        <f t="shared" si="53"/>
        <v>69998856</v>
      </c>
      <c r="AH63" s="7">
        <f t="shared" si="54"/>
        <v>0</v>
      </c>
      <c r="AI63" s="7">
        <f t="shared" si="29"/>
        <v>0</v>
      </c>
      <c r="AJ63" s="7">
        <f t="shared" si="55"/>
        <v>0</v>
      </c>
      <c r="AK63" s="7">
        <f t="shared" si="56"/>
        <v>1144</v>
      </c>
      <c r="AL63" s="7">
        <f t="shared" si="57"/>
        <v>70000000</v>
      </c>
      <c r="AM63" s="7">
        <f t="shared" si="58"/>
        <v>0</v>
      </c>
      <c r="AN63" s="7">
        <f t="shared" si="59"/>
        <v>1144</v>
      </c>
      <c r="AO63" s="130">
        <f t="shared" si="47"/>
        <v>0.9999836571428572</v>
      </c>
      <c r="AP63" s="130">
        <v>0</v>
      </c>
      <c r="AQ63" s="130">
        <v>0</v>
      </c>
      <c r="AR63" s="130">
        <v>0</v>
      </c>
      <c r="AS63" s="135">
        <f t="shared" si="60"/>
        <v>0.9999836571428572</v>
      </c>
    </row>
    <row r="64" spans="1:45" ht="15" customHeight="1" collapsed="1">
      <c r="A64" s="118" t="s">
        <v>120</v>
      </c>
      <c r="B64" s="97">
        <f>SUM(B65:B67)</f>
        <v>356139131.3584</v>
      </c>
      <c r="C64" s="97">
        <f>SUM(C65:C67)</f>
        <v>0</v>
      </c>
      <c r="D64" s="97">
        <f>SUM(D65:D67)</f>
        <v>0</v>
      </c>
      <c r="E64" s="97">
        <f>SUM(E65:E67)</f>
        <v>0</v>
      </c>
      <c r="F64" s="97">
        <f>SUM(F65:F67)</f>
        <v>20000000</v>
      </c>
      <c r="G64" s="97"/>
      <c r="H64" s="465">
        <f aca="true" t="shared" si="65" ref="H64:P64">SUM(H65:H67)</f>
        <v>0</v>
      </c>
      <c r="I64" s="97">
        <f t="shared" si="65"/>
        <v>376139131.3584</v>
      </c>
      <c r="J64" s="97">
        <f t="shared" si="65"/>
        <v>16946688</v>
      </c>
      <c r="K64" s="97">
        <f t="shared" si="65"/>
        <v>0</v>
      </c>
      <c r="L64" s="97">
        <f t="shared" si="65"/>
        <v>-607084</v>
      </c>
      <c r="M64" s="36">
        <f t="shared" si="65"/>
        <v>16339604</v>
      </c>
      <c r="N64" s="97">
        <f t="shared" si="65"/>
        <v>274327640</v>
      </c>
      <c r="O64" s="97">
        <f t="shared" si="65"/>
        <v>0</v>
      </c>
      <c r="P64" s="97">
        <f t="shared" si="65"/>
        <v>-209852604</v>
      </c>
      <c r="Q64" s="36">
        <f>+N64+P64</f>
        <v>64475036</v>
      </c>
      <c r="R64" s="97">
        <f>SUM(R65:R67)</f>
        <v>248115550</v>
      </c>
      <c r="S64" s="97">
        <f>SUM(S65:S67)</f>
        <v>0</v>
      </c>
      <c r="T64" s="97"/>
      <c r="U64" s="97">
        <f aca="true" t="shared" si="66" ref="U64:AH64">SUM(U65:U67)</f>
        <v>-10195283</v>
      </c>
      <c r="V64" s="97">
        <f t="shared" si="66"/>
        <v>237920267</v>
      </c>
      <c r="W64" s="97">
        <f t="shared" si="66"/>
        <v>57404224.3584</v>
      </c>
      <c r="X64" s="97">
        <f t="shared" si="66"/>
        <v>0</v>
      </c>
      <c r="Y64" s="97">
        <f t="shared" si="66"/>
        <v>0</v>
      </c>
      <c r="Z64" s="97">
        <f t="shared" si="66"/>
        <v>0</v>
      </c>
      <c r="AA64" s="97">
        <f t="shared" si="66"/>
        <v>57404224.3584</v>
      </c>
      <c r="AB64" s="97">
        <f t="shared" si="66"/>
        <v>376139131.3584</v>
      </c>
      <c r="AC64" s="465">
        <f t="shared" si="66"/>
        <v>16339604</v>
      </c>
      <c r="AD64" s="465">
        <f t="shared" si="66"/>
        <v>64475036</v>
      </c>
      <c r="AE64" s="465">
        <f t="shared" si="66"/>
        <v>237920267</v>
      </c>
      <c r="AF64" s="465">
        <f t="shared" si="66"/>
        <v>54489003</v>
      </c>
      <c r="AG64" s="465">
        <f t="shared" si="66"/>
        <v>373223910</v>
      </c>
      <c r="AH64" s="97">
        <f t="shared" si="66"/>
        <v>0</v>
      </c>
      <c r="AI64" s="7">
        <f t="shared" si="29"/>
        <v>0</v>
      </c>
      <c r="AJ64" s="97">
        <f>SUM(AJ65:AJ67)</f>
        <v>0</v>
      </c>
      <c r="AK64" s="97">
        <f>SUM(AK65:AK67)</f>
        <v>2915221.3583999984</v>
      </c>
      <c r="AL64" s="97">
        <f>SUM(AL65:AL67)</f>
        <v>376139131.3584</v>
      </c>
      <c r="AM64" s="97">
        <f>SUM(AM65:AM67)</f>
        <v>0</v>
      </c>
      <c r="AN64" s="97">
        <f>SUM(AN65:AN67)</f>
        <v>2915221.358400002</v>
      </c>
      <c r="AO64" s="133">
        <f t="shared" si="47"/>
        <v>0.9922496195812653</v>
      </c>
      <c r="AP64" s="130">
        <f>+AC64/M64</f>
        <v>1</v>
      </c>
      <c r="AQ64" s="130">
        <f t="shared" si="25"/>
        <v>1</v>
      </c>
      <c r="AR64" s="133">
        <f>+AE64/V64</f>
        <v>1</v>
      </c>
      <c r="AS64" s="136">
        <f aca="true" t="shared" si="67" ref="AS64:AS73">+AF64/AA64</f>
        <v>0.9492159089164068</v>
      </c>
    </row>
    <row r="65" spans="1:45" ht="15" customHeight="1" hidden="1" outlineLevel="1">
      <c r="A65" s="234" t="s">
        <v>214</v>
      </c>
      <c r="B65" s="7">
        <v>73739131.3584</v>
      </c>
      <c r="C65" s="97"/>
      <c r="D65" s="97"/>
      <c r="E65" s="97"/>
      <c r="F65" s="97"/>
      <c r="G65" s="97"/>
      <c r="H65" s="456">
        <f>4000000+153880</f>
        <v>4153880</v>
      </c>
      <c r="I65" s="7">
        <f>SUM(B65:H65)</f>
        <v>77893011.3584</v>
      </c>
      <c r="J65" s="11">
        <v>12184783</v>
      </c>
      <c r="K65" s="11"/>
      <c r="L65" s="7">
        <v>-607083</v>
      </c>
      <c r="M65" s="7">
        <f>SUM(J65:L65)</f>
        <v>11577700</v>
      </c>
      <c r="N65" s="7">
        <f>22184783+5600000</f>
        <v>27784783</v>
      </c>
      <c r="O65" s="97"/>
      <c r="P65" s="7">
        <f>+AD65-N65-O65</f>
        <v>-12003</v>
      </c>
      <c r="Q65" s="7">
        <f>SUM(N65:P65)</f>
        <v>27772780</v>
      </c>
      <c r="R65" s="11">
        <v>19579710</v>
      </c>
      <c r="S65" s="11"/>
      <c r="T65" s="11"/>
      <c r="U65" s="7">
        <f t="shared" si="28"/>
        <v>-1622802</v>
      </c>
      <c r="V65" s="11">
        <f>+SUM(R65:U65)</f>
        <v>17956908</v>
      </c>
      <c r="W65" s="11">
        <f>20431743.3584+153880</f>
        <v>20585623.3584</v>
      </c>
      <c r="X65" s="11"/>
      <c r="Y65" s="11"/>
      <c r="Z65" s="7"/>
      <c r="AA65" s="11">
        <f>SUM(W65:Z65)</f>
        <v>20585623.3584</v>
      </c>
      <c r="AB65" s="7">
        <f>+M65+Q65+V65+AA65</f>
        <v>77893011.3584</v>
      </c>
      <c r="AC65" s="414">
        <f>+'[4]MER ENE-MAR-11'!$G$440</f>
        <v>11577700</v>
      </c>
      <c r="AD65" s="414">
        <f>+'[4]MER ABR-JUN-11'!$G$581</f>
        <v>27772780</v>
      </c>
      <c r="AE65" s="414">
        <f>+'[4]MER JUL-SEP-11'!$G$504</f>
        <v>17956908</v>
      </c>
      <c r="AF65" s="414">
        <f>+'[4]MER OCT-DIC-11'!$G$572</f>
        <v>20135623</v>
      </c>
      <c r="AG65" s="414">
        <f>SUM(AC65:AF65)</f>
        <v>77443011</v>
      </c>
      <c r="AH65" s="7">
        <f>+M65-AC65</f>
        <v>0</v>
      </c>
      <c r="AI65" s="7">
        <f t="shared" si="29"/>
        <v>0</v>
      </c>
      <c r="AJ65" s="7">
        <f>+V65-AE65</f>
        <v>0</v>
      </c>
      <c r="AK65" s="7">
        <f>+AA65-AF65</f>
        <v>450000.3583999984</v>
      </c>
      <c r="AL65" s="7">
        <f>+AB65</f>
        <v>77893011.3584</v>
      </c>
      <c r="AM65" s="7">
        <f>+I65-AB65</f>
        <v>0</v>
      </c>
      <c r="AN65" s="7">
        <f>+AL65-AG65</f>
        <v>450000.3584000021</v>
      </c>
      <c r="AO65" s="130">
        <f t="shared" si="47"/>
        <v>0.9942228403992565</v>
      </c>
      <c r="AP65" s="130">
        <f>+AC65/M65</f>
        <v>1</v>
      </c>
      <c r="AQ65" s="130">
        <f t="shared" si="25"/>
        <v>1</v>
      </c>
      <c r="AR65" s="130">
        <f>+AE65/V65</f>
        <v>1</v>
      </c>
      <c r="AS65" s="135">
        <f t="shared" si="67"/>
        <v>0.978140066464571</v>
      </c>
    </row>
    <row r="66" spans="1:45" ht="15" customHeight="1" hidden="1" outlineLevel="1">
      <c r="A66" s="234" t="s">
        <v>215</v>
      </c>
      <c r="B66" s="7">
        <v>12400000</v>
      </c>
      <c r="C66" s="99"/>
      <c r="D66" s="99"/>
      <c r="E66" s="99"/>
      <c r="F66" s="99">
        <v>20000000</v>
      </c>
      <c r="G66" s="99"/>
      <c r="H66" s="637">
        <v>-4000000</v>
      </c>
      <c r="I66" s="7">
        <f>SUM(B66:H66)</f>
        <v>28400000</v>
      </c>
      <c r="J66" s="11">
        <v>0</v>
      </c>
      <c r="K66" s="11"/>
      <c r="L66" s="7">
        <v>0</v>
      </c>
      <c r="M66" s="7">
        <f>SUM(J66:L66)</f>
        <v>0</v>
      </c>
      <c r="N66" s="7"/>
      <c r="O66" s="99"/>
      <c r="P66" s="7">
        <f>+AD66-N66-O66</f>
        <v>0</v>
      </c>
      <c r="Q66" s="7">
        <f>SUM(N66:P66)</f>
        <v>0</v>
      </c>
      <c r="R66" s="11">
        <v>0</v>
      </c>
      <c r="S66" s="11"/>
      <c r="T66" s="11"/>
      <c r="U66" s="7">
        <f t="shared" si="28"/>
        <v>0</v>
      </c>
      <c r="V66" s="11">
        <f>+SUM(R66:U66)</f>
        <v>0</v>
      </c>
      <c r="W66" s="11">
        <v>28400000</v>
      </c>
      <c r="X66" s="11"/>
      <c r="Y66" s="11"/>
      <c r="Z66" s="7"/>
      <c r="AA66" s="11">
        <f>SUM(W66:Z66)</f>
        <v>28400000</v>
      </c>
      <c r="AB66" s="7">
        <f>+M66+Q66+V66+AA66</f>
        <v>28400000</v>
      </c>
      <c r="AC66" s="414">
        <f>+'[4]MER ENE-MAR-11'!$G$449</f>
        <v>0</v>
      </c>
      <c r="AD66" s="414">
        <f>+'[4]MER ABR-JUN-11'!$G$595</f>
        <v>0</v>
      </c>
      <c r="AE66" s="414">
        <f>+'[4]MER JUL-SEP-11'!$G$515</f>
        <v>0</v>
      </c>
      <c r="AF66" s="414">
        <f>+'[4]MER OCT-DIC-11'!$G$587</f>
        <v>28400000</v>
      </c>
      <c r="AG66" s="414">
        <f>SUM(AC66:AF66)</f>
        <v>28400000</v>
      </c>
      <c r="AH66" s="7">
        <f>+M66-AC66</f>
        <v>0</v>
      </c>
      <c r="AI66" s="7">
        <f t="shared" si="29"/>
        <v>0</v>
      </c>
      <c r="AJ66" s="7">
        <f>+V66-AE66</f>
        <v>0</v>
      </c>
      <c r="AK66" s="7">
        <f>+AA66-AF66</f>
        <v>0</v>
      </c>
      <c r="AL66" s="7">
        <f>+AB66</f>
        <v>28400000</v>
      </c>
      <c r="AM66" s="7">
        <f>+I66-AB66</f>
        <v>0</v>
      </c>
      <c r="AN66" s="7">
        <f>+AL66-AG66</f>
        <v>0</v>
      </c>
      <c r="AO66" s="130">
        <f t="shared" si="47"/>
        <v>1</v>
      </c>
      <c r="AP66" s="130">
        <v>0</v>
      </c>
      <c r="AQ66" s="130">
        <v>0</v>
      </c>
      <c r="AR66" s="130">
        <v>0</v>
      </c>
      <c r="AS66" s="135">
        <f t="shared" si="67"/>
        <v>1</v>
      </c>
    </row>
    <row r="67" spans="1:45" ht="15" customHeight="1" hidden="1" outlineLevel="1">
      <c r="A67" s="234" t="s">
        <v>216</v>
      </c>
      <c r="B67" s="7">
        <v>270000000</v>
      </c>
      <c r="C67" s="97"/>
      <c r="D67" s="97"/>
      <c r="E67" s="97"/>
      <c r="F67" s="97"/>
      <c r="G67" s="97"/>
      <c r="H67" s="456">
        <v>-153880</v>
      </c>
      <c r="I67" s="7">
        <f>SUM(B67:H67)</f>
        <v>269846120</v>
      </c>
      <c r="J67" s="11">
        <v>4761905</v>
      </c>
      <c r="K67" s="11"/>
      <c r="L67" s="7">
        <v>-1</v>
      </c>
      <c r="M67" s="7">
        <f>SUM(J67:L67)</f>
        <v>4761904</v>
      </c>
      <c r="N67" s="7">
        <f>252142857-5600000</f>
        <v>246542857</v>
      </c>
      <c r="O67" s="97"/>
      <c r="P67" s="7">
        <f>+AD67-N67-O67</f>
        <v>-209840601</v>
      </c>
      <c r="Q67" s="7">
        <f>SUM(N67:P67)</f>
        <v>36702256</v>
      </c>
      <c r="R67" s="11">
        <v>228535840</v>
      </c>
      <c r="S67" s="11"/>
      <c r="T67" s="11"/>
      <c r="U67" s="7">
        <f t="shared" si="28"/>
        <v>-8572481</v>
      </c>
      <c r="V67" s="11">
        <f>+SUM(R67:U67)</f>
        <v>219963359</v>
      </c>
      <c r="W67" s="11">
        <f>8572481-153880</f>
        <v>8418601</v>
      </c>
      <c r="X67" s="11"/>
      <c r="Y67" s="11"/>
      <c r="Z67" s="7"/>
      <c r="AA67" s="11">
        <f>SUM(W67:Z67)</f>
        <v>8418601</v>
      </c>
      <c r="AB67" s="7">
        <f>+M67+Q67+V67+AA67</f>
        <v>269846120</v>
      </c>
      <c r="AC67" s="414">
        <f>+'[4]MER ENE-MAR-11'!$G$455</f>
        <v>4761904</v>
      </c>
      <c r="AD67" s="414">
        <f>+'[4]MER ABR-JUN-11'!$G$600</f>
        <v>36702256</v>
      </c>
      <c r="AE67" s="414">
        <f>+'[4]MER JUL-SEP-11'!$G$519</f>
        <v>219963359</v>
      </c>
      <c r="AF67" s="414">
        <f>+'[4]MER OCT-DIC-11'!$G$593</f>
        <v>5953380</v>
      </c>
      <c r="AG67" s="414">
        <f>SUM(AC67:AF67)</f>
        <v>267380899</v>
      </c>
      <c r="AH67" s="7">
        <f>+M67-AC67</f>
        <v>0</v>
      </c>
      <c r="AI67" s="7">
        <f t="shared" si="29"/>
        <v>0</v>
      </c>
      <c r="AJ67" s="7">
        <f>+V67-AE67</f>
        <v>0</v>
      </c>
      <c r="AK67" s="7">
        <f>+AA67-AF67</f>
        <v>2465221</v>
      </c>
      <c r="AL67" s="7">
        <f>+AB67</f>
        <v>269846120</v>
      </c>
      <c r="AM67" s="7">
        <f>+I67-AB67</f>
        <v>0</v>
      </c>
      <c r="AN67" s="7">
        <f>+AL67-AG67</f>
        <v>2465221</v>
      </c>
      <c r="AO67" s="130">
        <f t="shared" si="47"/>
        <v>0.9908643452053341</v>
      </c>
      <c r="AP67" s="130">
        <f>+AC67/M67</f>
        <v>1</v>
      </c>
      <c r="AQ67" s="130">
        <f t="shared" si="25"/>
        <v>1</v>
      </c>
      <c r="AR67" s="130">
        <v>0</v>
      </c>
      <c r="AS67" s="135">
        <f t="shared" si="67"/>
        <v>0.7071697542145067</v>
      </c>
    </row>
    <row r="68" spans="1:45" ht="15" customHeight="1" collapsed="1">
      <c r="A68" s="118" t="s">
        <v>154</v>
      </c>
      <c r="B68" s="97">
        <f>+B69</f>
        <v>95728000</v>
      </c>
      <c r="C68" s="97">
        <f aca="true" t="shared" si="68" ref="C68:AM70">+C69</f>
        <v>0</v>
      </c>
      <c r="D68" s="97">
        <f t="shared" si="68"/>
        <v>0</v>
      </c>
      <c r="E68" s="97">
        <f t="shared" si="68"/>
        <v>0</v>
      </c>
      <c r="F68" s="97">
        <f t="shared" si="68"/>
        <v>20000000</v>
      </c>
      <c r="G68" s="97"/>
      <c r="H68" s="465">
        <f t="shared" si="68"/>
        <v>0</v>
      </c>
      <c r="I68" s="97">
        <f t="shared" si="68"/>
        <v>115728000</v>
      </c>
      <c r="J68" s="97">
        <f t="shared" si="68"/>
        <v>11653143</v>
      </c>
      <c r="K68" s="97">
        <f t="shared" si="68"/>
        <v>0</v>
      </c>
      <c r="L68" s="97">
        <f t="shared" si="68"/>
        <v>-180791</v>
      </c>
      <c r="M68" s="36">
        <f>SUM(M69)</f>
        <v>11472352</v>
      </c>
      <c r="N68" s="97">
        <f>+N69</f>
        <v>43415714</v>
      </c>
      <c r="O68" s="97">
        <f>+O69</f>
        <v>0</v>
      </c>
      <c r="P68" s="97">
        <f>+P69</f>
        <v>-1470166</v>
      </c>
      <c r="Q68" s="36">
        <f>+N68+P68</f>
        <v>41945548</v>
      </c>
      <c r="R68" s="97">
        <f t="shared" si="68"/>
        <v>40839934</v>
      </c>
      <c r="S68" s="97">
        <f t="shared" si="68"/>
        <v>0</v>
      </c>
      <c r="T68" s="97"/>
      <c r="U68" s="97">
        <f t="shared" si="68"/>
        <v>-3617878.799999997</v>
      </c>
      <c r="V68" s="97">
        <f t="shared" si="68"/>
        <v>37222055.2</v>
      </c>
      <c r="W68" s="97">
        <f t="shared" si="68"/>
        <v>25088044.799999997</v>
      </c>
      <c r="X68" s="97">
        <f t="shared" si="68"/>
        <v>0</v>
      </c>
      <c r="Y68" s="97">
        <f t="shared" si="68"/>
        <v>0</v>
      </c>
      <c r="Z68" s="97">
        <f t="shared" si="68"/>
        <v>0</v>
      </c>
      <c r="AA68" s="97">
        <f t="shared" si="68"/>
        <v>25088044.799999997</v>
      </c>
      <c r="AB68" s="97">
        <f t="shared" si="68"/>
        <v>115728000</v>
      </c>
      <c r="AC68" s="465">
        <f t="shared" si="68"/>
        <v>11472352</v>
      </c>
      <c r="AD68" s="465">
        <f t="shared" si="68"/>
        <v>41945548</v>
      </c>
      <c r="AE68" s="465">
        <f t="shared" si="68"/>
        <v>37222055.2</v>
      </c>
      <c r="AF68" s="465">
        <f t="shared" si="68"/>
        <v>21977289</v>
      </c>
      <c r="AG68" s="465">
        <f>+AG69</f>
        <v>112617244.2</v>
      </c>
      <c r="AH68" s="97">
        <f t="shared" si="68"/>
        <v>0</v>
      </c>
      <c r="AI68" s="7">
        <f t="shared" si="29"/>
        <v>0</v>
      </c>
      <c r="AJ68" s="97">
        <f t="shared" si="68"/>
        <v>0</v>
      </c>
      <c r="AK68" s="97">
        <f>+AK69</f>
        <v>3110755.799999997</v>
      </c>
      <c r="AL68" s="97">
        <f t="shared" si="68"/>
        <v>115728000</v>
      </c>
      <c r="AM68" s="97">
        <f t="shared" si="68"/>
        <v>0</v>
      </c>
      <c r="AN68" s="97">
        <f>+AN69</f>
        <v>3110755.799999997</v>
      </c>
      <c r="AO68" s="133">
        <f>+AO69</f>
        <v>0.9731201109498134</v>
      </c>
      <c r="AP68" s="130">
        <f>+AC68/M68</f>
        <v>1</v>
      </c>
      <c r="AQ68" s="130">
        <f t="shared" si="25"/>
        <v>1</v>
      </c>
      <c r="AR68" s="133">
        <f>+AR69</f>
        <v>1</v>
      </c>
      <c r="AS68" s="133"/>
    </row>
    <row r="69" spans="1:45" ht="15" customHeight="1" hidden="1" outlineLevel="1">
      <c r="A69" s="234" t="s">
        <v>222</v>
      </c>
      <c r="B69" s="11">
        <v>95728000</v>
      </c>
      <c r="C69" s="11"/>
      <c r="D69" s="11"/>
      <c r="E69" s="11"/>
      <c r="F69" s="11">
        <v>20000000</v>
      </c>
      <c r="G69" s="11"/>
      <c r="H69" s="11"/>
      <c r="I69" s="7">
        <f t="shared" si="27"/>
        <v>115728000</v>
      </c>
      <c r="J69" s="11">
        <v>11653143</v>
      </c>
      <c r="K69" s="11"/>
      <c r="L69" s="7">
        <v>-180791</v>
      </c>
      <c r="M69" s="7">
        <f>SUM(J69:L69)</f>
        <v>11472352</v>
      </c>
      <c r="N69" s="11">
        <v>43415714</v>
      </c>
      <c r="O69" s="11"/>
      <c r="P69" s="7">
        <f>+AD69-N69-O69</f>
        <v>-1470166</v>
      </c>
      <c r="Q69" s="7">
        <f>SUM(N69:P69)</f>
        <v>41945548</v>
      </c>
      <c r="R69" s="376">
        <v>40839934</v>
      </c>
      <c r="S69" s="11"/>
      <c r="T69" s="11"/>
      <c r="U69" s="7">
        <f t="shared" si="28"/>
        <v>-3617878.799999997</v>
      </c>
      <c r="V69" s="11">
        <f>+SUM(R69:U69)</f>
        <v>37222055.2</v>
      </c>
      <c r="W69" s="11">
        <v>25088044.799999997</v>
      </c>
      <c r="X69" s="11"/>
      <c r="Y69" s="11"/>
      <c r="Z69" s="7"/>
      <c r="AA69" s="11">
        <f>+SUM(W69:W69)</f>
        <v>25088044.799999997</v>
      </c>
      <c r="AB69" s="7">
        <f>+M69+Q69+V69+AA69</f>
        <v>115728000</v>
      </c>
      <c r="AC69" s="456">
        <f>+'[4]MER ENE-MAR-11'!$G$463</f>
        <v>11472352</v>
      </c>
      <c r="AD69" s="456">
        <f>+'[4]MER ABR-JUN-11'!$G$614</f>
        <v>41945548</v>
      </c>
      <c r="AE69" s="456">
        <f>+'[4]MER JUL-SEP-11'!$G$608</f>
        <v>37222055.2</v>
      </c>
      <c r="AF69" s="456">
        <f>+'[4]MER OCT-DIC-11'!$G$604</f>
        <v>21977289</v>
      </c>
      <c r="AG69" s="456">
        <f>SUM(AC69:AF69)</f>
        <v>112617244.2</v>
      </c>
      <c r="AH69" s="11">
        <f>+M69-AC69</f>
        <v>0</v>
      </c>
      <c r="AI69" s="7">
        <f t="shared" si="29"/>
        <v>0</v>
      </c>
      <c r="AJ69" s="11">
        <f>+V69-AE69</f>
        <v>0</v>
      </c>
      <c r="AK69" s="11">
        <f>+AA69-AF69</f>
        <v>3110755.799999997</v>
      </c>
      <c r="AL69" s="11">
        <f>+AB69</f>
        <v>115728000</v>
      </c>
      <c r="AM69" s="11">
        <f>+I69-AB69</f>
        <v>0</v>
      </c>
      <c r="AN69" s="11">
        <f>+AL69-AG69</f>
        <v>3110755.799999997</v>
      </c>
      <c r="AO69" s="146">
        <f>+AG69/I69</f>
        <v>0.9731201109498134</v>
      </c>
      <c r="AP69" s="130">
        <f>+AC69/M69</f>
        <v>1</v>
      </c>
      <c r="AQ69" s="130">
        <f t="shared" si="25"/>
        <v>1</v>
      </c>
      <c r="AR69" s="146">
        <f>+AE69/V69</f>
        <v>1</v>
      </c>
      <c r="AS69" s="180">
        <f t="shared" si="67"/>
        <v>0.8760064475012418</v>
      </c>
    </row>
    <row r="70" spans="1:45" ht="15" customHeight="1" collapsed="1">
      <c r="A70" s="118" t="s">
        <v>225</v>
      </c>
      <c r="B70" s="97">
        <f>+B71</f>
        <v>0</v>
      </c>
      <c r="C70" s="97">
        <f t="shared" si="68"/>
        <v>0</v>
      </c>
      <c r="D70" s="97">
        <f t="shared" si="68"/>
        <v>334956438</v>
      </c>
      <c r="E70" s="97">
        <f t="shared" si="68"/>
        <v>0</v>
      </c>
      <c r="F70" s="97">
        <f t="shared" si="68"/>
        <v>-334956438</v>
      </c>
      <c r="G70" s="97"/>
      <c r="H70" s="97">
        <f t="shared" si="68"/>
        <v>0</v>
      </c>
      <c r="I70" s="465">
        <f t="shared" si="68"/>
        <v>0</v>
      </c>
      <c r="J70" s="465">
        <f t="shared" si="68"/>
        <v>0</v>
      </c>
      <c r="K70" s="465">
        <f t="shared" si="68"/>
        <v>0</v>
      </c>
      <c r="L70" s="465">
        <f t="shared" si="68"/>
        <v>0</v>
      </c>
      <c r="M70" s="430">
        <f>+M71</f>
        <v>0</v>
      </c>
      <c r="N70" s="465">
        <f>+N71</f>
        <v>85088400</v>
      </c>
      <c r="O70" s="465">
        <f>+O71</f>
        <v>0</v>
      </c>
      <c r="P70" s="465">
        <f>+P71</f>
        <v>-85088400</v>
      </c>
      <c r="Q70" s="430">
        <f>+N70+P70</f>
        <v>0</v>
      </c>
      <c r="R70" s="465">
        <f t="shared" si="68"/>
        <v>300000</v>
      </c>
      <c r="S70" s="465">
        <f t="shared" si="68"/>
        <v>-300000</v>
      </c>
      <c r="T70" s="465"/>
      <c r="U70" s="465">
        <f t="shared" si="68"/>
        <v>0</v>
      </c>
      <c r="V70" s="465">
        <f t="shared" si="68"/>
        <v>0</v>
      </c>
      <c r="W70" s="465">
        <f t="shared" si="68"/>
        <v>0</v>
      </c>
      <c r="X70" s="465">
        <f t="shared" si="68"/>
        <v>0</v>
      </c>
      <c r="Y70" s="465">
        <f t="shared" si="68"/>
        <v>0</v>
      </c>
      <c r="Z70" s="465">
        <f t="shared" si="68"/>
        <v>0</v>
      </c>
      <c r="AA70" s="465">
        <f t="shared" si="68"/>
        <v>0</v>
      </c>
      <c r="AB70" s="465">
        <f t="shared" si="68"/>
        <v>0</v>
      </c>
      <c r="AC70" s="465">
        <f t="shared" si="68"/>
        <v>0</v>
      </c>
      <c r="AD70" s="465">
        <f t="shared" si="68"/>
        <v>0</v>
      </c>
      <c r="AE70" s="465">
        <f t="shared" si="68"/>
        <v>0</v>
      </c>
      <c r="AF70" s="465">
        <f t="shared" si="68"/>
        <v>0</v>
      </c>
      <c r="AG70" s="465">
        <f>+AG71</f>
        <v>0</v>
      </c>
      <c r="AH70" s="97">
        <f t="shared" si="68"/>
        <v>0</v>
      </c>
      <c r="AI70" s="7">
        <f>+Q70-AD70</f>
        <v>0</v>
      </c>
      <c r="AJ70" s="97">
        <f t="shared" si="68"/>
        <v>0</v>
      </c>
      <c r="AK70" s="97">
        <f t="shared" si="68"/>
        <v>0</v>
      </c>
      <c r="AL70" s="97">
        <f t="shared" si="68"/>
        <v>0</v>
      </c>
      <c r="AM70" s="97">
        <f t="shared" si="68"/>
        <v>0</v>
      </c>
      <c r="AN70" s="97">
        <f>+AN71</f>
        <v>0</v>
      </c>
      <c r="AO70" s="133">
        <f>+AO71</f>
        <v>0</v>
      </c>
      <c r="AP70" s="130">
        <v>0</v>
      </c>
      <c r="AQ70" s="130">
        <v>0</v>
      </c>
      <c r="AR70" s="133">
        <f>+AR71</f>
        <v>0</v>
      </c>
      <c r="AS70" s="133"/>
    </row>
    <row r="71" spans="1:45" ht="15" customHeight="1" hidden="1" outlineLevel="1">
      <c r="A71" s="234" t="s">
        <v>225</v>
      </c>
      <c r="B71" s="11">
        <v>0</v>
      </c>
      <c r="C71" s="11"/>
      <c r="D71" s="11">
        <v>334956438</v>
      </c>
      <c r="E71" s="11"/>
      <c r="F71" s="11">
        <v>-334956438</v>
      </c>
      <c r="G71" s="11"/>
      <c r="H71" s="11"/>
      <c r="I71" s="414">
        <f t="shared" si="27"/>
        <v>0</v>
      </c>
      <c r="J71" s="456"/>
      <c r="K71" s="456"/>
      <c r="L71" s="414">
        <v>0</v>
      </c>
      <c r="M71" s="414">
        <f>SUM(J71:L71)</f>
        <v>0</v>
      </c>
      <c r="N71" s="456">
        <v>85088400</v>
      </c>
      <c r="O71" s="456"/>
      <c r="P71" s="414">
        <f>+AD71-N71-O71</f>
        <v>-85088400</v>
      </c>
      <c r="Q71" s="414">
        <f>SUM(N71:P71)</f>
        <v>0</v>
      </c>
      <c r="R71" s="456">
        <v>300000</v>
      </c>
      <c r="S71" s="456">
        <v>-300000</v>
      </c>
      <c r="T71" s="456"/>
      <c r="U71" s="414">
        <f t="shared" si="28"/>
        <v>0</v>
      </c>
      <c r="V71" s="456">
        <v>0</v>
      </c>
      <c r="W71" s="456"/>
      <c r="X71" s="456"/>
      <c r="Y71" s="456"/>
      <c r="Z71" s="414"/>
      <c r="AA71" s="456">
        <f>+SUM(W71:W71)</f>
        <v>0</v>
      </c>
      <c r="AB71" s="414">
        <f>+M71+Q71+V71+AA71</f>
        <v>0</v>
      </c>
      <c r="AC71" s="456">
        <v>0</v>
      </c>
      <c r="AD71" s="456"/>
      <c r="AE71" s="456">
        <f>+'[4]MER JUL-SEP-11'!$G$664</f>
        <v>0</v>
      </c>
      <c r="AF71" s="456">
        <f>+'[4]MER OCT-DIC-11'!$G$641</f>
        <v>0</v>
      </c>
      <c r="AG71" s="456">
        <f>SUM(AC71:AF71)</f>
        <v>0</v>
      </c>
      <c r="AH71" s="11">
        <f>+M71-AC71</f>
        <v>0</v>
      </c>
      <c r="AI71" s="7">
        <f>+Q71-AD71</f>
        <v>0</v>
      </c>
      <c r="AJ71" s="11">
        <f>+V71-AE71</f>
        <v>0</v>
      </c>
      <c r="AK71" s="11">
        <f>+AA71-AF71</f>
        <v>0</v>
      </c>
      <c r="AL71" s="11">
        <f>+AB71</f>
        <v>0</v>
      </c>
      <c r="AM71" s="11">
        <f>+I71-AB71</f>
        <v>0</v>
      </c>
      <c r="AN71" s="11">
        <f>+AL71-AG71</f>
        <v>0</v>
      </c>
      <c r="AO71" s="146">
        <v>0</v>
      </c>
      <c r="AP71" s="130">
        <v>0</v>
      </c>
      <c r="AQ71" s="130">
        <v>0</v>
      </c>
      <c r="AR71" s="146">
        <v>0</v>
      </c>
      <c r="AS71" s="180" t="e">
        <f>+AF71/AA71</f>
        <v>#DIV/0!</v>
      </c>
    </row>
    <row r="72" spans="1:45" ht="15" customHeight="1" collapsed="1" thickBot="1">
      <c r="A72" s="234"/>
      <c r="B72" s="11"/>
      <c r="C72" s="11"/>
      <c r="D72" s="11"/>
      <c r="E72" s="11"/>
      <c r="F72" s="11"/>
      <c r="G72" s="11"/>
      <c r="H72" s="11"/>
      <c r="I72" s="7"/>
      <c r="J72" s="11"/>
      <c r="K72" s="11"/>
      <c r="L72" s="11"/>
      <c r="M72" s="7"/>
      <c r="N72" s="11"/>
      <c r="O72" s="11"/>
      <c r="P72" s="7"/>
      <c r="Q72" s="7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7"/>
      <c r="AC72" s="11"/>
      <c r="AD72" s="11"/>
      <c r="AE72" s="11"/>
      <c r="AF72" s="11"/>
      <c r="AG72" s="11"/>
      <c r="AH72" s="11"/>
      <c r="AI72" s="7"/>
      <c r="AJ72" s="11"/>
      <c r="AK72" s="11"/>
      <c r="AL72" s="11"/>
      <c r="AM72" s="11"/>
      <c r="AN72" s="11"/>
      <c r="AO72" s="146"/>
      <c r="AP72" s="146"/>
      <c r="AQ72" s="130"/>
      <c r="AR72" s="146"/>
      <c r="AS72" s="180"/>
    </row>
    <row r="73" spans="1:45" ht="15" customHeight="1" thickBot="1">
      <c r="A73" s="50" t="s">
        <v>108</v>
      </c>
      <c r="B73" s="122">
        <f>+B33</f>
        <v>2419905480.5964</v>
      </c>
      <c r="C73" s="122">
        <f aca="true" t="shared" si="69" ref="C73:H73">+C33</f>
        <v>-154458505</v>
      </c>
      <c r="D73" s="122">
        <f t="shared" si="69"/>
        <v>309629945</v>
      </c>
      <c r="E73" s="122">
        <f t="shared" si="69"/>
        <v>0</v>
      </c>
      <c r="F73" s="122">
        <f t="shared" si="69"/>
        <v>-65898781</v>
      </c>
      <c r="G73" s="122"/>
      <c r="H73" s="122">
        <f t="shared" si="69"/>
        <v>0</v>
      </c>
      <c r="I73" s="122">
        <f aca="true" t="shared" si="70" ref="I73:AN73">+I33</f>
        <v>2509178139.5964</v>
      </c>
      <c r="J73" s="122">
        <f t="shared" si="70"/>
        <v>287688037</v>
      </c>
      <c r="K73" s="122">
        <f>+K33</f>
        <v>0</v>
      </c>
      <c r="L73" s="122">
        <f>+L33</f>
        <v>-10091444</v>
      </c>
      <c r="M73" s="122">
        <f t="shared" si="70"/>
        <v>277596593</v>
      </c>
      <c r="N73" s="122">
        <f>+N33</f>
        <v>957324863</v>
      </c>
      <c r="O73" s="122">
        <f>+O33</f>
        <v>0</v>
      </c>
      <c r="P73" s="122">
        <f t="shared" si="70"/>
        <v>-237838150</v>
      </c>
      <c r="Q73" s="122">
        <f>+Q33</f>
        <v>634398313</v>
      </c>
      <c r="R73" s="122">
        <f t="shared" si="70"/>
        <v>885826722</v>
      </c>
      <c r="S73" s="122">
        <f>+S33</f>
        <v>21128573</v>
      </c>
      <c r="T73" s="122"/>
      <c r="U73" s="122">
        <f>+U33</f>
        <v>-57849576.199999996</v>
      </c>
      <c r="V73" s="122">
        <f t="shared" si="70"/>
        <v>849105718.8000001</v>
      </c>
      <c r="W73" s="122">
        <f t="shared" si="70"/>
        <v>743734437.4083999</v>
      </c>
      <c r="X73" s="122">
        <f>+X33</f>
        <v>0</v>
      </c>
      <c r="Y73" s="122">
        <f>+Y33</f>
        <v>0</v>
      </c>
      <c r="Z73" s="122">
        <f>+Z33</f>
        <v>0</v>
      </c>
      <c r="AA73" s="122">
        <f t="shared" si="70"/>
        <v>743734437.4083999</v>
      </c>
      <c r="AB73" s="122">
        <f t="shared" si="70"/>
        <v>2504835062.2084</v>
      </c>
      <c r="AC73" s="122">
        <f t="shared" si="70"/>
        <v>277596593</v>
      </c>
      <c r="AD73" s="122">
        <f t="shared" si="70"/>
        <v>634398313</v>
      </c>
      <c r="AE73" s="122">
        <f t="shared" si="70"/>
        <v>849105718.8000001</v>
      </c>
      <c r="AF73" s="122">
        <f t="shared" si="70"/>
        <v>679948897</v>
      </c>
      <c r="AG73" s="122">
        <f>+AG33</f>
        <v>2441049521.7999997</v>
      </c>
      <c r="AH73" s="122">
        <f t="shared" si="70"/>
        <v>0</v>
      </c>
      <c r="AI73" s="122">
        <f t="shared" si="70"/>
        <v>0</v>
      </c>
      <c r="AJ73" s="122">
        <f t="shared" si="70"/>
        <v>0</v>
      </c>
      <c r="AK73" s="122">
        <f t="shared" si="70"/>
        <v>63785540.408399984</v>
      </c>
      <c r="AL73" s="122">
        <f t="shared" si="70"/>
        <v>2438993311.2084</v>
      </c>
      <c r="AM73" s="122">
        <f t="shared" si="70"/>
        <v>4343077.387999997</v>
      </c>
      <c r="AN73" s="122">
        <f t="shared" si="70"/>
        <v>63101822.00839999</v>
      </c>
      <c r="AO73" s="148">
        <f>+AG73/I73</f>
        <v>0.9728482339610377</v>
      </c>
      <c r="AP73" s="148">
        <f>+AC73/M73</f>
        <v>1</v>
      </c>
      <c r="AQ73" s="148">
        <f>+AD73/Q73</f>
        <v>1</v>
      </c>
      <c r="AR73" s="148">
        <f>+AE73/V73</f>
        <v>1</v>
      </c>
      <c r="AS73" s="148">
        <f t="shared" si="67"/>
        <v>0.9142361342972559</v>
      </c>
    </row>
    <row r="74" spans="1:45" ht="1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1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37"/>
      <c r="AP74" s="137"/>
      <c r="AQ74" s="137"/>
      <c r="AR74" s="137"/>
      <c r="AS74" s="138"/>
    </row>
    <row r="75" spans="1:45" ht="15" customHeight="1" thickBot="1">
      <c r="A75" s="50" t="s">
        <v>109</v>
      </c>
      <c r="B75" s="50">
        <f>+B21+B30+B73</f>
        <v>2722521718.5157</v>
      </c>
      <c r="C75" s="50">
        <f aca="true" t="shared" si="71" ref="C75:J75">+C21+C30+C73</f>
        <v>-154458505</v>
      </c>
      <c r="D75" s="50">
        <f t="shared" si="71"/>
        <v>309629945</v>
      </c>
      <c r="E75" s="50">
        <f t="shared" si="71"/>
        <v>0</v>
      </c>
      <c r="F75" s="50">
        <f t="shared" si="71"/>
        <v>-65898781</v>
      </c>
      <c r="G75" s="50"/>
      <c r="H75" s="50">
        <f t="shared" si="71"/>
        <v>0</v>
      </c>
      <c r="I75" s="50">
        <f t="shared" si="71"/>
        <v>2811794377.5157</v>
      </c>
      <c r="J75" s="50">
        <f t="shared" si="71"/>
        <v>359789426.4675</v>
      </c>
      <c r="K75" s="50">
        <f>+K73+K30+K21</f>
        <v>0</v>
      </c>
      <c r="L75" s="50">
        <f>+L73+L30+L21</f>
        <v>-32816029.4675</v>
      </c>
      <c r="M75" s="50">
        <f aca="true" t="shared" si="72" ref="M75:AN75">+M21+M30+M73</f>
        <v>326973397</v>
      </c>
      <c r="N75" s="50">
        <f t="shared" si="72"/>
        <v>1041996391.6973417</v>
      </c>
      <c r="O75" s="50">
        <f t="shared" si="72"/>
        <v>0</v>
      </c>
      <c r="P75" s="50">
        <f t="shared" si="72"/>
        <v>-241800045.69734165</v>
      </c>
      <c r="Q75" s="50">
        <f t="shared" si="72"/>
        <v>715107946</v>
      </c>
      <c r="R75" s="50">
        <f t="shared" si="72"/>
        <v>960107342.0814799</v>
      </c>
      <c r="S75" s="50">
        <f t="shared" si="72"/>
        <v>21128573</v>
      </c>
      <c r="T75" s="50"/>
      <c r="U75" s="50">
        <f t="shared" si="72"/>
        <v>-58218740.44078</v>
      </c>
      <c r="V75" s="50">
        <f t="shared" si="72"/>
        <v>923017174.2</v>
      </c>
      <c r="W75" s="50">
        <f t="shared" si="72"/>
        <v>842352782.9276999</v>
      </c>
      <c r="X75" s="50">
        <f t="shared" si="72"/>
        <v>0</v>
      </c>
      <c r="Y75" s="50">
        <f t="shared" si="72"/>
        <v>0</v>
      </c>
      <c r="Z75" s="50">
        <f t="shared" si="72"/>
        <v>0</v>
      </c>
      <c r="AA75" s="50">
        <f t="shared" si="72"/>
        <v>842352782.9276999</v>
      </c>
      <c r="AB75" s="50">
        <f t="shared" si="72"/>
        <v>2807451300.1277</v>
      </c>
      <c r="AC75" s="50">
        <f t="shared" si="72"/>
        <v>326973397</v>
      </c>
      <c r="AD75" s="50">
        <f t="shared" si="72"/>
        <v>715107946</v>
      </c>
      <c r="AE75" s="50">
        <f t="shared" si="72"/>
        <v>923017174.2</v>
      </c>
      <c r="AF75" s="50">
        <f>+AF21+AF30+AF73</f>
        <v>752175128</v>
      </c>
      <c r="AG75" s="50">
        <f>+AG21+AG30+AG73</f>
        <v>2717273645.2</v>
      </c>
      <c r="AH75" s="50">
        <f t="shared" si="72"/>
        <v>0</v>
      </c>
      <c r="AI75" s="50">
        <f t="shared" si="72"/>
        <v>0</v>
      </c>
      <c r="AJ75" s="50">
        <f t="shared" si="72"/>
        <v>0</v>
      </c>
      <c r="AK75" s="50">
        <f t="shared" si="72"/>
        <v>90177654.92769998</v>
      </c>
      <c r="AL75" s="50">
        <f t="shared" si="72"/>
        <v>2741609549.1277</v>
      </c>
      <c r="AM75" s="50">
        <f t="shared" si="72"/>
        <v>4343077.387999997</v>
      </c>
      <c r="AN75" s="50">
        <f t="shared" si="72"/>
        <v>89493936.52769999</v>
      </c>
      <c r="AO75" s="148">
        <f>+AG75/I75</f>
        <v>0.9663841947080029</v>
      </c>
      <c r="AP75" s="148">
        <f>+AC75/M75</f>
        <v>1</v>
      </c>
      <c r="AQ75" s="148">
        <f>+AD75/Q75</f>
        <v>1</v>
      </c>
      <c r="AR75" s="148">
        <f>+AE75/V75</f>
        <v>1</v>
      </c>
      <c r="AS75" s="148">
        <f>+AF75/AA75</f>
        <v>0.8929455012729032</v>
      </c>
    </row>
    <row r="76" ht="15"/>
    <row r="77" ht="15">
      <c r="AF77" s="3">
        <f>+AF75-'[4]MER OCT-DIC-11'!$G$6</f>
        <v>0</v>
      </c>
    </row>
    <row r="78" ht="15">
      <c r="I78" s="388"/>
    </row>
    <row r="79" spans="27:29" ht="15">
      <c r="AA79" s="124"/>
      <c r="AB79" s="123"/>
      <c r="AC79" s="125"/>
    </row>
    <row r="80" spans="27:29" ht="15">
      <c r="AA80" s="124"/>
      <c r="AB80" s="125"/>
      <c r="AC80" s="125"/>
    </row>
    <row r="81" spans="27:29" ht="15">
      <c r="AA81" s="124"/>
      <c r="AB81" s="123"/>
      <c r="AC81" s="123"/>
    </row>
    <row r="82" spans="27:29" ht="15">
      <c r="AA82" s="124"/>
      <c r="AB82" s="125"/>
      <c r="AC82" s="125"/>
    </row>
    <row r="83" spans="28:29" ht="15">
      <c r="AB83" s="49"/>
      <c r="AC83" s="49"/>
    </row>
    <row r="99" ht="15"/>
    <row r="100" ht="15"/>
    <row r="101" ht="15"/>
  </sheetData>
  <sheetProtection/>
  <mergeCells count="10">
    <mergeCell ref="A7:A8"/>
    <mergeCell ref="W7:AA7"/>
    <mergeCell ref="J7:M7"/>
    <mergeCell ref="R7:V7"/>
    <mergeCell ref="C7:C8"/>
    <mergeCell ref="N7:Q7"/>
    <mergeCell ref="D7:D8"/>
    <mergeCell ref="E7:E8"/>
    <mergeCell ref="F7:F8"/>
    <mergeCell ref="G7:G8"/>
  </mergeCells>
  <printOptions horizontalCentered="1"/>
  <pageMargins left="0.15748031496062992" right="0.15748031496062992" top="0.4330708661417323" bottom="0.6692913385826772" header="0" footer="0"/>
  <pageSetup fitToWidth="2" horizontalDpi="600" verticalDpi="600" orientation="landscape" scale="77" r:id="rId3"/>
  <colBreaks count="1" manualBreakCount="1">
    <brk id="45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E51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C28" sqref="C28:C29"/>
      <selection pane="topRight" activeCell="C28" sqref="C28:C29"/>
      <selection pane="bottomLeft" activeCell="C28" sqref="C28:C29"/>
      <selection pane="bottomRight" activeCell="C28" sqref="C28:C29"/>
    </sheetView>
  </sheetViews>
  <sheetFormatPr defaultColWidth="11.421875" defaultRowHeight="12.75" outlineLevelCol="2"/>
  <cols>
    <col min="1" max="1" width="29.28125" style="3" customWidth="1"/>
    <col min="2" max="2" width="18.00390625" style="3" bestFit="1" customWidth="1"/>
    <col min="3" max="3" width="20.00390625" style="3" hidden="1" customWidth="1" outlineLevel="1"/>
    <col min="4" max="6" width="17.00390625" style="3" hidden="1" customWidth="1" outlineLevel="1"/>
    <col min="7" max="7" width="20.421875" style="3" hidden="1" customWidth="1" outlineLevel="1"/>
    <col min="8" max="8" width="17.57421875" style="3" bestFit="1" customWidth="1" collapsed="1"/>
    <col min="9" max="9" width="16.57421875" style="3" hidden="1" customWidth="1" outlineLevel="2"/>
    <col min="10" max="11" width="15.00390625" style="3" hidden="1" customWidth="1" outlineLevel="2"/>
    <col min="12" max="12" width="16.8515625" style="3" hidden="1" customWidth="1" outlineLevel="1" collapsed="1"/>
    <col min="13" max="13" width="16.8515625" style="3" hidden="1" customWidth="1" outlineLevel="2"/>
    <col min="14" max="14" width="19.57421875" style="3" hidden="1" customWidth="1" outlineLevel="2"/>
    <col min="15" max="15" width="14.421875" style="3" hidden="1" customWidth="1" outlineLevel="2"/>
    <col min="16" max="16" width="16.57421875" style="3" hidden="1" customWidth="1" outlineLevel="1" collapsed="1"/>
    <col min="17" max="18" width="16.00390625" style="3" hidden="1" customWidth="1" outlineLevel="2"/>
    <col min="19" max="19" width="19.57421875" style="3" hidden="1" customWidth="1" outlineLevel="2"/>
    <col min="20" max="20" width="16.57421875" style="3" hidden="1" customWidth="1" outlineLevel="2"/>
    <col min="21" max="21" width="16.140625" style="3" hidden="1" customWidth="1" outlineLevel="1" collapsed="1"/>
    <col min="22" max="22" width="21.7109375" style="3" hidden="1" customWidth="1" outlineLevel="2"/>
    <col min="23" max="23" width="21.421875" style="3" hidden="1" customWidth="1" outlineLevel="2"/>
    <col min="24" max="24" width="17.57421875" style="3" hidden="1" customWidth="1" outlineLevel="2"/>
    <col min="25" max="25" width="9.140625" style="3" hidden="1" customWidth="1" outlineLevel="2"/>
    <col min="26" max="26" width="14.8515625" style="3" hidden="1" customWidth="1" outlineLevel="1" collapsed="1"/>
    <col min="27" max="27" width="17.7109375" style="3" hidden="1" customWidth="1" collapsed="1"/>
    <col min="28" max="28" width="16.8515625" style="3" customWidth="1" outlineLevel="1"/>
    <col min="29" max="30" width="14.7109375" style="3" customWidth="1" outlineLevel="1"/>
    <col min="31" max="31" width="14.57421875" style="3" customWidth="1" outlineLevel="1"/>
    <col min="32" max="32" width="16.8515625" style="3" customWidth="1"/>
    <col min="33" max="33" width="14.7109375" style="3" hidden="1" customWidth="1" outlineLevel="1"/>
    <col min="34" max="36" width="15.00390625" style="3" hidden="1" customWidth="1" outlineLevel="1"/>
    <col min="37" max="37" width="18.421875" style="3" hidden="1" customWidth="1"/>
    <col min="38" max="38" width="19.28125" style="3" hidden="1" customWidth="1"/>
    <col min="39" max="39" width="15.7109375" style="3" hidden="1" customWidth="1"/>
    <col min="40" max="40" width="16.28125" style="3" customWidth="1"/>
    <col min="41" max="41" width="14.421875" style="3" hidden="1" customWidth="1"/>
    <col min="42" max="42" width="15.421875" style="3" hidden="1" customWidth="1"/>
    <col min="43" max="43" width="14.421875" style="3" hidden="1" customWidth="1"/>
    <col min="44" max="44" width="15.421875" style="66" hidden="1" customWidth="1"/>
    <col min="45" max="83" width="11.421875" style="66" customWidth="1"/>
    <col min="84" max="16384" width="11.421875" style="67" customWidth="1"/>
  </cols>
  <sheetData>
    <row r="1" spans="1:15" ht="16.5">
      <c r="A1" s="707" t="s">
        <v>0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</row>
    <row r="2" spans="1:15" ht="16.5">
      <c r="A2" s="707" t="s">
        <v>133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</row>
    <row r="3" spans="1:15" ht="16.5">
      <c r="A3" s="707" t="s">
        <v>134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</row>
    <row r="4" spans="1:15" ht="16.5">
      <c r="A4" s="707" t="s">
        <v>182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</row>
    <row r="5" spans="1:15" ht="16.5">
      <c r="A5" s="707" t="s">
        <v>423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</row>
    <row r="6" spans="1:8" ht="17.25" thickBot="1">
      <c r="A6" s="2"/>
      <c r="H6" s="75"/>
    </row>
    <row r="7" spans="1:45" s="400" customFormat="1" ht="18" customHeight="1" thickBot="1">
      <c r="A7" s="700" t="s">
        <v>2</v>
      </c>
      <c r="B7" s="549" t="s">
        <v>417</v>
      </c>
      <c r="C7" s="700" t="s">
        <v>232</v>
      </c>
      <c r="D7" s="700" t="s">
        <v>227</v>
      </c>
      <c r="E7" s="700" t="s">
        <v>281</v>
      </c>
      <c r="F7" s="700" t="s">
        <v>286</v>
      </c>
      <c r="G7" s="700" t="s">
        <v>304</v>
      </c>
      <c r="H7" s="412" t="s">
        <v>4</v>
      </c>
      <c r="I7" s="699" t="s">
        <v>124</v>
      </c>
      <c r="J7" s="699"/>
      <c r="K7" s="699"/>
      <c r="L7" s="699"/>
      <c r="M7" s="696" t="s">
        <v>123</v>
      </c>
      <c r="N7" s="697"/>
      <c r="O7" s="697"/>
      <c r="P7" s="698"/>
      <c r="Q7" s="699" t="s">
        <v>129</v>
      </c>
      <c r="R7" s="699"/>
      <c r="S7" s="699"/>
      <c r="T7" s="699"/>
      <c r="U7" s="699"/>
      <c r="V7" s="699" t="s">
        <v>131</v>
      </c>
      <c r="W7" s="699"/>
      <c r="X7" s="699"/>
      <c r="Y7" s="699"/>
      <c r="Z7" s="699"/>
      <c r="AA7" s="412" t="s">
        <v>77</v>
      </c>
      <c r="AB7" s="412" t="s">
        <v>6</v>
      </c>
      <c r="AC7" s="412" t="s">
        <v>6</v>
      </c>
      <c r="AD7" s="412" t="s">
        <v>6</v>
      </c>
      <c r="AE7" s="412" t="s">
        <v>6</v>
      </c>
      <c r="AF7" s="412" t="s">
        <v>7</v>
      </c>
      <c r="AG7" s="412" t="s">
        <v>10</v>
      </c>
      <c r="AH7" s="412" t="s">
        <v>10</v>
      </c>
      <c r="AI7" s="412" t="s">
        <v>10</v>
      </c>
      <c r="AJ7" s="412" t="s">
        <v>10</v>
      </c>
      <c r="AK7" s="412" t="s">
        <v>5</v>
      </c>
      <c r="AL7" s="412" t="s">
        <v>78</v>
      </c>
      <c r="AM7" s="412" t="s">
        <v>79</v>
      </c>
      <c r="AN7" s="412" t="s">
        <v>80</v>
      </c>
      <c r="AO7" s="412" t="s">
        <v>81</v>
      </c>
      <c r="AP7" s="412" t="s">
        <v>81</v>
      </c>
      <c r="AQ7" s="412" t="s">
        <v>81</v>
      </c>
      <c r="AR7" s="412" t="s">
        <v>81</v>
      </c>
      <c r="AS7" s="400" t="s">
        <v>130</v>
      </c>
    </row>
    <row r="8" spans="1:44" s="400" customFormat="1" ht="17.25" thickBot="1">
      <c r="A8" s="701"/>
      <c r="B8" s="413" t="s">
        <v>110</v>
      </c>
      <c r="C8" s="701"/>
      <c r="D8" s="701"/>
      <c r="E8" s="701"/>
      <c r="F8" s="701"/>
      <c r="G8" s="701"/>
      <c r="H8" s="413" t="s">
        <v>11</v>
      </c>
      <c r="I8" s="411" t="s">
        <v>217</v>
      </c>
      <c r="J8" s="411" t="s">
        <v>228</v>
      </c>
      <c r="K8" s="411" t="s">
        <v>223</v>
      </c>
      <c r="L8" s="411" t="s">
        <v>83</v>
      </c>
      <c r="M8" s="413" t="s">
        <v>279</v>
      </c>
      <c r="N8" s="413" t="s">
        <v>283</v>
      </c>
      <c r="O8" s="413" t="s">
        <v>282</v>
      </c>
      <c r="P8" s="413" t="s">
        <v>83</v>
      </c>
      <c r="Q8" s="413" t="s">
        <v>294</v>
      </c>
      <c r="R8" s="413" t="s">
        <v>293</v>
      </c>
      <c r="S8" s="413" t="s">
        <v>301</v>
      </c>
      <c r="T8" s="413" t="s">
        <v>300</v>
      </c>
      <c r="U8" s="413" t="s">
        <v>83</v>
      </c>
      <c r="V8" s="413" t="s">
        <v>296</v>
      </c>
      <c r="W8" s="413" t="s">
        <v>304</v>
      </c>
      <c r="X8" s="413"/>
      <c r="Y8" s="413"/>
      <c r="Z8" s="413" t="s">
        <v>83</v>
      </c>
      <c r="AA8" s="413" t="s">
        <v>5</v>
      </c>
      <c r="AB8" s="413" t="s">
        <v>12</v>
      </c>
      <c r="AC8" s="413" t="s">
        <v>13</v>
      </c>
      <c r="AD8" s="413" t="s">
        <v>14</v>
      </c>
      <c r="AE8" s="413" t="s">
        <v>15</v>
      </c>
      <c r="AF8" s="413" t="s">
        <v>6</v>
      </c>
      <c r="AG8" s="413" t="s">
        <v>12</v>
      </c>
      <c r="AH8" s="413" t="s">
        <v>13</v>
      </c>
      <c r="AI8" s="413" t="s">
        <v>14</v>
      </c>
      <c r="AJ8" s="413" t="s">
        <v>15</v>
      </c>
      <c r="AK8" s="423"/>
      <c r="AL8" s="413" t="s">
        <v>84</v>
      </c>
      <c r="AM8" s="413" t="s">
        <v>111</v>
      </c>
      <c r="AN8" s="413" t="s">
        <v>19</v>
      </c>
      <c r="AO8" s="413" t="s">
        <v>12</v>
      </c>
      <c r="AP8" s="413" t="s">
        <v>13</v>
      </c>
      <c r="AQ8" s="413" t="s">
        <v>14</v>
      </c>
      <c r="AR8" s="413" t="s">
        <v>15</v>
      </c>
    </row>
    <row r="9" spans="1:44" ht="15" customHeight="1">
      <c r="A9" s="167" t="s">
        <v>22</v>
      </c>
      <c r="B9" s="44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44"/>
      <c r="AD9" s="37"/>
      <c r="AE9" s="37"/>
      <c r="AF9" s="37"/>
      <c r="AG9" s="37"/>
      <c r="AH9" s="37"/>
      <c r="AI9" s="37"/>
      <c r="AJ9" s="37"/>
      <c r="AK9" s="44"/>
      <c r="AL9" s="44"/>
      <c r="AM9" s="44"/>
      <c r="AN9" s="55"/>
      <c r="AO9" s="55"/>
      <c r="AP9" s="55"/>
      <c r="AQ9" s="55"/>
      <c r="AR9" s="195"/>
    </row>
    <row r="10" spans="1:44" ht="15" customHeight="1">
      <c r="A10" s="200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126"/>
      <c r="W10" s="126"/>
      <c r="X10" s="126"/>
      <c r="Y10" s="126"/>
      <c r="Z10" s="126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44"/>
      <c r="AL10" s="44"/>
      <c r="AM10" s="44"/>
      <c r="AN10" s="44"/>
      <c r="AO10" s="44"/>
      <c r="AP10" s="44"/>
      <c r="AQ10" s="44"/>
      <c r="AR10" s="196"/>
    </row>
    <row r="11" spans="1:44" ht="15" customHeight="1">
      <c r="A11" s="168" t="s">
        <v>24</v>
      </c>
      <c r="B11" s="7">
        <v>112872038</v>
      </c>
      <c r="C11" s="7"/>
      <c r="D11" s="7"/>
      <c r="E11" s="7"/>
      <c r="F11" s="7"/>
      <c r="G11" s="7"/>
      <c r="H11" s="7">
        <f aca="true" t="shared" si="0" ref="H11:H21">SUM(B11:G11)</f>
        <v>112872038</v>
      </c>
      <c r="I11" s="7">
        <v>27444306.4484</v>
      </c>
      <c r="J11" s="7"/>
      <c r="K11" s="7">
        <v>-1962430.4483999982</v>
      </c>
      <c r="L11" s="7">
        <f>SUM(I11:K11)</f>
        <v>25481876</v>
      </c>
      <c r="M11" s="7">
        <v>28525820.115</v>
      </c>
      <c r="N11" s="7">
        <v>-188481</v>
      </c>
      <c r="O11" s="7">
        <f aca="true" t="shared" si="1" ref="O11:O21">+AC11-M11-N11</f>
        <v>-713535.1149999984</v>
      </c>
      <c r="P11" s="7">
        <f>+SUM(M11:O11)</f>
        <v>27623804</v>
      </c>
      <c r="Q11" s="7">
        <v>28525820.115</v>
      </c>
      <c r="R11" s="7"/>
      <c r="S11" s="7"/>
      <c r="T11" s="7">
        <f aca="true" t="shared" si="2" ref="T11:T21">-Q11-R11-S11+AD11</f>
        <v>-540607.1149999984</v>
      </c>
      <c r="U11" s="7">
        <f>+SUM(Q11:T11)</f>
        <v>27985213</v>
      </c>
      <c r="V11" s="7">
        <v>31781145</v>
      </c>
      <c r="W11" s="7"/>
      <c r="X11" s="7"/>
      <c r="Y11" s="7"/>
      <c r="Z11" s="7">
        <f>+SUM(V11:Y11)</f>
        <v>31781145</v>
      </c>
      <c r="AA11" s="7">
        <f aca="true" t="shared" si="3" ref="AA11:AA21">+L11+P11+U11+Z11</f>
        <v>112872038</v>
      </c>
      <c r="AB11" s="459">
        <f>+'[4]FUN ENE-MAR-11'!$G$9</f>
        <v>25481876</v>
      </c>
      <c r="AC11" s="459">
        <f>+'[4]FUN ABR-JUN-11'!$G$9</f>
        <v>27623804</v>
      </c>
      <c r="AD11" s="459">
        <f>+'[4]FUN JUL-SEP-11'!$G$9</f>
        <v>27985213</v>
      </c>
      <c r="AE11" s="459">
        <f>+'[4]FUN OCT-DIC-11'!$G$9</f>
        <v>25915428</v>
      </c>
      <c r="AF11" s="459">
        <f>SUM(AB11:AE11)</f>
        <v>107006321</v>
      </c>
      <c r="AG11" s="7">
        <f aca="true" t="shared" si="4" ref="AG11:AG21">+L11-AB11</f>
        <v>0</v>
      </c>
      <c r="AH11" s="7">
        <f aca="true" t="shared" si="5" ref="AH11:AH21">+P11-AC11</f>
        <v>0</v>
      </c>
      <c r="AI11" s="7">
        <f aca="true" t="shared" si="6" ref="AI11:AI21">+U11-AD11</f>
        <v>0</v>
      </c>
      <c r="AJ11" s="7">
        <f aca="true" t="shared" si="7" ref="AJ11:AJ21">+Z11-AE11</f>
        <v>5865717</v>
      </c>
      <c r="AK11" s="7">
        <f>+AA11</f>
        <v>112872038</v>
      </c>
      <c r="AL11" s="7">
        <f aca="true" t="shared" si="8" ref="AL11:AL21">+H11-AK11</f>
        <v>0</v>
      </c>
      <c r="AM11" s="7">
        <f aca="true" t="shared" si="9" ref="AM11:AM21">+AK11-AF11</f>
        <v>5865717</v>
      </c>
      <c r="AN11" s="130">
        <f aca="true" t="shared" si="10" ref="AN11:AN22">+AF11/H11</f>
        <v>0.9480321512401504</v>
      </c>
      <c r="AO11" s="130">
        <f>+AB11/L11</f>
        <v>1</v>
      </c>
      <c r="AP11" s="130">
        <f>+AC11/P11</f>
        <v>1</v>
      </c>
      <c r="AQ11" s="130">
        <f>+AD11/U11</f>
        <v>1</v>
      </c>
      <c r="AR11" s="135">
        <f>+AE11/Z11</f>
        <v>0.8154340568912795</v>
      </c>
    </row>
    <row r="12" spans="1:44" ht="15" customHeight="1">
      <c r="A12" s="168" t="s">
        <v>25</v>
      </c>
      <c r="B12" s="7">
        <v>8705207</v>
      </c>
      <c r="C12" s="7"/>
      <c r="D12" s="7"/>
      <c r="E12" s="7"/>
      <c r="F12" s="7"/>
      <c r="G12" s="7"/>
      <c r="H12" s="7">
        <f t="shared" si="0"/>
        <v>8705207</v>
      </c>
      <c r="I12" s="7">
        <v>2083110.29315172</v>
      </c>
      <c r="J12" s="7"/>
      <c r="K12" s="7">
        <v>-144848.29315171996</v>
      </c>
      <c r="L12" s="7">
        <f aca="true" t="shared" si="11" ref="L12:L21">SUM(I12:K12)</f>
        <v>1938262</v>
      </c>
      <c r="M12" s="7">
        <v>2175431.1555795</v>
      </c>
      <c r="N12" s="7">
        <v>66367</v>
      </c>
      <c r="O12" s="7">
        <f t="shared" si="1"/>
        <v>-0.15557949990034103</v>
      </c>
      <c r="P12" s="7">
        <f aca="true" t="shared" si="12" ref="P12:P21">+SUM(M12:O12)</f>
        <v>2241798</v>
      </c>
      <c r="Q12" s="7">
        <v>2175431.1555795</v>
      </c>
      <c r="R12" s="7"/>
      <c r="S12" s="7"/>
      <c r="T12" s="7">
        <f t="shared" si="2"/>
        <v>-15094.1555794999</v>
      </c>
      <c r="U12" s="7">
        <f aca="true" t="shared" si="13" ref="U12:U21">+SUM(Q12:T12)</f>
        <v>2160337</v>
      </c>
      <c r="V12" s="7">
        <v>2364810</v>
      </c>
      <c r="W12" s="7"/>
      <c r="X12" s="7"/>
      <c r="Y12" s="7"/>
      <c r="Z12" s="7">
        <f aca="true" t="shared" si="14" ref="Z12:Z21">+SUM(V12:Y12)</f>
        <v>2364810</v>
      </c>
      <c r="AA12" s="7">
        <f t="shared" si="3"/>
        <v>8705207</v>
      </c>
      <c r="AB12" s="459">
        <f>+'[4]FUN ENE-MAR-11'!$G$22</f>
        <v>1938262</v>
      </c>
      <c r="AC12" s="459">
        <f>+'[4]FUN ABR-JUN-11'!$G$26</f>
        <v>2241798</v>
      </c>
      <c r="AD12" s="459">
        <f>+'[4]FUN JUL-SEP-11'!$G$21</f>
        <v>2160337</v>
      </c>
      <c r="AE12" s="459">
        <f>+'[4]FUN OCT-DIC-11'!$G$28</f>
        <v>2054802</v>
      </c>
      <c r="AF12" s="459">
        <f aca="true" t="shared" si="15" ref="AF12:AF20">SUM(AB12:AE12)</f>
        <v>8395199</v>
      </c>
      <c r="AG12" s="7">
        <f t="shared" si="4"/>
        <v>0</v>
      </c>
      <c r="AH12" s="7">
        <f t="shared" si="5"/>
        <v>0</v>
      </c>
      <c r="AI12" s="7">
        <f t="shared" si="6"/>
        <v>0</v>
      </c>
      <c r="AJ12" s="7">
        <f t="shared" si="7"/>
        <v>310008</v>
      </c>
      <c r="AK12" s="7">
        <f aca="true" t="shared" si="16" ref="AK12:AK20">+AA12</f>
        <v>8705207</v>
      </c>
      <c r="AL12" s="7">
        <f t="shared" si="8"/>
        <v>0</v>
      </c>
      <c r="AM12" s="7">
        <f t="shared" si="9"/>
        <v>310008</v>
      </c>
      <c r="AN12" s="130">
        <f t="shared" si="10"/>
        <v>0.9643882104124577</v>
      </c>
      <c r="AO12" s="130">
        <f>+AB12/L12</f>
        <v>1</v>
      </c>
      <c r="AP12" s="130">
        <f>+AC12/P12</f>
        <v>1</v>
      </c>
      <c r="AQ12" s="130">
        <f aca="true" t="shared" si="17" ref="AQ12:AQ22">+AD12/U12</f>
        <v>1</v>
      </c>
      <c r="AR12" s="135">
        <f aca="true" t="shared" si="18" ref="AR12:AR19">+AE12/Z12</f>
        <v>0.8689078615195301</v>
      </c>
    </row>
    <row r="13" spans="1:44" ht="15" customHeight="1">
      <c r="A13" s="168" t="s">
        <v>26</v>
      </c>
      <c r="B13" s="7">
        <v>1044625</v>
      </c>
      <c r="C13" s="7"/>
      <c r="D13" s="7"/>
      <c r="E13" s="7"/>
      <c r="F13" s="7"/>
      <c r="G13" s="7"/>
      <c r="H13" s="7">
        <f t="shared" si="0"/>
        <v>1044625</v>
      </c>
      <c r="I13" s="7">
        <v>249973.2351782064</v>
      </c>
      <c r="J13" s="7"/>
      <c r="K13" s="7">
        <v>-17382.235178206407</v>
      </c>
      <c r="L13" s="7">
        <f t="shared" si="11"/>
        <v>232591</v>
      </c>
      <c r="M13" s="7">
        <v>261051.73866954</v>
      </c>
      <c r="N13" s="7"/>
      <c r="O13" s="7">
        <f t="shared" si="1"/>
        <v>-251582.73866954</v>
      </c>
      <c r="P13" s="7">
        <f t="shared" si="12"/>
        <v>9469</v>
      </c>
      <c r="Q13" s="7">
        <v>261051.73866954</v>
      </c>
      <c r="R13" s="7"/>
      <c r="S13" s="7">
        <f>-Q13+AD13</f>
        <v>25546.261330459994</v>
      </c>
      <c r="T13" s="7">
        <f t="shared" si="2"/>
        <v>0</v>
      </c>
      <c r="U13" s="7">
        <f t="shared" si="13"/>
        <v>286598</v>
      </c>
      <c r="V13" s="7">
        <v>515967</v>
      </c>
      <c r="W13" s="7"/>
      <c r="X13" s="7"/>
      <c r="Y13" s="7"/>
      <c r="Z13" s="7">
        <f t="shared" si="14"/>
        <v>515967</v>
      </c>
      <c r="AA13" s="7">
        <f t="shared" si="3"/>
        <v>1044625</v>
      </c>
      <c r="AB13" s="459">
        <f>+'[4]FUN ENE-MAR-11'!$G$31</f>
        <v>232591</v>
      </c>
      <c r="AC13" s="459">
        <f>+'[4]FUN ABR-JUN-11'!$G$35</f>
        <v>9469</v>
      </c>
      <c r="AD13" s="459">
        <f>+'[4]FUN JUL-SEP-11'!$G$30</f>
        <v>286598</v>
      </c>
      <c r="AE13" s="459">
        <f>+'[4]FUN OCT-DIC-11'!$G$38</f>
        <v>276003</v>
      </c>
      <c r="AF13" s="459">
        <f t="shared" si="15"/>
        <v>804661</v>
      </c>
      <c r="AG13" s="7">
        <f t="shared" si="4"/>
        <v>0</v>
      </c>
      <c r="AH13" s="7">
        <f t="shared" si="5"/>
        <v>0</v>
      </c>
      <c r="AI13" s="7">
        <f t="shared" si="6"/>
        <v>0</v>
      </c>
      <c r="AJ13" s="7">
        <f t="shared" si="7"/>
        <v>239964</v>
      </c>
      <c r="AK13" s="7">
        <f t="shared" si="16"/>
        <v>1044625</v>
      </c>
      <c r="AL13" s="7">
        <f t="shared" si="8"/>
        <v>0</v>
      </c>
      <c r="AM13" s="7">
        <f t="shared" si="9"/>
        <v>239964</v>
      </c>
      <c r="AN13" s="130">
        <f t="shared" si="10"/>
        <v>0.7702869450759842</v>
      </c>
      <c r="AO13" s="130">
        <f>+AB13/L13</f>
        <v>1</v>
      </c>
      <c r="AP13" s="130">
        <f>+AC13/P13</f>
        <v>1</v>
      </c>
      <c r="AQ13" s="130">
        <f t="shared" si="17"/>
        <v>1</v>
      </c>
      <c r="AR13" s="135">
        <f t="shared" si="18"/>
        <v>0.5349237451232346</v>
      </c>
    </row>
    <row r="14" spans="1:44" ht="15" customHeight="1">
      <c r="A14" s="168" t="s">
        <v>27</v>
      </c>
      <c r="B14" s="7">
        <v>8705207</v>
      </c>
      <c r="C14" s="7"/>
      <c r="D14" s="7"/>
      <c r="E14" s="7"/>
      <c r="F14" s="7"/>
      <c r="G14" s="7"/>
      <c r="H14" s="7">
        <f t="shared" si="0"/>
        <v>8705207</v>
      </c>
      <c r="I14" s="7">
        <v>2083110.29315172</v>
      </c>
      <c r="J14" s="7"/>
      <c r="K14" s="7">
        <v>-144848.29315171996</v>
      </c>
      <c r="L14" s="7">
        <f t="shared" si="11"/>
        <v>1938262</v>
      </c>
      <c r="M14" s="7">
        <v>2175431.1555795</v>
      </c>
      <c r="N14" s="7">
        <v>66367</v>
      </c>
      <c r="O14" s="7">
        <f t="shared" si="1"/>
        <v>-0.15557949990034103</v>
      </c>
      <c r="P14" s="7">
        <f t="shared" si="12"/>
        <v>2241798</v>
      </c>
      <c r="Q14" s="7">
        <v>2175431.1555795</v>
      </c>
      <c r="R14" s="7"/>
      <c r="S14" s="7"/>
      <c r="T14" s="7">
        <f t="shared" si="2"/>
        <v>-15094.1555794999</v>
      </c>
      <c r="U14" s="7">
        <f t="shared" si="13"/>
        <v>2160337</v>
      </c>
      <c r="V14" s="7">
        <v>2364810</v>
      </c>
      <c r="W14" s="7"/>
      <c r="X14" s="7"/>
      <c r="Y14" s="7"/>
      <c r="Z14" s="7">
        <f t="shared" si="14"/>
        <v>2364810</v>
      </c>
      <c r="AA14" s="7">
        <f t="shared" si="3"/>
        <v>8705207</v>
      </c>
      <c r="AB14" s="459">
        <f>+'[4]FUN ENE-MAR-11'!$G$40</f>
        <v>1938262</v>
      </c>
      <c r="AC14" s="459">
        <f>+'[4]FUN ABR-JUN-11'!$G$44</f>
        <v>2241798</v>
      </c>
      <c r="AD14" s="459">
        <f>+'[4]FUN JUL-SEP-11'!$G$37</f>
        <v>2160337</v>
      </c>
      <c r="AE14" s="459">
        <f>+'[4]FUN OCT-DIC-11'!$G$47</f>
        <v>2054802</v>
      </c>
      <c r="AF14" s="459">
        <f t="shared" si="15"/>
        <v>8395199</v>
      </c>
      <c r="AG14" s="7">
        <f t="shared" si="4"/>
        <v>0</v>
      </c>
      <c r="AH14" s="7">
        <f t="shared" si="5"/>
        <v>0</v>
      </c>
      <c r="AI14" s="7">
        <f t="shared" si="6"/>
        <v>0</v>
      </c>
      <c r="AJ14" s="7">
        <f t="shared" si="7"/>
        <v>310008</v>
      </c>
      <c r="AK14" s="7">
        <f t="shared" si="16"/>
        <v>8705207</v>
      </c>
      <c r="AL14" s="7">
        <f t="shared" si="8"/>
        <v>0</v>
      </c>
      <c r="AM14" s="7">
        <f t="shared" si="9"/>
        <v>310008</v>
      </c>
      <c r="AN14" s="130">
        <f t="shared" si="10"/>
        <v>0.9643882104124577</v>
      </c>
      <c r="AO14" s="130">
        <f>+AB14/L14</f>
        <v>1</v>
      </c>
      <c r="AP14" s="130">
        <f>+AC14/P14</f>
        <v>1</v>
      </c>
      <c r="AQ14" s="130">
        <f t="shared" si="17"/>
        <v>1</v>
      </c>
      <c r="AR14" s="135">
        <f t="shared" si="18"/>
        <v>0.8689078615195301</v>
      </c>
    </row>
    <row r="15" spans="1:44" ht="15" customHeight="1">
      <c r="A15" s="168" t="s">
        <v>28</v>
      </c>
      <c r="B15" s="7">
        <v>4352603</v>
      </c>
      <c r="C15" s="7"/>
      <c r="D15" s="7"/>
      <c r="E15" s="7"/>
      <c r="F15" s="7"/>
      <c r="G15" s="7"/>
      <c r="H15" s="7">
        <f t="shared" si="0"/>
        <v>4352603</v>
      </c>
      <c r="I15" s="7">
        <v>1065152.2787955</v>
      </c>
      <c r="J15" s="7"/>
      <c r="K15" s="7">
        <v>-96022.27879550005</v>
      </c>
      <c r="L15" s="7">
        <f t="shared" si="11"/>
        <v>969130</v>
      </c>
      <c r="M15" s="7">
        <v>1065152.2787955</v>
      </c>
      <c r="N15" s="7">
        <v>55747</v>
      </c>
      <c r="O15" s="7">
        <f t="shared" si="1"/>
        <v>-0.27879550005309284</v>
      </c>
      <c r="P15" s="7">
        <f t="shared" si="12"/>
        <v>1120899</v>
      </c>
      <c r="Q15" s="7">
        <v>1065152.2787955</v>
      </c>
      <c r="R15" s="7"/>
      <c r="S15" s="7">
        <v>-25546</v>
      </c>
      <c r="T15" s="7">
        <f t="shared" si="2"/>
        <v>-30368.278795500053</v>
      </c>
      <c r="U15" s="7">
        <f t="shared" si="13"/>
        <v>1009238</v>
      </c>
      <c r="V15" s="7">
        <v>1253336</v>
      </c>
      <c r="W15" s="7"/>
      <c r="X15" s="7"/>
      <c r="Y15" s="7"/>
      <c r="Z15" s="7">
        <f t="shared" si="14"/>
        <v>1253336</v>
      </c>
      <c r="AA15" s="7">
        <f t="shared" si="3"/>
        <v>4352603</v>
      </c>
      <c r="AB15" s="459">
        <f>+'[4]FUN ENE-MAR-11'!$G$49</f>
        <v>969130</v>
      </c>
      <c r="AC15" s="459">
        <f>+'[4]FUN ABR-JUN-11'!$G$53</f>
        <v>1120899</v>
      </c>
      <c r="AD15" s="459">
        <f>+'[4]FUN JUL-SEP-11'!$G$46</f>
        <v>1009238</v>
      </c>
      <c r="AE15" s="459">
        <f>+'[4]FUN OCT-DIC-11'!$G$57</f>
        <v>1047107</v>
      </c>
      <c r="AF15" s="459">
        <f t="shared" si="15"/>
        <v>4146374</v>
      </c>
      <c r="AG15" s="7">
        <f t="shared" si="4"/>
        <v>0</v>
      </c>
      <c r="AH15" s="7">
        <f t="shared" si="5"/>
        <v>0</v>
      </c>
      <c r="AI15" s="7">
        <f t="shared" si="6"/>
        <v>0</v>
      </c>
      <c r="AJ15" s="7">
        <f t="shared" si="7"/>
        <v>206229</v>
      </c>
      <c r="AK15" s="7">
        <f t="shared" si="16"/>
        <v>4352603</v>
      </c>
      <c r="AL15" s="7">
        <f t="shared" si="8"/>
        <v>0</v>
      </c>
      <c r="AM15" s="7">
        <f t="shared" si="9"/>
        <v>206229</v>
      </c>
      <c r="AN15" s="130">
        <f t="shared" si="10"/>
        <v>0.9526193866061297</v>
      </c>
      <c r="AO15" s="130">
        <f>+AB15/L15</f>
        <v>1</v>
      </c>
      <c r="AP15" s="130">
        <f>+AC15/P15</f>
        <v>1</v>
      </c>
      <c r="AQ15" s="130">
        <f t="shared" si="17"/>
        <v>1</v>
      </c>
      <c r="AR15" s="135">
        <f t="shared" si="18"/>
        <v>0.8354559352001378</v>
      </c>
    </row>
    <row r="16" spans="1:44" ht="15" customHeight="1">
      <c r="A16" s="168" t="s">
        <v>29</v>
      </c>
      <c r="B16" s="7">
        <v>20000000</v>
      </c>
      <c r="C16" s="7"/>
      <c r="D16" s="7"/>
      <c r="E16" s="7"/>
      <c r="F16" s="7"/>
      <c r="G16" s="7"/>
      <c r="H16" s="7">
        <f t="shared" si="0"/>
        <v>20000000</v>
      </c>
      <c r="I16" s="7">
        <v>0</v>
      </c>
      <c r="J16" s="7"/>
      <c r="K16" s="7">
        <v>0</v>
      </c>
      <c r="L16" s="7">
        <f t="shared" si="11"/>
        <v>0</v>
      </c>
      <c r="M16" s="7">
        <v>20000000</v>
      </c>
      <c r="N16" s="7"/>
      <c r="O16" s="7">
        <f t="shared" si="1"/>
        <v>-6647115</v>
      </c>
      <c r="P16" s="7">
        <f t="shared" si="12"/>
        <v>13352885</v>
      </c>
      <c r="Q16" s="7"/>
      <c r="R16" s="7"/>
      <c r="S16" s="7"/>
      <c r="T16" s="7">
        <f t="shared" si="2"/>
        <v>0</v>
      </c>
      <c r="U16" s="7">
        <f t="shared" si="13"/>
        <v>0</v>
      </c>
      <c r="V16" s="7">
        <v>6647115</v>
      </c>
      <c r="W16" s="7"/>
      <c r="X16" s="7"/>
      <c r="Y16" s="7"/>
      <c r="Z16" s="7">
        <f t="shared" si="14"/>
        <v>6647115</v>
      </c>
      <c r="AA16" s="7">
        <f t="shared" si="3"/>
        <v>20000000</v>
      </c>
      <c r="AB16" s="459">
        <f>+'[4]FUN ENE-MAR-11'!$G$56</f>
        <v>0</v>
      </c>
      <c r="AC16" s="459">
        <f>+'[4]FUN ABR-JUN-11'!$G$61</f>
        <v>13352885</v>
      </c>
      <c r="AD16" s="459">
        <f>+'[4]FUN JUL-SEP-11'!$G$53</f>
        <v>0</v>
      </c>
      <c r="AE16" s="459">
        <f>+'[4]FUN OCT-DIC-11'!$G$64</f>
        <v>3853001</v>
      </c>
      <c r="AF16" s="459">
        <f>SUM(AB16:AE16)</f>
        <v>17205886</v>
      </c>
      <c r="AG16" s="7">
        <f t="shared" si="4"/>
        <v>0</v>
      </c>
      <c r="AH16" s="7">
        <f t="shared" si="5"/>
        <v>0</v>
      </c>
      <c r="AI16" s="7">
        <f t="shared" si="6"/>
        <v>0</v>
      </c>
      <c r="AJ16" s="7">
        <f t="shared" si="7"/>
        <v>2794114</v>
      </c>
      <c r="AK16" s="7">
        <f t="shared" si="16"/>
        <v>20000000</v>
      </c>
      <c r="AL16" s="7">
        <f t="shared" si="8"/>
        <v>0</v>
      </c>
      <c r="AM16" s="7">
        <f t="shared" si="9"/>
        <v>2794114</v>
      </c>
      <c r="AN16" s="130">
        <f t="shared" si="10"/>
        <v>0.8602943</v>
      </c>
      <c r="AO16" s="130">
        <v>0</v>
      </c>
      <c r="AP16" s="130">
        <v>0</v>
      </c>
      <c r="AQ16" s="130">
        <v>0</v>
      </c>
      <c r="AR16" s="135">
        <f t="shared" si="18"/>
        <v>0.5796501188861634</v>
      </c>
    </row>
    <row r="17" spans="1:44" ht="15" customHeight="1">
      <c r="A17" s="168" t="s">
        <v>30</v>
      </c>
      <c r="B17" s="7">
        <v>22891534</v>
      </c>
      <c r="C17" s="7"/>
      <c r="D17" s="7"/>
      <c r="E17" s="7"/>
      <c r="F17" s="7"/>
      <c r="G17" s="7"/>
      <c r="H17" s="7">
        <f t="shared" si="0"/>
        <v>22891534</v>
      </c>
      <c r="I17" s="7">
        <v>5567411.280915981</v>
      </c>
      <c r="J17" s="7"/>
      <c r="K17" s="7">
        <v>-206103.28091598116</v>
      </c>
      <c r="L17" s="7">
        <f t="shared" si="11"/>
        <v>5361308</v>
      </c>
      <c r="M17" s="7">
        <v>5788170.724575301</v>
      </c>
      <c r="N17" s="7"/>
      <c r="O17" s="7">
        <f t="shared" si="1"/>
        <v>-120413.7245753007</v>
      </c>
      <c r="P17" s="7">
        <f t="shared" si="12"/>
        <v>5667757</v>
      </c>
      <c r="Q17" s="7">
        <v>5788170.724575301</v>
      </c>
      <c r="R17" s="7"/>
      <c r="S17" s="7"/>
      <c r="T17" s="7">
        <f t="shared" si="2"/>
        <v>-37442.7245753007</v>
      </c>
      <c r="U17" s="7">
        <f t="shared" si="13"/>
        <v>5750728</v>
      </c>
      <c r="V17" s="7">
        <v>6111741</v>
      </c>
      <c r="W17" s="7"/>
      <c r="X17" s="7"/>
      <c r="Y17" s="7"/>
      <c r="Z17" s="7">
        <f t="shared" si="14"/>
        <v>6111741</v>
      </c>
      <c r="AA17" s="7">
        <f t="shared" si="3"/>
        <v>22891534</v>
      </c>
      <c r="AB17" s="459">
        <f>+'[4]FUN ENE-MAR-11'!$G$63</f>
        <v>5361308</v>
      </c>
      <c r="AC17" s="459">
        <f>+'[4]FUN ABR-JUN-11'!$G$77</f>
        <v>5667757</v>
      </c>
      <c r="AD17" s="459">
        <f>+'[4]FUN JUL-SEP-11'!$G$60</f>
        <v>5750728</v>
      </c>
      <c r="AE17" s="459">
        <f>+'[4]FUN OCT-DIC-11'!$G$72</f>
        <v>5465465</v>
      </c>
      <c r="AF17" s="459">
        <f t="shared" si="15"/>
        <v>22245258</v>
      </c>
      <c r="AG17" s="7">
        <f t="shared" si="4"/>
        <v>0</v>
      </c>
      <c r="AH17" s="7">
        <f t="shared" si="5"/>
        <v>0</v>
      </c>
      <c r="AI17" s="7">
        <f t="shared" si="6"/>
        <v>0</v>
      </c>
      <c r="AJ17" s="7">
        <f t="shared" si="7"/>
        <v>646276</v>
      </c>
      <c r="AK17" s="7">
        <f t="shared" si="16"/>
        <v>22891534</v>
      </c>
      <c r="AL17" s="7">
        <f t="shared" si="8"/>
        <v>0</v>
      </c>
      <c r="AM17" s="7">
        <f t="shared" si="9"/>
        <v>646276</v>
      </c>
      <c r="AN17" s="130">
        <f t="shared" si="10"/>
        <v>0.9717679033654975</v>
      </c>
      <c r="AO17" s="130">
        <f aca="true" t="shared" si="19" ref="AO17:AO22">+AB17/L17</f>
        <v>1</v>
      </c>
      <c r="AP17" s="130">
        <f aca="true" t="shared" si="20" ref="AP17:AP22">+AC17/P17</f>
        <v>1</v>
      </c>
      <c r="AQ17" s="130">
        <f t="shared" si="17"/>
        <v>1</v>
      </c>
      <c r="AR17" s="135">
        <f t="shared" si="18"/>
        <v>0.8942566447105661</v>
      </c>
    </row>
    <row r="18" spans="1:44" ht="15" customHeight="1">
      <c r="A18" s="168" t="s">
        <v>31</v>
      </c>
      <c r="B18" s="7">
        <v>4036340</v>
      </c>
      <c r="C18" s="7"/>
      <c r="D18" s="7"/>
      <c r="E18" s="7"/>
      <c r="F18" s="7"/>
      <c r="G18" s="7"/>
      <c r="H18" s="7">
        <f t="shared" si="0"/>
        <v>4036340</v>
      </c>
      <c r="I18" s="7">
        <v>978838.6579360001</v>
      </c>
      <c r="J18" s="7"/>
      <c r="K18" s="7">
        <v>-39498.65793600015</v>
      </c>
      <c r="L18" s="7">
        <f t="shared" si="11"/>
        <v>939340</v>
      </c>
      <c r="M18" s="7">
        <v>1021728.8046</v>
      </c>
      <c r="N18" s="7"/>
      <c r="O18" s="7">
        <f t="shared" si="1"/>
        <v>-48068.80460000003</v>
      </c>
      <c r="P18" s="7">
        <f t="shared" si="12"/>
        <v>973660</v>
      </c>
      <c r="Q18" s="7">
        <v>1021728.8046</v>
      </c>
      <c r="R18" s="7"/>
      <c r="S18" s="7"/>
      <c r="T18" s="7">
        <f t="shared" si="2"/>
        <v>-6708.804600000032</v>
      </c>
      <c r="U18" s="7">
        <f t="shared" si="13"/>
        <v>1015020</v>
      </c>
      <c r="V18" s="7">
        <v>1108320</v>
      </c>
      <c r="W18" s="7"/>
      <c r="X18" s="7"/>
      <c r="Y18" s="7"/>
      <c r="Z18" s="7">
        <f t="shared" si="14"/>
        <v>1108320</v>
      </c>
      <c r="AA18" s="7">
        <f t="shared" si="3"/>
        <v>4036340</v>
      </c>
      <c r="AB18" s="459">
        <f>+'[4]FUN ENE-MAR-11'!$G$71</f>
        <v>939340</v>
      </c>
      <c r="AC18" s="459">
        <f>+'[4]FUN ABR-JUN-11'!$G$85</f>
        <v>973660</v>
      </c>
      <c r="AD18" s="459">
        <f>+'[4]FUN JUL-SEP-11'!$G$68</f>
        <v>1015020</v>
      </c>
      <c r="AE18" s="459">
        <f>+'[4]FUN OCT-DIC-11'!$G$80</f>
        <v>963820</v>
      </c>
      <c r="AF18" s="459">
        <f t="shared" si="15"/>
        <v>3891840</v>
      </c>
      <c r="AG18" s="7">
        <f t="shared" si="4"/>
        <v>0</v>
      </c>
      <c r="AH18" s="7">
        <f t="shared" si="5"/>
        <v>0</v>
      </c>
      <c r="AI18" s="7">
        <f t="shared" si="6"/>
        <v>0</v>
      </c>
      <c r="AJ18" s="7">
        <f t="shared" si="7"/>
        <v>144500</v>
      </c>
      <c r="AK18" s="7">
        <f t="shared" si="16"/>
        <v>4036340</v>
      </c>
      <c r="AL18" s="7">
        <f t="shared" si="8"/>
        <v>0</v>
      </c>
      <c r="AM18" s="7">
        <f t="shared" si="9"/>
        <v>144500</v>
      </c>
      <c r="AN18" s="130">
        <f t="shared" si="10"/>
        <v>0.964200240812221</v>
      </c>
      <c r="AO18" s="130">
        <f t="shared" si="19"/>
        <v>1</v>
      </c>
      <c r="AP18" s="130">
        <f t="shared" si="20"/>
        <v>1</v>
      </c>
      <c r="AQ18" s="130">
        <f t="shared" si="17"/>
        <v>1</v>
      </c>
      <c r="AR18" s="135">
        <f t="shared" si="18"/>
        <v>0.8696224916991483</v>
      </c>
    </row>
    <row r="19" spans="1:44" ht="15" customHeight="1">
      <c r="A19" s="168" t="s">
        <v>32</v>
      </c>
      <c r="B19" s="7">
        <v>5045425</v>
      </c>
      <c r="C19" s="7"/>
      <c r="D19" s="7"/>
      <c r="E19" s="7"/>
      <c r="F19" s="7"/>
      <c r="G19" s="7"/>
      <c r="H19" s="7">
        <f t="shared" si="0"/>
        <v>5045425</v>
      </c>
      <c r="I19" s="7">
        <v>1223548.32242</v>
      </c>
      <c r="J19" s="7"/>
      <c r="K19" s="7">
        <v>-49338.3224200001</v>
      </c>
      <c r="L19" s="7">
        <f t="shared" si="11"/>
        <v>1174210</v>
      </c>
      <c r="M19" s="7">
        <v>1277161.0057500002</v>
      </c>
      <c r="N19" s="7"/>
      <c r="O19" s="7">
        <f t="shared" si="1"/>
        <v>-59730.005750000244</v>
      </c>
      <c r="P19" s="7">
        <f t="shared" si="12"/>
        <v>1217431</v>
      </c>
      <c r="Q19" s="7">
        <v>1277161.0057500002</v>
      </c>
      <c r="R19" s="7"/>
      <c r="S19" s="7"/>
      <c r="T19" s="7">
        <f t="shared" si="2"/>
        <v>-8091.005750000244</v>
      </c>
      <c r="U19" s="7">
        <f t="shared" si="13"/>
        <v>1269070</v>
      </c>
      <c r="V19" s="7">
        <v>1384714</v>
      </c>
      <c r="W19" s="7"/>
      <c r="X19" s="7"/>
      <c r="Y19" s="7"/>
      <c r="Z19" s="7">
        <f t="shared" si="14"/>
        <v>1384714</v>
      </c>
      <c r="AA19" s="7">
        <f t="shared" si="3"/>
        <v>5045425</v>
      </c>
      <c r="AB19" s="459">
        <f>+'[4]FUN ENE-MAR-11'!$G$78</f>
        <v>1174210</v>
      </c>
      <c r="AC19" s="459">
        <f>+'[4]FUN ABR-JUN-11'!$G$92</f>
        <v>1217431</v>
      </c>
      <c r="AD19" s="459">
        <f>+'[4]FUN JUL-SEP-11'!$G$75</f>
        <v>1269070</v>
      </c>
      <c r="AE19" s="459">
        <f>+'[4]FUN OCT-DIC-11'!$G$88</f>
        <v>1204890</v>
      </c>
      <c r="AF19" s="459">
        <f t="shared" si="15"/>
        <v>4865601</v>
      </c>
      <c r="AG19" s="7">
        <f t="shared" si="4"/>
        <v>0</v>
      </c>
      <c r="AH19" s="7">
        <f t="shared" si="5"/>
        <v>0</v>
      </c>
      <c r="AI19" s="7">
        <f t="shared" si="6"/>
        <v>0</v>
      </c>
      <c r="AJ19" s="7">
        <f t="shared" si="7"/>
        <v>179824</v>
      </c>
      <c r="AK19" s="7">
        <f t="shared" si="16"/>
        <v>5045425</v>
      </c>
      <c r="AL19" s="7">
        <f t="shared" si="8"/>
        <v>0</v>
      </c>
      <c r="AM19" s="7">
        <f t="shared" si="9"/>
        <v>179824</v>
      </c>
      <c r="AN19" s="130">
        <f t="shared" si="10"/>
        <v>0.9643589984986398</v>
      </c>
      <c r="AO19" s="130">
        <f t="shared" si="19"/>
        <v>1</v>
      </c>
      <c r="AP19" s="130">
        <f t="shared" si="20"/>
        <v>1</v>
      </c>
      <c r="AQ19" s="130">
        <f t="shared" si="17"/>
        <v>1</v>
      </c>
      <c r="AR19" s="135">
        <f t="shared" si="18"/>
        <v>0.8701363602881172</v>
      </c>
    </row>
    <row r="20" spans="1:44" ht="15" customHeight="1">
      <c r="A20" s="168" t="s">
        <v>33</v>
      </c>
      <c r="B20" s="7">
        <v>900000</v>
      </c>
      <c r="C20" s="7"/>
      <c r="D20" s="7"/>
      <c r="E20" s="7"/>
      <c r="F20" s="7"/>
      <c r="G20" s="7"/>
      <c r="H20" s="7">
        <f t="shared" si="0"/>
        <v>900000</v>
      </c>
      <c r="I20" s="7">
        <v>0</v>
      </c>
      <c r="J20" s="7"/>
      <c r="K20" s="7">
        <v>0</v>
      </c>
      <c r="L20" s="7">
        <f t="shared" si="11"/>
        <v>0</v>
      </c>
      <c r="M20" s="7">
        <v>900000</v>
      </c>
      <c r="N20" s="7"/>
      <c r="O20" s="7">
        <f t="shared" si="1"/>
        <v>-300000</v>
      </c>
      <c r="P20" s="7">
        <f t="shared" si="12"/>
        <v>600000</v>
      </c>
      <c r="Q20" s="7">
        <v>300000</v>
      </c>
      <c r="R20" s="7"/>
      <c r="S20" s="7"/>
      <c r="T20" s="7">
        <f t="shared" si="2"/>
        <v>0</v>
      </c>
      <c r="U20" s="7">
        <f t="shared" si="13"/>
        <v>300000</v>
      </c>
      <c r="V20" s="7">
        <v>0</v>
      </c>
      <c r="W20" s="7"/>
      <c r="X20" s="7"/>
      <c r="Y20" s="7"/>
      <c r="Z20" s="7">
        <f t="shared" si="14"/>
        <v>0</v>
      </c>
      <c r="AA20" s="7">
        <f t="shared" si="3"/>
        <v>900000</v>
      </c>
      <c r="AB20" s="459">
        <f>+'[4]FUN ENE-MAR-11'!$G$85</f>
        <v>0</v>
      </c>
      <c r="AC20" s="459">
        <f>+'[4]FUN ABR-JUN-11'!$G$99</f>
        <v>600000</v>
      </c>
      <c r="AD20" s="459">
        <f>+'[4]FUN JUL-SEP-11'!$G$82</f>
        <v>300000</v>
      </c>
      <c r="AE20" s="459">
        <f>+'[4]FUN OCT-DIC-11'!$G$95</f>
        <v>0</v>
      </c>
      <c r="AF20" s="459">
        <f t="shared" si="15"/>
        <v>900000</v>
      </c>
      <c r="AG20" s="7">
        <f t="shared" si="4"/>
        <v>0</v>
      </c>
      <c r="AH20" s="7">
        <f t="shared" si="5"/>
        <v>0</v>
      </c>
      <c r="AI20" s="7">
        <f t="shared" si="6"/>
        <v>0</v>
      </c>
      <c r="AJ20" s="7">
        <f t="shared" si="7"/>
        <v>0</v>
      </c>
      <c r="AK20" s="7">
        <f t="shared" si="16"/>
        <v>900000</v>
      </c>
      <c r="AL20" s="7">
        <f t="shared" si="8"/>
        <v>0</v>
      </c>
      <c r="AM20" s="7">
        <f t="shared" si="9"/>
        <v>0</v>
      </c>
      <c r="AN20" s="130">
        <f t="shared" si="10"/>
        <v>1</v>
      </c>
      <c r="AO20" s="130">
        <v>0</v>
      </c>
      <c r="AP20" s="130">
        <f t="shared" si="20"/>
        <v>1</v>
      </c>
      <c r="AQ20" s="130">
        <v>0</v>
      </c>
      <c r="AR20" s="135">
        <v>0</v>
      </c>
    </row>
    <row r="21" spans="1:44" ht="15" customHeight="1" thickBot="1">
      <c r="A21" s="168" t="s">
        <v>34</v>
      </c>
      <c r="B21" s="7">
        <v>73600000</v>
      </c>
      <c r="C21" s="11"/>
      <c r="D21" s="11"/>
      <c r="E21" s="11"/>
      <c r="F21" s="11">
        <v>-4700000</v>
      </c>
      <c r="G21" s="11">
        <v>2350100</v>
      </c>
      <c r="H21" s="7">
        <f t="shared" si="0"/>
        <v>71250100</v>
      </c>
      <c r="I21" s="11">
        <v>25500000</v>
      </c>
      <c r="J21" s="11"/>
      <c r="K21" s="7">
        <v>-7838000</v>
      </c>
      <c r="L21" s="7">
        <f t="shared" si="11"/>
        <v>17662000</v>
      </c>
      <c r="M21" s="11">
        <v>21000000</v>
      </c>
      <c r="N21" s="11"/>
      <c r="O21" s="7">
        <f t="shared" si="1"/>
        <v>-2245900</v>
      </c>
      <c r="P21" s="7">
        <f t="shared" si="12"/>
        <v>18754100</v>
      </c>
      <c r="Q21" s="11">
        <v>18400000</v>
      </c>
      <c r="R21" s="11"/>
      <c r="S21" s="7"/>
      <c r="T21" s="7">
        <f t="shared" si="2"/>
        <v>-966000</v>
      </c>
      <c r="U21" s="7">
        <f t="shared" si="13"/>
        <v>17434000</v>
      </c>
      <c r="V21" s="7">
        <v>15049900</v>
      </c>
      <c r="W21" s="11">
        <v>2350100</v>
      </c>
      <c r="X21" s="11"/>
      <c r="Y21" s="11"/>
      <c r="Z21" s="7">
        <f t="shared" si="14"/>
        <v>17400000</v>
      </c>
      <c r="AA21" s="7">
        <f t="shared" si="3"/>
        <v>71250100</v>
      </c>
      <c r="AB21" s="459">
        <f>+'[4]FUN ENE-MAR-11'!$G$91</f>
        <v>17662000</v>
      </c>
      <c r="AC21" s="459">
        <f>+'[4]FUN ABR-JUN-11'!$G$105</f>
        <v>18754100</v>
      </c>
      <c r="AD21" s="459">
        <f>+'[4]FUN JUL-SEP-11'!$G$88</f>
        <v>17434000</v>
      </c>
      <c r="AE21" s="459">
        <f>+'[4]FUN OCT-DIC-11'!$G$101</f>
        <v>17400000</v>
      </c>
      <c r="AF21" s="459">
        <f>SUM(AB21:AE21)</f>
        <v>71250100</v>
      </c>
      <c r="AG21" s="11">
        <f t="shared" si="4"/>
        <v>0</v>
      </c>
      <c r="AH21" s="11">
        <f t="shared" si="5"/>
        <v>0</v>
      </c>
      <c r="AI21" s="11">
        <f t="shared" si="6"/>
        <v>0</v>
      </c>
      <c r="AJ21" s="11">
        <f t="shared" si="7"/>
        <v>0</v>
      </c>
      <c r="AK21" s="11">
        <f>+AA21</f>
        <v>71250100</v>
      </c>
      <c r="AL21" s="11">
        <f t="shared" si="8"/>
        <v>0</v>
      </c>
      <c r="AM21" s="11">
        <f t="shared" si="9"/>
        <v>0</v>
      </c>
      <c r="AN21" s="132">
        <f t="shared" si="10"/>
        <v>1</v>
      </c>
      <c r="AO21" s="132">
        <f t="shared" si="19"/>
        <v>1</v>
      </c>
      <c r="AP21" s="132">
        <f t="shared" si="20"/>
        <v>1</v>
      </c>
      <c r="AQ21" s="132">
        <f t="shared" si="17"/>
        <v>1</v>
      </c>
      <c r="AR21" s="197">
        <f>+AE21/Z21</f>
        <v>1</v>
      </c>
    </row>
    <row r="22" spans="1:44" ht="15" customHeight="1" thickBot="1">
      <c r="A22" s="50" t="s">
        <v>35</v>
      </c>
      <c r="B22" s="50">
        <f aca="true" t="shared" si="21" ref="B22:G22">SUM(B11:B21)</f>
        <v>262152979</v>
      </c>
      <c r="C22" s="50">
        <f t="shared" si="21"/>
        <v>0</v>
      </c>
      <c r="D22" s="50">
        <f t="shared" si="21"/>
        <v>0</v>
      </c>
      <c r="E22" s="50">
        <f t="shared" si="21"/>
        <v>0</v>
      </c>
      <c r="F22" s="50">
        <f t="shared" si="21"/>
        <v>-4700000</v>
      </c>
      <c r="G22" s="50">
        <f t="shared" si="21"/>
        <v>2350100</v>
      </c>
      <c r="H22" s="50">
        <f aca="true" t="shared" si="22" ref="H22:AL22">SUM(H11:H21)</f>
        <v>259803079</v>
      </c>
      <c r="I22" s="50">
        <f t="shared" si="22"/>
        <v>66195450.80994913</v>
      </c>
      <c r="J22" s="50">
        <f t="shared" si="22"/>
        <v>0</v>
      </c>
      <c r="K22" s="50">
        <f t="shared" si="22"/>
        <v>-10498471.809949126</v>
      </c>
      <c r="L22" s="50">
        <f t="shared" si="22"/>
        <v>55696979</v>
      </c>
      <c r="M22" s="50">
        <f t="shared" si="22"/>
        <v>84189946.97854935</v>
      </c>
      <c r="N22" s="50">
        <f>SUM(N11:N21)</f>
        <v>0</v>
      </c>
      <c r="O22" s="50">
        <f t="shared" si="22"/>
        <v>-10386345.978549339</v>
      </c>
      <c r="P22" s="50">
        <f t="shared" si="22"/>
        <v>73803601</v>
      </c>
      <c r="Q22" s="50">
        <f t="shared" si="22"/>
        <v>60989946.97854935</v>
      </c>
      <c r="R22" s="50">
        <f>SUM(R11:R21)</f>
        <v>0</v>
      </c>
      <c r="S22" s="50">
        <f>SUM(S11:S21)</f>
        <v>0.2613304599944968</v>
      </c>
      <c r="T22" s="50">
        <f>SUM(T11:T21)</f>
        <v>-1619406.239879799</v>
      </c>
      <c r="U22" s="50">
        <f t="shared" si="22"/>
        <v>59370541</v>
      </c>
      <c r="V22" s="50">
        <f t="shared" si="22"/>
        <v>68581858</v>
      </c>
      <c r="W22" s="50">
        <f t="shared" si="22"/>
        <v>2350100</v>
      </c>
      <c r="X22" s="50"/>
      <c r="Y22" s="50">
        <f t="shared" si="22"/>
        <v>0</v>
      </c>
      <c r="Z22" s="50">
        <f t="shared" si="22"/>
        <v>70931958</v>
      </c>
      <c r="AA22" s="50">
        <f t="shared" si="22"/>
        <v>259803079</v>
      </c>
      <c r="AB22" s="50">
        <f t="shared" si="22"/>
        <v>55696979</v>
      </c>
      <c r="AC22" s="50">
        <f t="shared" si="22"/>
        <v>73803601</v>
      </c>
      <c r="AD22" s="50">
        <f t="shared" si="22"/>
        <v>59370541</v>
      </c>
      <c r="AE22" s="50">
        <f>SUM(AE11:AE21)</f>
        <v>60235318</v>
      </c>
      <c r="AF22" s="50">
        <f t="shared" si="22"/>
        <v>249106439</v>
      </c>
      <c r="AG22" s="50">
        <f t="shared" si="22"/>
        <v>0</v>
      </c>
      <c r="AH22" s="50">
        <f t="shared" si="22"/>
        <v>0</v>
      </c>
      <c r="AI22" s="50">
        <f t="shared" si="22"/>
        <v>0</v>
      </c>
      <c r="AJ22" s="50">
        <f>SUM(AJ11:AJ21)</f>
        <v>10696640</v>
      </c>
      <c r="AK22" s="50">
        <f t="shared" si="22"/>
        <v>259803079</v>
      </c>
      <c r="AL22" s="50">
        <f t="shared" si="22"/>
        <v>0</v>
      </c>
      <c r="AM22" s="50">
        <f>SUM(AM11:AM21)</f>
        <v>10696640</v>
      </c>
      <c r="AN22" s="148">
        <f t="shared" si="10"/>
        <v>0.9588278936447863</v>
      </c>
      <c r="AO22" s="148">
        <f t="shared" si="19"/>
        <v>1</v>
      </c>
      <c r="AP22" s="148">
        <f t="shared" si="20"/>
        <v>1</v>
      </c>
      <c r="AQ22" s="148">
        <f t="shared" si="17"/>
        <v>1</v>
      </c>
      <c r="AR22" s="148">
        <f>+AE22/Z22</f>
        <v>0.8491985798559233</v>
      </c>
    </row>
    <row r="23" spans="1:44" ht="15" customHeight="1">
      <c r="A23" s="171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4"/>
      <c r="AH23" s="44"/>
      <c r="AI23" s="44"/>
      <c r="AJ23" s="44"/>
      <c r="AK23" s="44"/>
      <c r="AL23" s="44"/>
      <c r="AM23" s="37"/>
      <c r="AN23" s="113"/>
      <c r="AO23" s="113"/>
      <c r="AP23" s="113"/>
      <c r="AQ23" s="113"/>
      <c r="AR23" s="114"/>
    </row>
    <row r="24" spans="1:44" ht="15" customHeight="1">
      <c r="A24" s="173" t="s">
        <v>36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27"/>
      <c r="W24" s="127"/>
      <c r="X24" s="127"/>
      <c r="Y24" s="127"/>
      <c r="Z24" s="127"/>
      <c r="AA24" s="7"/>
      <c r="AB24" s="7"/>
      <c r="AC24" s="7"/>
      <c r="AD24" s="7"/>
      <c r="AE24" s="7"/>
      <c r="AF24" s="7"/>
      <c r="AG24" s="7"/>
      <c r="AH24" s="36"/>
      <c r="AI24" s="36"/>
      <c r="AJ24" s="36"/>
      <c r="AK24" s="36"/>
      <c r="AL24" s="36"/>
      <c r="AM24" s="7"/>
      <c r="AN24" s="64"/>
      <c r="AO24" s="64"/>
      <c r="AP24" s="64"/>
      <c r="AQ24" s="64"/>
      <c r="AR24" s="183"/>
    </row>
    <row r="25" spans="1:44" ht="15" customHeight="1">
      <c r="A25" s="170" t="s">
        <v>37</v>
      </c>
      <c r="B25" s="12">
        <v>66771061.416</v>
      </c>
      <c r="C25" s="7"/>
      <c r="D25" s="7"/>
      <c r="E25" s="7"/>
      <c r="F25" s="7"/>
      <c r="G25" s="7"/>
      <c r="H25" s="7">
        <f aca="true" t="shared" si="23" ref="H25:H38">SUM(B25:G25)</f>
        <v>66771061.416</v>
      </c>
      <c r="I25" s="12">
        <v>18043241.64</v>
      </c>
      <c r="J25" s="34"/>
      <c r="K25" s="7">
        <v>0</v>
      </c>
      <c r="L25" s="7">
        <f aca="true" t="shared" si="24" ref="L25:L38">SUM(I25:K25)</f>
        <v>18043241.64</v>
      </c>
      <c r="M25" s="7">
        <v>33919922</v>
      </c>
      <c r="N25" s="7"/>
      <c r="O25" s="7">
        <f aca="true" t="shared" si="25" ref="O25:O37">+AC25-M25-N25</f>
        <v>-280797</v>
      </c>
      <c r="P25" s="7">
        <f aca="true" t="shared" si="26" ref="P25:P38">+SUM(M25:O25)</f>
        <v>33639125</v>
      </c>
      <c r="Q25" s="7">
        <v>10000000</v>
      </c>
      <c r="R25" s="7"/>
      <c r="S25" s="7"/>
      <c r="T25" s="7">
        <f aca="true" t="shared" si="27" ref="T25:T38">-Q25-R25-S25+AD25</f>
        <v>-5796042</v>
      </c>
      <c r="U25" s="7">
        <f aca="true" t="shared" si="28" ref="U25:U38">+SUM(Q25:T25)</f>
        <v>4203958</v>
      </c>
      <c r="V25" s="7">
        <v>10884736.776</v>
      </c>
      <c r="W25" s="7"/>
      <c r="X25" s="7"/>
      <c r="Y25" s="7"/>
      <c r="Z25" s="7">
        <f aca="true" t="shared" si="29" ref="Z25:Z38">+SUM(V25:Y25)</f>
        <v>10884736.776</v>
      </c>
      <c r="AA25" s="7">
        <f aca="true" t="shared" si="30" ref="AA25:AA38">+L25+P25+U25+Z25</f>
        <v>66771061.416</v>
      </c>
      <c r="AB25" s="414">
        <f>+'[4]FUN ENE-MAR-11'!$G$103</f>
        <v>18043241.64</v>
      </c>
      <c r="AC25" s="414">
        <f>+'[4]FUN ABR-JUN-11'!$G$118</f>
        <v>33639125</v>
      </c>
      <c r="AD25" s="414">
        <f>+'[4]FUN JUL-SEP-11'!$G$98</f>
        <v>4203958</v>
      </c>
      <c r="AE25" s="414">
        <f>+'[4]FUN OCT-DIC-11'!$G$110</f>
        <v>10659163</v>
      </c>
      <c r="AF25" s="414">
        <f aca="true" t="shared" si="31" ref="AF25:AF38">SUM(AB25:AE25)</f>
        <v>66545487.64</v>
      </c>
      <c r="AG25" s="7">
        <f aca="true" t="shared" si="32" ref="AG25:AG38">+L25-AB25</f>
        <v>0</v>
      </c>
      <c r="AH25" s="7">
        <f aca="true" t="shared" si="33" ref="AH25:AH36">+P25-AC25</f>
        <v>0</v>
      </c>
      <c r="AI25" s="7">
        <f aca="true" t="shared" si="34" ref="AI25:AI38">+U25-AD25</f>
        <v>0</v>
      </c>
      <c r="AJ25" s="7">
        <f aca="true" t="shared" si="35" ref="AJ25:AJ38">+Z25-AE25</f>
        <v>225573.77600000054</v>
      </c>
      <c r="AK25" s="7">
        <f>+AA25</f>
        <v>66771061.416</v>
      </c>
      <c r="AL25" s="141">
        <f aca="true" t="shared" si="36" ref="AL25:AL38">+H25-AK25</f>
        <v>0</v>
      </c>
      <c r="AM25" s="7">
        <f aca="true" t="shared" si="37" ref="AM25:AM38">+AK25-AF25</f>
        <v>225573.77600000054</v>
      </c>
      <c r="AN25" s="130">
        <f aca="true" t="shared" si="38" ref="AN25:AN39">+AF25/H25</f>
        <v>0.996621683537504</v>
      </c>
      <c r="AO25" s="130">
        <v>0</v>
      </c>
      <c r="AP25" s="130">
        <f aca="true" t="shared" si="39" ref="AP25:AP37">+AC25/P25</f>
        <v>1</v>
      </c>
      <c r="AQ25" s="130">
        <f>+AD25/U25</f>
        <v>1</v>
      </c>
      <c r="AR25" s="135">
        <f aca="true" t="shared" si="40" ref="AR25:AR39">+AE25/Z25</f>
        <v>0.979276138629519</v>
      </c>
    </row>
    <row r="26" spans="1:44" ht="15" customHeight="1">
      <c r="A26" s="170" t="s">
        <v>38</v>
      </c>
      <c r="B26" s="12">
        <v>6349081.800000001</v>
      </c>
      <c r="C26" s="7"/>
      <c r="D26" s="7"/>
      <c r="E26" s="7"/>
      <c r="F26" s="7"/>
      <c r="G26" s="7"/>
      <c r="H26" s="7">
        <f t="shared" si="23"/>
        <v>6349081.800000001</v>
      </c>
      <c r="I26" s="12">
        <v>3230000</v>
      </c>
      <c r="J26" s="34"/>
      <c r="K26" s="7">
        <v>-120680</v>
      </c>
      <c r="L26" s="7">
        <f t="shared" si="24"/>
        <v>3109320</v>
      </c>
      <c r="M26" s="7">
        <v>1031700</v>
      </c>
      <c r="N26" s="7"/>
      <c r="O26" s="7">
        <f t="shared" si="25"/>
        <v>-12220</v>
      </c>
      <c r="P26" s="7">
        <f t="shared" si="26"/>
        <v>1019480</v>
      </c>
      <c r="Q26" s="7">
        <v>1110000</v>
      </c>
      <c r="R26" s="7"/>
      <c r="S26" s="7"/>
      <c r="T26" s="7">
        <f t="shared" si="27"/>
        <v>-5100</v>
      </c>
      <c r="U26" s="7">
        <f t="shared" si="28"/>
        <v>1104900</v>
      </c>
      <c r="V26" s="7">
        <v>1115381.8000000007</v>
      </c>
      <c r="W26" s="7"/>
      <c r="X26" s="7"/>
      <c r="Y26" s="7"/>
      <c r="Z26" s="7">
        <f t="shared" si="29"/>
        <v>1115381.8000000007</v>
      </c>
      <c r="AA26" s="7">
        <f t="shared" si="30"/>
        <v>6349081.800000001</v>
      </c>
      <c r="AB26" s="414">
        <f>+'[4]FUN ENE-MAR-11'!$G$113</f>
        <v>3109320</v>
      </c>
      <c r="AC26" s="414">
        <f>+'[4]FUN ABR-JUN-11'!$G$131</f>
        <v>1019480</v>
      </c>
      <c r="AD26" s="414">
        <f>+'[4]FUN JUL-SEP-11'!$G$104</f>
        <v>1104900</v>
      </c>
      <c r="AE26" s="414">
        <f>+'[4]FUN OCT-DIC-11'!$G$123</f>
        <v>1107550</v>
      </c>
      <c r="AF26" s="414">
        <f t="shared" si="31"/>
        <v>6341250</v>
      </c>
      <c r="AG26" s="7">
        <f t="shared" si="32"/>
        <v>0</v>
      </c>
      <c r="AH26" s="7">
        <f t="shared" si="33"/>
        <v>0</v>
      </c>
      <c r="AI26" s="7">
        <f t="shared" si="34"/>
        <v>0</v>
      </c>
      <c r="AJ26" s="7">
        <f t="shared" si="35"/>
        <v>7831.800000000745</v>
      </c>
      <c r="AK26" s="7">
        <f aca="true" t="shared" si="41" ref="AK26:AK38">+AA26</f>
        <v>6349081.800000001</v>
      </c>
      <c r="AL26" s="141">
        <f t="shared" si="36"/>
        <v>0</v>
      </c>
      <c r="AM26" s="7">
        <f t="shared" si="37"/>
        <v>7831.800000000745</v>
      </c>
      <c r="AN26" s="130">
        <f t="shared" si="38"/>
        <v>0.9987664673024057</v>
      </c>
      <c r="AO26" s="130">
        <f aca="true" t="shared" si="42" ref="AO26:AO35">+AB26/L26</f>
        <v>1</v>
      </c>
      <c r="AP26" s="130">
        <f t="shared" si="39"/>
        <v>1</v>
      </c>
      <c r="AQ26" s="130">
        <f aca="true" t="shared" si="43" ref="AQ26:AQ38">+AD26/U26</f>
        <v>1</v>
      </c>
      <c r="AR26" s="135">
        <v>0</v>
      </c>
    </row>
    <row r="27" spans="1:44" ht="15" customHeight="1">
      <c r="A27" s="170" t="s">
        <v>39</v>
      </c>
      <c r="B27" s="12">
        <v>17031700</v>
      </c>
      <c r="C27" s="7"/>
      <c r="D27" s="7"/>
      <c r="E27" s="7"/>
      <c r="F27" s="7"/>
      <c r="G27" s="7"/>
      <c r="H27" s="7">
        <f t="shared" si="23"/>
        <v>17031700</v>
      </c>
      <c r="I27" s="12">
        <v>4257500</v>
      </c>
      <c r="J27" s="34"/>
      <c r="K27" s="7">
        <v>-13641</v>
      </c>
      <c r="L27" s="7">
        <f t="shared" si="24"/>
        <v>4243859</v>
      </c>
      <c r="M27" s="7">
        <v>4257925</v>
      </c>
      <c r="N27" s="7"/>
      <c r="O27" s="7">
        <f t="shared" si="25"/>
        <v>-94834.20000000019</v>
      </c>
      <c r="P27" s="7">
        <f t="shared" si="26"/>
        <v>4163090.8</v>
      </c>
      <c r="Q27" s="7">
        <v>4257925</v>
      </c>
      <c r="R27" s="7"/>
      <c r="S27" s="7"/>
      <c r="T27" s="7">
        <f t="shared" si="27"/>
        <v>-691</v>
      </c>
      <c r="U27" s="7">
        <f t="shared" si="28"/>
        <v>4257234</v>
      </c>
      <c r="V27" s="7">
        <v>4367516.199999999</v>
      </c>
      <c r="W27" s="7"/>
      <c r="X27" s="7"/>
      <c r="Y27" s="7"/>
      <c r="Z27" s="7">
        <f t="shared" si="29"/>
        <v>4367516.199999999</v>
      </c>
      <c r="AA27" s="7">
        <f t="shared" si="30"/>
        <v>17031700</v>
      </c>
      <c r="AB27" s="414">
        <f>+'[4]FUN ENE-MAR-11'!$G$121</f>
        <v>4243859</v>
      </c>
      <c r="AC27" s="414">
        <f>+'[4]FUN ABR-JUN-11'!$G$139</f>
        <v>4163090.8</v>
      </c>
      <c r="AD27" s="414">
        <f>+'[4]FUN JUL-SEP-11'!$G$110</f>
        <v>4257234</v>
      </c>
      <c r="AE27" s="414">
        <f>+'[4]FUN OCT-DIC-11'!$G$131</f>
        <v>4367516</v>
      </c>
      <c r="AF27" s="414">
        <f t="shared" si="31"/>
        <v>17031699.8</v>
      </c>
      <c r="AG27" s="7">
        <f t="shared" si="32"/>
        <v>0</v>
      </c>
      <c r="AH27" s="7">
        <f t="shared" si="33"/>
        <v>0</v>
      </c>
      <c r="AI27" s="7">
        <f t="shared" si="34"/>
        <v>0</v>
      </c>
      <c r="AJ27" s="7">
        <f t="shared" si="35"/>
        <v>0.19999999925494194</v>
      </c>
      <c r="AK27" s="7">
        <f t="shared" si="41"/>
        <v>17031700</v>
      </c>
      <c r="AL27" s="141">
        <f t="shared" si="36"/>
        <v>0</v>
      </c>
      <c r="AM27" s="7">
        <f t="shared" si="37"/>
        <v>0.19999999925494194</v>
      </c>
      <c r="AN27" s="130">
        <f t="shared" si="38"/>
        <v>0.999999988257191</v>
      </c>
      <c r="AO27" s="130">
        <f t="shared" si="42"/>
        <v>1</v>
      </c>
      <c r="AP27" s="130">
        <f t="shared" si="39"/>
        <v>1</v>
      </c>
      <c r="AQ27" s="130">
        <f t="shared" si="43"/>
        <v>1</v>
      </c>
      <c r="AR27" s="135">
        <f t="shared" si="40"/>
        <v>0.9999999542073824</v>
      </c>
    </row>
    <row r="28" spans="1:44" ht="15" customHeight="1">
      <c r="A28" s="170" t="s">
        <v>40</v>
      </c>
      <c r="B28" s="12">
        <v>22344266.2524</v>
      </c>
      <c r="C28" s="7"/>
      <c r="D28" s="7"/>
      <c r="E28" s="7"/>
      <c r="F28" s="7"/>
      <c r="G28" s="7"/>
      <c r="H28" s="7">
        <f t="shared" si="23"/>
        <v>22344266.2524</v>
      </c>
      <c r="I28" s="12">
        <v>8909797.29</v>
      </c>
      <c r="J28" s="34"/>
      <c r="K28" s="7">
        <v>-3381054.29</v>
      </c>
      <c r="L28" s="7">
        <f t="shared" si="24"/>
        <v>5528742.999999999</v>
      </c>
      <c r="M28" s="7">
        <v>5554202</v>
      </c>
      <c r="N28" s="7"/>
      <c r="O28" s="7">
        <f t="shared" si="25"/>
        <v>-3137063</v>
      </c>
      <c r="P28" s="7">
        <f t="shared" si="26"/>
        <v>2417139</v>
      </c>
      <c r="Q28" s="7">
        <v>5554201.5</v>
      </c>
      <c r="R28" s="7"/>
      <c r="S28" s="7"/>
      <c r="T28" s="7">
        <f t="shared" si="27"/>
        <v>-1692191.5</v>
      </c>
      <c r="U28" s="7">
        <f t="shared" si="28"/>
        <v>3862010</v>
      </c>
      <c r="V28" s="7">
        <v>10536374.2524</v>
      </c>
      <c r="W28" s="7"/>
      <c r="X28" s="7"/>
      <c r="Y28" s="7"/>
      <c r="Z28" s="7">
        <f t="shared" si="29"/>
        <v>10536374.2524</v>
      </c>
      <c r="AA28" s="7">
        <f t="shared" si="30"/>
        <v>22344266.2524</v>
      </c>
      <c r="AB28" s="414">
        <f>+'[4]FUN ENE-MAR-11'!$G$130</f>
        <v>5528743</v>
      </c>
      <c r="AC28" s="414">
        <f>+'[4]FUN ABR-JUN-11'!$G$150</f>
        <v>2417139</v>
      </c>
      <c r="AD28" s="414">
        <f>+'[4]FUN JUL-SEP-11'!$G$121</f>
        <v>3862010</v>
      </c>
      <c r="AE28" s="414">
        <f>+'[4]FUN OCT-DIC-11'!$G$144</f>
        <v>7171890</v>
      </c>
      <c r="AF28" s="414">
        <f t="shared" si="31"/>
        <v>18979782</v>
      </c>
      <c r="AG28" s="7">
        <f t="shared" si="32"/>
        <v>0</v>
      </c>
      <c r="AH28" s="7">
        <f t="shared" si="33"/>
        <v>0</v>
      </c>
      <c r="AI28" s="7">
        <f t="shared" si="34"/>
        <v>0</v>
      </c>
      <c r="AJ28" s="7">
        <f t="shared" si="35"/>
        <v>3364484.2523999996</v>
      </c>
      <c r="AK28" s="7">
        <f t="shared" si="41"/>
        <v>22344266.2524</v>
      </c>
      <c r="AL28" s="141">
        <f t="shared" si="36"/>
        <v>0</v>
      </c>
      <c r="AM28" s="7">
        <f t="shared" si="37"/>
        <v>3364484.2523999996</v>
      </c>
      <c r="AN28" s="130">
        <f t="shared" si="38"/>
        <v>0.8494251628406629</v>
      </c>
      <c r="AO28" s="130">
        <f t="shared" si="42"/>
        <v>1.0000000000000002</v>
      </c>
      <c r="AP28" s="130">
        <f t="shared" si="39"/>
        <v>1</v>
      </c>
      <c r="AQ28" s="130">
        <f t="shared" si="43"/>
        <v>1</v>
      </c>
      <c r="AR28" s="135">
        <f t="shared" si="40"/>
        <v>0.680679124354981</v>
      </c>
    </row>
    <row r="29" spans="1:44" ht="15" customHeight="1">
      <c r="A29" s="170" t="s">
        <v>41</v>
      </c>
      <c r="B29" s="12">
        <v>25582185.3362</v>
      </c>
      <c r="C29" s="7"/>
      <c r="D29" s="12">
        <v>-807247</v>
      </c>
      <c r="E29" s="7"/>
      <c r="F29" s="7"/>
      <c r="G29" s="7"/>
      <c r="H29" s="7">
        <f t="shared" si="23"/>
        <v>24774938.3362</v>
      </c>
      <c r="I29" s="12">
        <v>6389667.145</v>
      </c>
      <c r="J29" s="34"/>
      <c r="K29" s="7">
        <v>-516682.14499999955</v>
      </c>
      <c r="L29" s="7">
        <f t="shared" si="24"/>
        <v>5872985</v>
      </c>
      <c r="M29" s="7">
        <v>6395546.33405</v>
      </c>
      <c r="N29" s="7"/>
      <c r="O29" s="7">
        <f t="shared" si="25"/>
        <v>-0.3340499997138977</v>
      </c>
      <c r="P29" s="7">
        <f t="shared" si="26"/>
        <v>6395546</v>
      </c>
      <c r="Q29" s="7">
        <v>6395546.33405</v>
      </c>
      <c r="R29" s="7"/>
      <c r="S29" s="7"/>
      <c r="T29" s="7">
        <f t="shared" si="27"/>
        <v>-0.4340499993413687</v>
      </c>
      <c r="U29" s="7">
        <f t="shared" si="28"/>
        <v>6395545.9</v>
      </c>
      <c r="V29" s="7">
        <v>6110861.4361999985</v>
      </c>
      <c r="W29" s="7"/>
      <c r="X29" s="7"/>
      <c r="Y29" s="7"/>
      <c r="Z29" s="7">
        <f t="shared" si="29"/>
        <v>6110861.4361999985</v>
      </c>
      <c r="AA29" s="7">
        <f t="shared" si="30"/>
        <v>24774938.3362</v>
      </c>
      <c r="AB29" s="414">
        <f>+'[4]FUN ENE-MAR-11'!$G$141</f>
        <v>5872985</v>
      </c>
      <c r="AC29" s="414">
        <f>+'[4]FUN ABR-JUN-11'!$G$161</f>
        <v>6395546</v>
      </c>
      <c r="AD29" s="414">
        <f>+'[4]FUN JUL-SEP-11'!$G$132</f>
        <v>6395545.9</v>
      </c>
      <c r="AE29" s="414">
        <f>+'[4]FUN OCT-DIC-11'!$G$157</f>
        <v>3550969</v>
      </c>
      <c r="AF29" s="414">
        <f t="shared" si="31"/>
        <v>22215045.9</v>
      </c>
      <c r="AG29" s="7">
        <f t="shared" si="32"/>
        <v>0</v>
      </c>
      <c r="AH29" s="7">
        <f t="shared" si="33"/>
        <v>0</v>
      </c>
      <c r="AI29" s="7">
        <f t="shared" si="34"/>
        <v>0</v>
      </c>
      <c r="AJ29" s="7">
        <f t="shared" si="35"/>
        <v>2559892.4361999985</v>
      </c>
      <c r="AK29" s="7">
        <f t="shared" si="41"/>
        <v>24774938.3362</v>
      </c>
      <c r="AL29" s="141">
        <f t="shared" si="36"/>
        <v>0</v>
      </c>
      <c r="AM29" s="7">
        <f t="shared" si="37"/>
        <v>2559892.4362000003</v>
      </c>
      <c r="AN29" s="130">
        <f t="shared" si="38"/>
        <v>0.8966741147258638</v>
      </c>
      <c r="AO29" s="130">
        <f t="shared" si="42"/>
        <v>1</v>
      </c>
      <c r="AP29" s="130">
        <f t="shared" si="39"/>
        <v>1</v>
      </c>
      <c r="AQ29" s="130">
        <f t="shared" si="43"/>
        <v>1</v>
      </c>
      <c r="AR29" s="135">
        <f t="shared" si="40"/>
        <v>0.5810913955542327</v>
      </c>
    </row>
    <row r="30" spans="1:44" ht="15" customHeight="1">
      <c r="A30" s="170" t="s">
        <v>42</v>
      </c>
      <c r="B30" s="12">
        <v>40360252.5648</v>
      </c>
      <c r="C30" s="7"/>
      <c r="D30" s="12">
        <v>807247</v>
      </c>
      <c r="E30" s="7"/>
      <c r="F30" s="7"/>
      <c r="G30" s="7"/>
      <c r="H30" s="7">
        <f t="shared" si="23"/>
        <v>41167499.5648</v>
      </c>
      <c r="I30" s="12">
        <v>10274914.35</v>
      </c>
      <c r="J30" s="34"/>
      <c r="K30" s="7">
        <v>-577488.35</v>
      </c>
      <c r="L30" s="7">
        <f t="shared" si="24"/>
        <v>9697426</v>
      </c>
      <c r="M30" s="7">
        <v>10886324</v>
      </c>
      <c r="N30" s="7"/>
      <c r="O30" s="7">
        <f t="shared" si="25"/>
        <v>0</v>
      </c>
      <c r="P30" s="7">
        <f t="shared" si="26"/>
        <v>10886324</v>
      </c>
      <c r="Q30" s="7">
        <v>10886324</v>
      </c>
      <c r="R30" s="7"/>
      <c r="S30" s="7"/>
      <c r="T30" s="7">
        <f t="shared" si="27"/>
        <v>-594451</v>
      </c>
      <c r="U30" s="7">
        <f t="shared" si="28"/>
        <v>10291873</v>
      </c>
      <c r="V30" s="7">
        <v>10291876.564800002</v>
      </c>
      <c r="W30" s="7"/>
      <c r="X30" s="7"/>
      <c r="Y30" s="7"/>
      <c r="Z30" s="7">
        <f t="shared" si="29"/>
        <v>10291876.564800002</v>
      </c>
      <c r="AA30" s="7">
        <f t="shared" si="30"/>
        <v>41167499.5648</v>
      </c>
      <c r="AB30" s="414">
        <f>+'[4]FUN ENE-MAR-11'!$G$174</f>
        <v>9697426</v>
      </c>
      <c r="AC30" s="414">
        <f>+'[4]FUN ABR-JUN-11'!$G$193</f>
        <v>10886324</v>
      </c>
      <c r="AD30" s="414">
        <f>+'[4]FUN JUL-SEP-11'!$G$160</f>
        <v>10291873</v>
      </c>
      <c r="AE30" s="414">
        <f>+'[4]FUN OCT-DIC-11'!$G$187</f>
        <v>10291875</v>
      </c>
      <c r="AF30" s="414">
        <f t="shared" si="31"/>
        <v>41167498</v>
      </c>
      <c r="AG30" s="7">
        <f t="shared" si="32"/>
        <v>0</v>
      </c>
      <c r="AH30" s="7">
        <f t="shared" si="33"/>
        <v>0</v>
      </c>
      <c r="AI30" s="7">
        <f t="shared" si="34"/>
        <v>0</v>
      </c>
      <c r="AJ30" s="7">
        <f t="shared" si="35"/>
        <v>1.564800001680851</v>
      </c>
      <c r="AK30" s="7">
        <f t="shared" si="41"/>
        <v>41167499.5648</v>
      </c>
      <c r="AL30" s="141">
        <f t="shared" si="36"/>
        <v>0</v>
      </c>
      <c r="AM30" s="7">
        <f t="shared" si="37"/>
        <v>1.564800001680851</v>
      </c>
      <c r="AN30" s="130">
        <f t="shared" si="38"/>
        <v>0.999999961989433</v>
      </c>
      <c r="AO30" s="130">
        <f t="shared" si="42"/>
        <v>1</v>
      </c>
      <c r="AP30" s="130">
        <f t="shared" si="39"/>
        <v>1</v>
      </c>
      <c r="AQ30" s="130">
        <f t="shared" si="43"/>
        <v>1</v>
      </c>
      <c r="AR30" s="135">
        <f t="shared" si="40"/>
        <v>0.9999998479577566</v>
      </c>
    </row>
    <row r="31" spans="1:44" ht="15" customHeight="1">
      <c r="A31" s="170" t="s">
        <v>43</v>
      </c>
      <c r="B31" s="12">
        <v>18000000</v>
      </c>
      <c r="C31" s="7"/>
      <c r="D31" s="7"/>
      <c r="E31" s="7"/>
      <c r="F31" s="7"/>
      <c r="G31" s="7"/>
      <c r="H31" s="7">
        <f t="shared" si="23"/>
        <v>18000000</v>
      </c>
      <c r="I31" s="12">
        <v>4000000</v>
      </c>
      <c r="J31" s="34"/>
      <c r="K31" s="7">
        <v>-129951</v>
      </c>
      <c r="L31" s="7">
        <f t="shared" si="24"/>
        <v>3870049</v>
      </c>
      <c r="M31" s="7">
        <v>4000000</v>
      </c>
      <c r="N31" s="7">
        <v>-2447442</v>
      </c>
      <c r="O31" s="7">
        <f t="shared" si="25"/>
        <v>-467061</v>
      </c>
      <c r="P31" s="7">
        <f t="shared" si="26"/>
        <v>1085497</v>
      </c>
      <c r="Q31" s="7">
        <v>4000000</v>
      </c>
      <c r="R31" s="7"/>
      <c r="S31" s="7"/>
      <c r="T31" s="7">
        <f t="shared" si="27"/>
        <v>-15311</v>
      </c>
      <c r="U31" s="7">
        <f t="shared" si="28"/>
        <v>3984689</v>
      </c>
      <c r="V31" s="7">
        <v>9059765</v>
      </c>
      <c r="W31" s="7"/>
      <c r="X31" s="7"/>
      <c r="Y31" s="7"/>
      <c r="Z31" s="7">
        <f t="shared" si="29"/>
        <v>9059765</v>
      </c>
      <c r="AA31" s="7">
        <f t="shared" si="30"/>
        <v>18000000</v>
      </c>
      <c r="AB31" s="414">
        <f>+'[4]FUN ENE-MAR-11'!$G$184</f>
        <v>3870049</v>
      </c>
      <c r="AC31" s="414">
        <f>+'[4]FUN ABR-JUN-11'!$G$205</f>
        <v>1085497</v>
      </c>
      <c r="AD31" s="414">
        <f>+'[4]FUN JUL-SEP-11'!$G$170</f>
        <v>3984689</v>
      </c>
      <c r="AE31" s="414">
        <f>+'[4]FUN OCT-DIC-11'!$G$198</f>
        <v>6980258</v>
      </c>
      <c r="AF31" s="414">
        <f t="shared" si="31"/>
        <v>15920493</v>
      </c>
      <c r="AG31" s="7">
        <f t="shared" si="32"/>
        <v>0</v>
      </c>
      <c r="AH31" s="7">
        <f t="shared" si="33"/>
        <v>0</v>
      </c>
      <c r="AI31" s="7">
        <f t="shared" si="34"/>
        <v>0</v>
      </c>
      <c r="AJ31" s="7">
        <f t="shared" si="35"/>
        <v>2079507</v>
      </c>
      <c r="AK31" s="7">
        <f t="shared" si="41"/>
        <v>18000000</v>
      </c>
      <c r="AL31" s="141">
        <f>+H31-AK31</f>
        <v>0</v>
      </c>
      <c r="AM31" s="7">
        <f t="shared" si="37"/>
        <v>2079507</v>
      </c>
      <c r="AN31" s="130">
        <f t="shared" si="38"/>
        <v>0.8844718333333333</v>
      </c>
      <c r="AO31" s="130">
        <f t="shared" si="42"/>
        <v>1</v>
      </c>
      <c r="AP31" s="130">
        <f t="shared" si="39"/>
        <v>1</v>
      </c>
      <c r="AQ31" s="130">
        <f t="shared" si="43"/>
        <v>1</v>
      </c>
      <c r="AR31" s="135">
        <f t="shared" si="40"/>
        <v>0.7704678874120907</v>
      </c>
    </row>
    <row r="32" spans="1:44" ht="15" customHeight="1">
      <c r="A32" s="170" t="s">
        <v>44</v>
      </c>
      <c r="B32" s="12">
        <v>9726867.6</v>
      </c>
      <c r="C32" s="7"/>
      <c r="D32" s="7"/>
      <c r="E32" s="7"/>
      <c r="F32" s="7"/>
      <c r="G32" s="7"/>
      <c r="H32" s="7">
        <f t="shared" si="23"/>
        <v>9726867.6</v>
      </c>
      <c r="I32" s="12">
        <v>1802500</v>
      </c>
      <c r="J32" s="34"/>
      <c r="K32" s="7">
        <v>-36814</v>
      </c>
      <c r="L32" s="7">
        <f t="shared" si="24"/>
        <v>1765686</v>
      </c>
      <c r="M32" s="233">
        <v>1805475</v>
      </c>
      <c r="N32" s="7">
        <v>1764351</v>
      </c>
      <c r="O32" s="7">
        <f t="shared" si="25"/>
        <v>0</v>
      </c>
      <c r="P32" s="7">
        <f t="shared" si="26"/>
        <v>3569826</v>
      </c>
      <c r="Q32" s="34">
        <v>1805475</v>
      </c>
      <c r="R32" s="34"/>
      <c r="S32" s="7"/>
      <c r="T32" s="7">
        <f t="shared" si="27"/>
        <v>-346475</v>
      </c>
      <c r="U32" s="7">
        <f t="shared" si="28"/>
        <v>1459000</v>
      </c>
      <c r="V32" s="7">
        <v>2932355.5999999996</v>
      </c>
      <c r="W32" s="7"/>
      <c r="X32" s="7"/>
      <c r="Y32" s="7"/>
      <c r="Z32" s="7">
        <f t="shared" si="29"/>
        <v>2932355.5999999996</v>
      </c>
      <c r="AA32" s="7">
        <f t="shared" si="30"/>
        <v>9726867.6</v>
      </c>
      <c r="AB32" s="414">
        <f>+'[4]FUN ENE-MAR-11'!$G$197</f>
        <v>1765686</v>
      </c>
      <c r="AC32" s="414">
        <f>+'[4]FUN ABR-JUN-11'!$G$218</f>
        <v>3569826</v>
      </c>
      <c r="AD32" s="414">
        <f>+'[4]FUN JUL-SEP-11'!$G$187</f>
        <v>1459000</v>
      </c>
      <c r="AE32" s="414">
        <f>+'[4]FUN OCT-DIC-11'!$G$224</f>
        <v>2932346</v>
      </c>
      <c r="AF32" s="414">
        <f t="shared" si="31"/>
        <v>9726858</v>
      </c>
      <c r="AG32" s="7">
        <f t="shared" si="32"/>
        <v>0</v>
      </c>
      <c r="AH32" s="7">
        <f t="shared" si="33"/>
        <v>0</v>
      </c>
      <c r="AI32" s="7">
        <f t="shared" si="34"/>
        <v>0</v>
      </c>
      <c r="AJ32" s="7">
        <f t="shared" si="35"/>
        <v>9.599999999627471</v>
      </c>
      <c r="AK32" s="7">
        <f t="shared" si="41"/>
        <v>9726867.6</v>
      </c>
      <c r="AL32" s="141">
        <f t="shared" si="36"/>
        <v>0</v>
      </c>
      <c r="AM32" s="7">
        <f t="shared" si="37"/>
        <v>9.599999999627471</v>
      </c>
      <c r="AN32" s="130">
        <f t="shared" si="38"/>
        <v>0.9999990130430069</v>
      </c>
      <c r="AO32" s="130">
        <f t="shared" si="42"/>
        <v>1</v>
      </c>
      <c r="AP32" s="130">
        <f t="shared" si="39"/>
        <v>1</v>
      </c>
      <c r="AQ32" s="130">
        <f t="shared" si="43"/>
        <v>1</v>
      </c>
      <c r="AR32" s="135">
        <f t="shared" si="40"/>
        <v>0.9999967261815041</v>
      </c>
    </row>
    <row r="33" spans="1:44" ht="15" customHeight="1">
      <c r="A33" s="170" t="s">
        <v>45</v>
      </c>
      <c r="B33" s="12">
        <v>30000000</v>
      </c>
      <c r="C33" s="7"/>
      <c r="D33" s="7"/>
      <c r="E33" s="7"/>
      <c r="F33" s="7"/>
      <c r="G33" s="7">
        <v>-2350100</v>
      </c>
      <c r="H33" s="7">
        <f t="shared" si="23"/>
        <v>27649900</v>
      </c>
      <c r="I33" s="12">
        <v>7500000</v>
      </c>
      <c r="J33" s="34"/>
      <c r="K33" s="7">
        <v>-2745345</v>
      </c>
      <c r="L33" s="7">
        <f t="shared" si="24"/>
        <v>4754655</v>
      </c>
      <c r="M33" s="7">
        <v>7500000</v>
      </c>
      <c r="N33" s="7"/>
      <c r="O33" s="7">
        <f t="shared" si="25"/>
        <v>-6344190</v>
      </c>
      <c r="P33" s="7">
        <f t="shared" si="26"/>
        <v>1155810</v>
      </c>
      <c r="Q33" s="34">
        <v>3750000</v>
      </c>
      <c r="R33" s="34"/>
      <c r="S33" s="7"/>
      <c r="T33" s="7">
        <f t="shared" si="27"/>
        <v>-177090</v>
      </c>
      <c r="U33" s="7">
        <f t="shared" si="28"/>
        <v>3572910</v>
      </c>
      <c r="V33" s="7">
        <v>20516625</v>
      </c>
      <c r="W33" s="7">
        <v>-2350100</v>
      </c>
      <c r="X33" s="7"/>
      <c r="Y33" s="7"/>
      <c r="Z33" s="7">
        <f t="shared" si="29"/>
        <v>18166525</v>
      </c>
      <c r="AA33" s="7">
        <f t="shared" si="30"/>
        <v>27649900</v>
      </c>
      <c r="AB33" s="414">
        <f>+'[4]FUN ENE-MAR-11'!$G$211</f>
        <v>4754655</v>
      </c>
      <c r="AC33" s="414">
        <f>+'[4]FUN ABR-JUN-11'!$G$229</f>
        <v>1155810</v>
      </c>
      <c r="AD33" s="414">
        <f>+'[4]FUN JUL-SEP-11'!$G$199</f>
        <v>3572910</v>
      </c>
      <c r="AE33" s="414">
        <f>+'[4]FUN OCT-DIC-11'!$G$232</f>
        <v>787090</v>
      </c>
      <c r="AF33" s="414">
        <f t="shared" si="31"/>
        <v>10270465</v>
      </c>
      <c r="AG33" s="7">
        <f t="shared" si="32"/>
        <v>0</v>
      </c>
      <c r="AH33" s="7">
        <f t="shared" si="33"/>
        <v>0</v>
      </c>
      <c r="AI33" s="7">
        <f t="shared" si="34"/>
        <v>0</v>
      </c>
      <c r="AJ33" s="7">
        <f t="shared" si="35"/>
        <v>17379435</v>
      </c>
      <c r="AK33" s="7">
        <f t="shared" si="41"/>
        <v>27649900</v>
      </c>
      <c r="AL33" s="141">
        <f t="shared" si="36"/>
        <v>0</v>
      </c>
      <c r="AM33" s="7">
        <f t="shared" si="37"/>
        <v>17379435</v>
      </c>
      <c r="AN33" s="130">
        <f t="shared" si="38"/>
        <v>0.3714467321762466</v>
      </c>
      <c r="AO33" s="130">
        <f t="shared" si="42"/>
        <v>1</v>
      </c>
      <c r="AP33" s="130">
        <f t="shared" si="39"/>
        <v>1</v>
      </c>
      <c r="AQ33" s="130">
        <f t="shared" si="43"/>
        <v>1</v>
      </c>
      <c r="AR33" s="135">
        <f t="shared" si="40"/>
        <v>0.043326392912238304</v>
      </c>
    </row>
    <row r="34" spans="1:44" ht="15" customHeight="1">
      <c r="A34" s="170" t="s">
        <v>46</v>
      </c>
      <c r="B34" s="12">
        <v>3095100</v>
      </c>
      <c r="C34" s="7"/>
      <c r="D34" s="7"/>
      <c r="E34" s="7"/>
      <c r="F34" s="7"/>
      <c r="G34" s="7"/>
      <c r="H34" s="7">
        <f t="shared" si="23"/>
        <v>3095100</v>
      </c>
      <c r="I34" s="12">
        <v>772500</v>
      </c>
      <c r="J34" s="34"/>
      <c r="K34" s="7">
        <v>-176000</v>
      </c>
      <c r="L34" s="7">
        <f t="shared" si="24"/>
        <v>596500</v>
      </c>
      <c r="M34" s="7">
        <v>773775</v>
      </c>
      <c r="N34" s="7">
        <v>138525</v>
      </c>
      <c r="O34" s="7">
        <f t="shared" si="25"/>
        <v>0</v>
      </c>
      <c r="P34" s="7">
        <f t="shared" si="26"/>
        <v>912300</v>
      </c>
      <c r="Q34" s="7">
        <v>1000000</v>
      </c>
      <c r="R34" s="7"/>
      <c r="S34" s="7"/>
      <c r="T34" s="7">
        <f t="shared" si="27"/>
        <v>-2500</v>
      </c>
      <c r="U34" s="7">
        <f t="shared" si="28"/>
        <v>997500</v>
      </c>
      <c r="V34" s="7">
        <v>588800</v>
      </c>
      <c r="W34" s="7"/>
      <c r="X34" s="7"/>
      <c r="Y34" s="7"/>
      <c r="Z34" s="7">
        <f t="shared" si="29"/>
        <v>588800</v>
      </c>
      <c r="AA34" s="7">
        <f t="shared" si="30"/>
        <v>3095100</v>
      </c>
      <c r="AB34" s="414">
        <f>+'[4]FUN ENE-MAR-11'!$G$222</f>
        <v>596500</v>
      </c>
      <c r="AC34" s="414">
        <f>+'[4]FUN ABR-JUN-11'!$G$239</f>
        <v>912300</v>
      </c>
      <c r="AD34" s="414">
        <f>+'[4]FUN JUL-SEP-11'!$G$213</f>
        <v>997500</v>
      </c>
      <c r="AE34" s="414">
        <f>+'[4]FUN OCT-DIC-11'!$G$242</f>
        <v>574600</v>
      </c>
      <c r="AF34" s="414">
        <f t="shared" si="31"/>
        <v>3080900</v>
      </c>
      <c r="AG34" s="7">
        <f t="shared" si="32"/>
        <v>0</v>
      </c>
      <c r="AH34" s="7">
        <f t="shared" si="33"/>
        <v>0</v>
      </c>
      <c r="AI34" s="7">
        <f t="shared" si="34"/>
        <v>0</v>
      </c>
      <c r="AJ34" s="7">
        <f t="shared" si="35"/>
        <v>14200</v>
      </c>
      <c r="AK34" s="7">
        <f t="shared" si="41"/>
        <v>3095100</v>
      </c>
      <c r="AL34" s="141">
        <f t="shared" si="36"/>
        <v>0</v>
      </c>
      <c r="AM34" s="7">
        <f t="shared" si="37"/>
        <v>14200</v>
      </c>
      <c r="AN34" s="130">
        <f t="shared" si="38"/>
        <v>0.9954121030015185</v>
      </c>
      <c r="AO34" s="130">
        <f t="shared" si="42"/>
        <v>1</v>
      </c>
      <c r="AP34" s="130">
        <f t="shared" si="39"/>
        <v>1</v>
      </c>
      <c r="AQ34" s="130">
        <f t="shared" si="43"/>
        <v>1</v>
      </c>
      <c r="AR34" s="135">
        <f t="shared" si="40"/>
        <v>0.9758831521739131</v>
      </c>
    </row>
    <row r="35" spans="1:44" ht="15" customHeight="1">
      <c r="A35" s="170" t="s">
        <v>112</v>
      </c>
      <c r="B35" s="12">
        <v>25000000</v>
      </c>
      <c r="C35" s="7"/>
      <c r="D35" s="7"/>
      <c r="E35" s="7"/>
      <c r="F35" s="7"/>
      <c r="G35" s="7"/>
      <c r="H35" s="7">
        <f t="shared" si="23"/>
        <v>25000000</v>
      </c>
      <c r="I35" s="12">
        <v>5000000</v>
      </c>
      <c r="J35" s="34"/>
      <c r="K35" s="7">
        <v>-2881410</v>
      </c>
      <c r="L35" s="7">
        <f t="shared" si="24"/>
        <v>2118590</v>
      </c>
      <c r="M35" s="7">
        <v>5000000</v>
      </c>
      <c r="N35" s="7"/>
      <c r="O35" s="7">
        <f t="shared" si="25"/>
        <v>-3817441</v>
      </c>
      <c r="P35" s="7">
        <f t="shared" si="26"/>
        <v>1182559</v>
      </c>
      <c r="Q35" s="7">
        <v>5000000</v>
      </c>
      <c r="R35" s="7"/>
      <c r="S35" s="7">
        <v>-717306</v>
      </c>
      <c r="T35" s="7">
        <f t="shared" si="27"/>
        <v>-2283600</v>
      </c>
      <c r="U35" s="7">
        <f t="shared" si="28"/>
        <v>1999094</v>
      </c>
      <c r="V35" s="7">
        <v>19699757</v>
      </c>
      <c r="W35" s="7"/>
      <c r="X35" s="7"/>
      <c r="Y35" s="7"/>
      <c r="Z35" s="7">
        <f t="shared" si="29"/>
        <v>19699757</v>
      </c>
      <c r="AA35" s="7">
        <f t="shared" si="30"/>
        <v>25000000</v>
      </c>
      <c r="AB35" s="414">
        <f>+'[4]FUN ENE-MAR-11'!$G$271</f>
        <v>2118590</v>
      </c>
      <c r="AC35" s="414">
        <f>+'[4]FUN ABR-JUN-11'!$G$308</f>
        <v>1182559</v>
      </c>
      <c r="AD35" s="414">
        <f>+'[4]FUN JUL-SEP-11'!$G$291</f>
        <v>1999094</v>
      </c>
      <c r="AE35" s="414">
        <f>+'[4]FUN OCT-DIC-11'!$G$285</f>
        <v>11641767</v>
      </c>
      <c r="AF35" s="414">
        <f t="shared" si="31"/>
        <v>16942010</v>
      </c>
      <c r="AG35" s="7">
        <f t="shared" si="32"/>
        <v>0</v>
      </c>
      <c r="AH35" s="7">
        <f t="shared" si="33"/>
        <v>0</v>
      </c>
      <c r="AI35" s="7">
        <f t="shared" si="34"/>
        <v>0</v>
      </c>
      <c r="AJ35" s="7">
        <f t="shared" si="35"/>
        <v>8057990</v>
      </c>
      <c r="AK35" s="7">
        <f t="shared" si="41"/>
        <v>25000000</v>
      </c>
      <c r="AL35" s="141">
        <f t="shared" si="36"/>
        <v>0</v>
      </c>
      <c r="AM35" s="7">
        <f t="shared" si="37"/>
        <v>8057990</v>
      </c>
      <c r="AN35" s="130">
        <f t="shared" si="38"/>
        <v>0.6776804</v>
      </c>
      <c r="AO35" s="130">
        <f t="shared" si="42"/>
        <v>1</v>
      </c>
      <c r="AP35" s="130">
        <f t="shared" si="39"/>
        <v>1</v>
      </c>
      <c r="AQ35" s="130">
        <f t="shared" si="43"/>
        <v>1</v>
      </c>
      <c r="AR35" s="135">
        <f t="shared" si="40"/>
        <v>0.590959929099633</v>
      </c>
    </row>
    <row r="36" spans="1:44" ht="15" customHeight="1">
      <c r="A36" s="170" t="s">
        <v>48</v>
      </c>
      <c r="B36" s="12">
        <v>18570600</v>
      </c>
      <c r="C36" s="7"/>
      <c r="D36" s="7"/>
      <c r="E36" s="7"/>
      <c r="F36" s="7"/>
      <c r="G36" s="7">
        <v>-6500000</v>
      </c>
      <c r="H36" s="7">
        <f t="shared" si="23"/>
        <v>12070600</v>
      </c>
      <c r="I36" s="12">
        <v>5342000</v>
      </c>
      <c r="J36" s="34">
        <v>-1241772</v>
      </c>
      <c r="K36" s="7">
        <f>+(I36+J36-AB36)*-1</f>
        <v>-172303</v>
      </c>
      <c r="L36" s="7">
        <f t="shared" si="24"/>
        <v>3927925</v>
      </c>
      <c r="M36" s="7">
        <v>4342000</v>
      </c>
      <c r="N36" s="7"/>
      <c r="O36" s="7">
        <f t="shared" si="25"/>
        <v>-2729068</v>
      </c>
      <c r="P36" s="7">
        <f t="shared" si="26"/>
        <v>1612932</v>
      </c>
      <c r="Q36" s="7">
        <v>4342000</v>
      </c>
      <c r="R36" s="7"/>
      <c r="S36" s="7"/>
      <c r="T36" s="7">
        <f t="shared" si="27"/>
        <v>-2157421</v>
      </c>
      <c r="U36" s="7">
        <f t="shared" si="28"/>
        <v>2184579</v>
      </c>
      <c r="V36" s="7">
        <v>10845164</v>
      </c>
      <c r="W36" s="7">
        <v>-6500000</v>
      </c>
      <c r="X36" s="7"/>
      <c r="Y36" s="7"/>
      <c r="Z36" s="7">
        <f t="shared" si="29"/>
        <v>4345164</v>
      </c>
      <c r="AA36" s="7">
        <f t="shared" si="30"/>
        <v>12070600</v>
      </c>
      <c r="AB36" s="414">
        <f>+'[4]FUN ENE-MAR-11'!$G$282</f>
        <v>3927925</v>
      </c>
      <c r="AC36" s="414">
        <f>+'[4]FUN ABR-JUN-11'!$G$323</f>
        <v>1612932</v>
      </c>
      <c r="AD36" s="414">
        <f>+'[4]FUN JUL-SEP-11'!$G$301</f>
        <v>2184579</v>
      </c>
      <c r="AE36" s="414">
        <f>+'[4]FUN OCT-DIC-11'!$G$296</f>
        <v>2556372</v>
      </c>
      <c r="AF36" s="414">
        <f t="shared" si="31"/>
        <v>10281808</v>
      </c>
      <c r="AG36" s="7">
        <f t="shared" si="32"/>
        <v>0</v>
      </c>
      <c r="AH36" s="7">
        <f t="shared" si="33"/>
        <v>0</v>
      </c>
      <c r="AI36" s="7">
        <f t="shared" si="34"/>
        <v>0</v>
      </c>
      <c r="AJ36" s="7">
        <f t="shared" si="35"/>
        <v>1788792</v>
      </c>
      <c r="AK36" s="7">
        <f t="shared" si="41"/>
        <v>12070600</v>
      </c>
      <c r="AL36" s="141">
        <f t="shared" si="36"/>
        <v>0</v>
      </c>
      <c r="AM36" s="7">
        <f t="shared" si="37"/>
        <v>1788792</v>
      </c>
      <c r="AN36" s="130">
        <f t="shared" si="38"/>
        <v>0.8518058754328699</v>
      </c>
      <c r="AO36" s="130">
        <v>0</v>
      </c>
      <c r="AP36" s="130">
        <f t="shared" si="39"/>
        <v>1</v>
      </c>
      <c r="AQ36" s="130">
        <f t="shared" si="43"/>
        <v>1</v>
      </c>
      <c r="AR36" s="135">
        <f t="shared" si="40"/>
        <v>0.5883257801086449</v>
      </c>
    </row>
    <row r="37" spans="1:44" ht="15" customHeight="1">
      <c r="A37" s="170" t="s">
        <v>49</v>
      </c>
      <c r="B37" s="12">
        <v>55000000</v>
      </c>
      <c r="C37" s="7"/>
      <c r="D37" s="7"/>
      <c r="E37" s="7"/>
      <c r="F37" s="7"/>
      <c r="G37" s="7">
        <v>6500000</v>
      </c>
      <c r="H37" s="7">
        <f t="shared" si="23"/>
        <v>61500000</v>
      </c>
      <c r="I37" s="12">
        <v>13750000</v>
      </c>
      <c r="J37" s="34">
        <v>1241772</v>
      </c>
      <c r="K37" s="7">
        <v>0</v>
      </c>
      <c r="L37" s="7">
        <f t="shared" si="24"/>
        <v>14991772</v>
      </c>
      <c r="M37" s="7">
        <v>15000000</v>
      </c>
      <c r="N37" s="7">
        <v>544566</v>
      </c>
      <c r="O37" s="7">
        <f t="shared" si="25"/>
        <v>0.13000000081956387</v>
      </c>
      <c r="P37" s="7">
        <f t="shared" si="26"/>
        <v>15544566.13</v>
      </c>
      <c r="Q37" s="7">
        <v>15000000</v>
      </c>
      <c r="R37" s="7"/>
      <c r="S37" s="7">
        <f>-Q37+AD37</f>
        <v>717305.5099999998</v>
      </c>
      <c r="T37" s="7">
        <f t="shared" si="27"/>
        <v>0</v>
      </c>
      <c r="U37" s="7">
        <f t="shared" si="28"/>
        <v>15717305.51</v>
      </c>
      <c r="V37" s="7">
        <v>8746356.359999998</v>
      </c>
      <c r="W37" s="7">
        <v>6500000</v>
      </c>
      <c r="X37" s="7"/>
      <c r="Y37" s="7"/>
      <c r="Z37" s="7">
        <f t="shared" si="29"/>
        <v>15246356.359999998</v>
      </c>
      <c r="AA37" s="7">
        <f t="shared" si="30"/>
        <v>61500000</v>
      </c>
      <c r="AB37" s="414">
        <f>+'[4]FUN ENE-MAR-11'!$G$301</f>
        <v>14991772.000000002</v>
      </c>
      <c r="AC37" s="414">
        <f>+'[4]FUN ABR-JUN-11'!$G$336</f>
        <v>15544566.13</v>
      </c>
      <c r="AD37" s="414">
        <f>+'[4]FUN JUL-SEP-11'!$G$309</f>
        <v>15717305.51</v>
      </c>
      <c r="AE37" s="414">
        <f>+'[4]FUN OCT-DIC-11'!$G$307</f>
        <v>14800073.819999998</v>
      </c>
      <c r="AF37" s="414">
        <f t="shared" si="31"/>
        <v>61053717.46</v>
      </c>
      <c r="AG37" s="7">
        <f t="shared" si="32"/>
        <v>0</v>
      </c>
      <c r="AH37" s="139">
        <v>0</v>
      </c>
      <c r="AI37" s="7">
        <f t="shared" si="34"/>
        <v>0</v>
      </c>
      <c r="AJ37" s="7">
        <f t="shared" si="35"/>
        <v>446282.5399999991</v>
      </c>
      <c r="AK37" s="7">
        <f t="shared" si="41"/>
        <v>61500000</v>
      </c>
      <c r="AL37" s="141">
        <f>+H37-AK37</f>
        <v>0</v>
      </c>
      <c r="AM37" s="7">
        <f t="shared" si="37"/>
        <v>446282.5399999991</v>
      </c>
      <c r="AN37" s="130">
        <f t="shared" si="38"/>
        <v>0.9927433733333334</v>
      </c>
      <c r="AO37" s="130">
        <f>+AB37/L37</f>
        <v>1.0000000000000002</v>
      </c>
      <c r="AP37" s="130">
        <f t="shared" si="39"/>
        <v>1</v>
      </c>
      <c r="AQ37" s="130">
        <f t="shared" si="43"/>
        <v>1</v>
      </c>
      <c r="AR37" s="135">
        <f t="shared" si="40"/>
        <v>0.9707285774081172</v>
      </c>
    </row>
    <row r="38" spans="1:44" ht="15" customHeight="1" thickBot="1">
      <c r="A38" s="170" t="s">
        <v>50</v>
      </c>
      <c r="B38" s="12">
        <v>31186455</v>
      </c>
      <c r="C38" s="47"/>
      <c r="D38" s="47"/>
      <c r="E38" s="47"/>
      <c r="F38" s="47"/>
      <c r="G38" s="47"/>
      <c r="H38" s="7">
        <f t="shared" si="23"/>
        <v>31186455</v>
      </c>
      <c r="I38" s="72">
        <v>0</v>
      </c>
      <c r="J38" s="128"/>
      <c r="K38" s="7">
        <v>0</v>
      </c>
      <c r="L38" s="7">
        <f t="shared" si="24"/>
        <v>0</v>
      </c>
      <c r="M38" s="47"/>
      <c r="N38" s="47"/>
      <c r="O38" s="7"/>
      <c r="P38" s="7">
        <f t="shared" si="26"/>
        <v>0</v>
      </c>
      <c r="Q38" s="47">
        <v>30000000</v>
      </c>
      <c r="R38" s="47"/>
      <c r="S38" s="7"/>
      <c r="T38" s="7">
        <f t="shared" si="27"/>
        <v>-2609157</v>
      </c>
      <c r="U38" s="7">
        <f t="shared" si="28"/>
        <v>27390843</v>
      </c>
      <c r="V38" s="7">
        <v>3795612</v>
      </c>
      <c r="W38" s="47"/>
      <c r="X38" s="47"/>
      <c r="Y38" s="47"/>
      <c r="Z38" s="7">
        <f t="shared" si="29"/>
        <v>3795612</v>
      </c>
      <c r="AA38" s="7">
        <f t="shared" si="30"/>
        <v>31186455</v>
      </c>
      <c r="AB38" s="414">
        <f>+'[4]FUN ENE-MAR-11'!$G$317</f>
        <v>0</v>
      </c>
      <c r="AC38" s="414">
        <f>+'[4]FUN ABR-JUN-11'!$G$352</f>
        <v>0</v>
      </c>
      <c r="AD38" s="414">
        <f>+'[4]FUN JUL-SEP-11'!$G$325</f>
        <v>27390843</v>
      </c>
      <c r="AE38" s="414">
        <f>+'[4]FUN OCT-DIC-11'!$G$327</f>
        <v>0</v>
      </c>
      <c r="AF38" s="414">
        <f t="shared" si="31"/>
        <v>27390843</v>
      </c>
      <c r="AG38" s="7">
        <f t="shared" si="32"/>
        <v>0</v>
      </c>
      <c r="AH38" s="7">
        <f>+P38-AC38</f>
        <v>0</v>
      </c>
      <c r="AI38" s="7">
        <f t="shared" si="34"/>
        <v>0</v>
      </c>
      <c r="AJ38" s="7">
        <f t="shared" si="35"/>
        <v>3795612</v>
      </c>
      <c r="AK38" s="7">
        <f t="shared" si="41"/>
        <v>31186455</v>
      </c>
      <c r="AL38" s="141">
        <f t="shared" si="36"/>
        <v>0</v>
      </c>
      <c r="AM38" s="7">
        <f t="shared" si="37"/>
        <v>3795612</v>
      </c>
      <c r="AN38" s="132">
        <f t="shared" si="38"/>
        <v>0.8782929319796046</v>
      </c>
      <c r="AO38" s="132">
        <v>0</v>
      </c>
      <c r="AP38" s="132">
        <v>0</v>
      </c>
      <c r="AQ38" s="132">
        <f t="shared" si="43"/>
        <v>1</v>
      </c>
      <c r="AR38" s="197">
        <f t="shared" si="40"/>
        <v>0</v>
      </c>
    </row>
    <row r="39" spans="1:44" ht="15" customHeight="1" thickBot="1">
      <c r="A39" s="50" t="s">
        <v>51</v>
      </c>
      <c r="B39" s="50">
        <f>SUM(B25:B38)</f>
        <v>369017569.9694</v>
      </c>
      <c r="C39" s="50">
        <f aca="true" t="shared" si="44" ref="C39:AL39">SUM(C25:C38)</f>
        <v>0</v>
      </c>
      <c r="D39" s="50">
        <f>SUM(D25:D38)</f>
        <v>0</v>
      </c>
      <c r="E39" s="50">
        <f>SUM(E25:E38)</f>
        <v>0</v>
      </c>
      <c r="F39" s="50">
        <f>SUM(F25:F38)</f>
        <v>0</v>
      </c>
      <c r="G39" s="50">
        <f>SUM(G25:G38)</f>
        <v>-2350100</v>
      </c>
      <c r="H39" s="50">
        <f t="shared" si="44"/>
        <v>366667469.9694</v>
      </c>
      <c r="I39" s="50">
        <f t="shared" si="44"/>
        <v>89272120.42500001</v>
      </c>
      <c r="J39" s="50">
        <f t="shared" si="44"/>
        <v>0</v>
      </c>
      <c r="K39" s="50">
        <f t="shared" si="44"/>
        <v>-10751368.785</v>
      </c>
      <c r="L39" s="50">
        <f t="shared" si="44"/>
        <v>78520751.64</v>
      </c>
      <c r="M39" s="50">
        <f t="shared" si="44"/>
        <v>100466869.33405</v>
      </c>
      <c r="N39" s="50">
        <f>SUM(N25:N38)</f>
        <v>0</v>
      </c>
      <c r="O39" s="50">
        <f t="shared" si="44"/>
        <v>-16882674.40405</v>
      </c>
      <c r="P39" s="50">
        <f t="shared" si="44"/>
        <v>83584194.92999999</v>
      </c>
      <c r="Q39" s="50">
        <f t="shared" si="44"/>
        <v>103101471.83405</v>
      </c>
      <c r="R39" s="50">
        <f>SUM(R25:R38)</f>
        <v>0</v>
      </c>
      <c r="S39" s="50">
        <f>SUM(S25:S38)</f>
        <v>-0.4900000002235174</v>
      </c>
      <c r="T39" s="50">
        <f>SUM(T25:T38)</f>
        <v>-15680029.93405</v>
      </c>
      <c r="U39" s="50">
        <f t="shared" si="44"/>
        <v>87421441.41</v>
      </c>
      <c r="V39" s="50">
        <f t="shared" si="44"/>
        <v>119491181.9894</v>
      </c>
      <c r="W39" s="50">
        <f t="shared" si="44"/>
        <v>-2350100</v>
      </c>
      <c r="X39" s="50"/>
      <c r="Y39" s="50">
        <f t="shared" si="44"/>
        <v>0</v>
      </c>
      <c r="Z39" s="50">
        <f t="shared" si="44"/>
        <v>117141081.9894</v>
      </c>
      <c r="AA39" s="50">
        <f t="shared" si="44"/>
        <v>366667469.9694</v>
      </c>
      <c r="AB39" s="50">
        <f t="shared" si="44"/>
        <v>78520751.64</v>
      </c>
      <c r="AC39" s="50">
        <f t="shared" si="44"/>
        <v>83584194.92999999</v>
      </c>
      <c r="AD39" s="50">
        <f t="shared" si="44"/>
        <v>87421441.41</v>
      </c>
      <c r="AE39" s="50">
        <f t="shared" si="44"/>
        <v>77421469.82</v>
      </c>
      <c r="AF39" s="50">
        <f t="shared" si="44"/>
        <v>326947857.8</v>
      </c>
      <c r="AG39" s="50">
        <f t="shared" si="44"/>
        <v>0</v>
      </c>
      <c r="AH39" s="50">
        <f t="shared" si="44"/>
        <v>0</v>
      </c>
      <c r="AI39" s="50">
        <f t="shared" si="44"/>
        <v>0</v>
      </c>
      <c r="AJ39" s="50">
        <f>SUM(AJ25:AJ38)</f>
        <v>39719612.1694</v>
      </c>
      <c r="AK39" s="50">
        <f t="shared" si="44"/>
        <v>366667469.9694</v>
      </c>
      <c r="AL39" s="194">
        <f t="shared" si="44"/>
        <v>0</v>
      </c>
      <c r="AM39" s="50">
        <f>SUM(AM25:AM38)</f>
        <v>39719612.1694</v>
      </c>
      <c r="AN39" s="148">
        <f t="shared" si="38"/>
        <v>0.8916740223158746</v>
      </c>
      <c r="AO39" s="148">
        <f>+AB39/L39</f>
        <v>1</v>
      </c>
      <c r="AP39" s="148">
        <f>+AC39/P39</f>
        <v>1</v>
      </c>
      <c r="AQ39" s="148">
        <f>+AD39/U39</f>
        <v>1</v>
      </c>
      <c r="AR39" s="148">
        <f t="shared" si="40"/>
        <v>0.6609250017598932</v>
      </c>
    </row>
    <row r="40" spans="1:44" ht="15" customHeight="1">
      <c r="A40" s="171"/>
      <c r="B40" s="47"/>
      <c r="C40" s="47"/>
      <c r="D40" s="47"/>
      <c r="E40" s="47"/>
      <c r="F40" s="47"/>
      <c r="G40" s="47"/>
      <c r="H40" s="37"/>
      <c r="I40" s="37"/>
      <c r="J40" s="37"/>
      <c r="K40" s="37"/>
      <c r="L40" s="37"/>
      <c r="M40" s="37"/>
      <c r="N40" s="4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44"/>
      <c r="AI40" s="44"/>
      <c r="AJ40" s="44"/>
      <c r="AK40" s="44"/>
      <c r="AL40" s="44"/>
      <c r="AM40" s="44"/>
      <c r="AN40" s="113"/>
      <c r="AO40" s="113"/>
      <c r="AP40" s="113"/>
      <c r="AQ40" s="198"/>
      <c r="AR40" s="199"/>
    </row>
    <row r="41" spans="1:44" ht="15" customHeight="1">
      <c r="A41" s="173" t="s">
        <v>58</v>
      </c>
      <c r="B41" s="19">
        <v>927081953.1505461</v>
      </c>
      <c r="C41" s="36"/>
      <c r="D41" s="36"/>
      <c r="E41" s="36"/>
      <c r="F41" s="36">
        <v>44389398.842745595</v>
      </c>
      <c r="G41" s="36"/>
      <c r="H41" s="36">
        <f>SUM(B41:G41)</f>
        <v>971471351.9932916</v>
      </c>
      <c r="I41" s="36">
        <v>202211418.9</v>
      </c>
      <c r="J41" s="36"/>
      <c r="K41" s="7">
        <v>14321177.099999994</v>
      </c>
      <c r="L41" s="36">
        <f>SUM(I41:K41)</f>
        <v>216532596</v>
      </c>
      <c r="M41" s="36">
        <v>229171781.8</v>
      </c>
      <c r="N41" s="36"/>
      <c r="O41" s="7">
        <f>+AC41-M41-N41</f>
        <v>7783884.699999988</v>
      </c>
      <c r="P41" s="36">
        <f>+SUM(M41:O41)</f>
        <v>236955666.5</v>
      </c>
      <c r="Q41" s="36">
        <v>240802528.8</v>
      </c>
      <c r="R41" s="36"/>
      <c r="S41" s="36"/>
      <c r="T41" s="7">
        <f>-Q41-R41-S41+AD41</f>
        <v>10988726.199999988</v>
      </c>
      <c r="U41" s="36">
        <f>+SUM(Q41:T41)</f>
        <v>251791255</v>
      </c>
      <c r="V41" s="36">
        <v>262766302.00054613</v>
      </c>
      <c r="W41" s="36"/>
      <c r="X41" s="36"/>
      <c r="Y41" s="36"/>
      <c r="Z41" s="36">
        <f>+SUM(V41:Y41)</f>
        <v>262766302.00054613</v>
      </c>
      <c r="AA41" s="36">
        <f>+L41+P41+U41+Z41</f>
        <v>968045819.5005461</v>
      </c>
      <c r="AB41" s="430">
        <f>+'[4]FUN ENE-MAR-11'!$G$322</f>
        <v>216532596</v>
      </c>
      <c r="AC41" s="430">
        <f>+'[4]FUN ABR-JUN-11'!$G$357</f>
        <v>236955666.5</v>
      </c>
      <c r="AD41" s="430">
        <f>+'[4]FUN JUL-SEP-11'!$G$331</f>
        <v>251791255</v>
      </c>
      <c r="AE41" s="430">
        <f>+'[4]FUN OCT-DIC-11'!$G$334</f>
        <v>269310139</v>
      </c>
      <c r="AF41" s="430">
        <f>SUM(AB41:AE41)</f>
        <v>974589656.5</v>
      </c>
      <c r="AG41" s="36">
        <f>+L41-AB41</f>
        <v>0</v>
      </c>
      <c r="AH41" s="36">
        <f>+P41-AC41</f>
        <v>0</v>
      </c>
      <c r="AI41" s="36">
        <f>+U41-AD41</f>
        <v>0</v>
      </c>
      <c r="AJ41" s="36">
        <f>+Z41-AE41</f>
        <v>-6543836.999453872</v>
      </c>
      <c r="AK41" s="36">
        <f>+AA41</f>
        <v>968045819.5005461</v>
      </c>
      <c r="AL41" s="142">
        <f>+H41-AK41</f>
        <v>3425532.4927455187</v>
      </c>
      <c r="AM41" s="36">
        <f>+AK41-AF41</f>
        <v>-6543836.999453902</v>
      </c>
      <c r="AN41" s="552">
        <f>+AF41/H41</f>
        <v>1.0032098779859129</v>
      </c>
      <c r="AO41" s="133">
        <f>+AB41/L41</f>
        <v>1</v>
      </c>
      <c r="AP41" s="133">
        <f>+AC41/P41</f>
        <v>1</v>
      </c>
      <c r="AQ41" s="133">
        <f>+AD41/U41</f>
        <v>1</v>
      </c>
      <c r="AR41" s="136">
        <f>+AE41/Z41</f>
        <v>1.024903638516937</v>
      </c>
    </row>
    <row r="42" spans="1:44" ht="15" customHeight="1">
      <c r="A42" s="170"/>
      <c r="B42" s="1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36"/>
      <c r="R42" s="36"/>
      <c r="S42" s="36"/>
      <c r="T42" s="36"/>
      <c r="U42" s="36"/>
      <c r="V42" s="7"/>
      <c r="W42" s="7"/>
      <c r="X42" s="7"/>
      <c r="Y42" s="7"/>
      <c r="Z42" s="7"/>
      <c r="AA42" s="7"/>
      <c r="AB42" s="414"/>
      <c r="AC42" s="414"/>
      <c r="AD42" s="414"/>
      <c r="AE42" s="414"/>
      <c r="AF42" s="414"/>
      <c r="AG42" s="7"/>
      <c r="AH42" s="36"/>
      <c r="AI42" s="36"/>
      <c r="AJ42" s="36"/>
      <c r="AK42" s="7"/>
      <c r="AL42" s="141"/>
      <c r="AM42" s="36"/>
      <c r="AN42" s="64"/>
      <c r="AO42" s="64"/>
      <c r="AP42" s="64"/>
      <c r="AQ42" s="64"/>
      <c r="AR42" s="183"/>
    </row>
    <row r="43" spans="1:83" s="77" customFormat="1" ht="15" customHeight="1">
      <c r="A43" s="173" t="s">
        <v>59</v>
      </c>
      <c r="B43" s="36">
        <f aca="true" t="shared" si="45" ref="B43:G43">+SUM(B44:B45)</f>
        <v>718642359</v>
      </c>
      <c r="C43" s="36">
        <f t="shared" si="45"/>
        <v>69812645</v>
      </c>
      <c r="D43" s="36">
        <f t="shared" si="45"/>
        <v>-2664985</v>
      </c>
      <c r="E43" s="36">
        <f t="shared" si="45"/>
        <v>40400000</v>
      </c>
      <c r="F43" s="36">
        <f t="shared" si="45"/>
        <v>350553824</v>
      </c>
      <c r="G43" s="36">
        <f t="shared" si="45"/>
        <v>-277000000</v>
      </c>
      <c r="H43" s="36">
        <f>SUM(B43:G43)</f>
        <v>899743843</v>
      </c>
      <c r="I43" s="58">
        <f aca="true" t="shared" si="46" ref="I43:AK43">+SUM(I44:I45)</f>
        <v>0</v>
      </c>
      <c r="J43" s="58">
        <f t="shared" si="46"/>
        <v>0</v>
      </c>
      <c r="K43" s="58">
        <f t="shared" si="46"/>
        <v>0</v>
      </c>
      <c r="L43" s="58">
        <f t="shared" si="46"/>
        <v>0</v>
      </c>
      <c r="M43" s="58">
        <f t="shared" si="46"/>
        <v>0</v>
      </c>
      <c r="N43" s="36">
        <f>+SUM(N44:N45)</f>
        <v>0</v>
      </c>
      <c r="O43" s="58">
        <f t="shared" si="46"/>
        <v>0</v>
      </c>
      <c r="P43" s="58">
        <f t="shared" si="46"/>
        <v>0</v>
      </c>
      <c r="Q43" s="58">
        <f t="shared" si="46"/>
        <v>0</v>
      </c>
      <c r="R43" s="58">
        <v>0</v>
      </c>
      <c r="S43" s="58">
        <v>0</v>
      </c>
      <c r="T43" s="58">
        <v>0</v>
      </c>
      <c r="U43" s="58">
        <f t="shared" si="46"/>
        <v>0</v>
      </c>
      <c r="V43" s="58">
        <f t="shared" si="46"/>
        <v>0</v>
      </c>
      <c r="W43" s="58">
        <f t="shared" si="46"/>
        <v>0</v>
      </c>
      <c r="X43" s="58"/>
      <c r="Y43" s="58">
        <f t="shared" si="46"/>
        <v>0</v>
      </c>
      <c r="Z43" s="58">
        <f t="shared" si="46"/>
        <v>0</v>
      </c>
      <c r="AA43" s="58">
        <f t="shared" si="46"/>
        <v>0</v>
      </c>
      <c r="AB43" s="58">
        <f t="shared" si="46"/>
        <v>0</v>
      </c>
      <c r="AC43" s="58">
        <f t="shared" si="46"/>
        <v>0</v>
      </c>
      <c r="AD43" s="58">
        <f t="shared" si="46"/>
        <v>0</v>
      </c>
      <c r="AE43" s="58">
        <f t="shared" si="46"/>
        <v>0</v>
      </c>
      <c r="AF43" s="58">
        <f t="shared" si="46"/>
        <v>0</v>
      </c>
      <c r="AG43" s="58">
        <f t="shared" si="46"/>
        <v>0</v>
      </c>
      <c r="AH43" s="58">
        <f t="shared" si="46"/>
        <v>0</v>
      </c>
      <c r="AI43" s="58">
        <f t="shared" si="46"/>
        <v>0</v>
      </c>
      <c r="AJ43" s="58">
        <f>+SUM(AJ44:AJ45)</f>
        <v>0</v>
      </c>
      <c r="AK43" s="58">
        <f t="shared" si="46"/>
        <v>0</v>
      </c>
      <c r="AL43" s="141">
        <f>+SUM(AL44:AL45)</f>
        <v>899743843</v>
      </c>
      <c r="AM43" s="58">
        <f>+AM44+AM45</f>
        <v>0</v>
      </c>
      <c r="AN43" s="74"/>
      <c r="AO43" s="74"/>
      <c r="AP43" s="74"/>
      <c r="AQ43" s="74"/>
      <c r="AR43" s="110"/>
      <c r="AS43" s="66"/>
      <c r="AT43" s="66"/>
      <c r="AU43" s="6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</row>
    <row r="44" spans="1:44" ht="15" customHeight="1">
      <c r="A44" s="170" t="s">
        <v>60</v>
      </c>
      <c r="B44" s="7">
        <v>159414236</v>
      </c>
      <c r="C44" s="7">
        <v>-159414236</v>
      </c>
      <c r="D44" s="7"/>
      <c r="E44" s="7"/>
      <c r="F44" s="377">
        <f>233044344+19800000-6900500+37613813-8500000-15000000-6000000-33000000-25000000-136057657-20000000-20000000-20000000</f>
        <v>0</v>
      </c>
      <c r="G44" s="7"/>
      <c r="H44" s="7">
        <f>SUM(B44:G44)</f>
        <v>0</v>
      </c>
      <c r="I44" s="7"/>
      <c r="J44" s="7"/>
      <c r="K44" s="7">
        <v>0</v>
      </c>
      <c r="L44" s="7">
        <f>SUM(I44:J44)</f>
        <v>0</v>
      </c>
      <c r="M44" s="7"/>
      <c r="N44" s="7">
        <v>0</v>
      </c>
      <c r="O44" s="7">
        <f>+AC44-M44-N44</f>
        <v>0</v>
      </c>
      <c r="P44" s="7">
        <f>+SUM(M44:O44)</f>
        <v>0</v>
      </c>
      <c r="Q44" s="7"/>
      <c r="R44" s="7"/>
      <c r="S44" s="7"/>
      <c r="T44" s="7"/>
      <c r="U44" s="7">
        <f>+SUM(Q44:T44)</f>
        <v>0</v>
      </c>
      <c r="V44" s="7"/>
      <c r="W44" s="7">
        <v>0</v>
      </c>
      <c r="X44" s="7"/>
      <c r="Y44" s="7"/>
      <c r="Z44" s="7">
        <f>+SUM(V44:Y44)</f>
        <v>0</v>
      </c>
      <c r="AA44" s="7">
        <f>+L44+P44+U44+Z44</f>
        <v>0</v>
      </c>
      <c r="AB44" s="7">
        <v>0</v>
      </c>
      <c r="AC44" s="7">
        <v>0</v>
      </c>
      <c r="AD44" s="7">
        <v>0</v>
      </c>
      <c r="AE44" s="7"/>
      <c r="AF44" s="7">
        <f>SUM(AB44:AE44)</f>
        <v>0</v>
      </c>
      <c r="AG44" s="7">
        <f>+L44-AB44</f>
        <v>0</v>
      </c>
      <c r="AH44" s="7">
        <f>+P44-AC44</f>
        <v>0</v>
      </c>
      <c r="AI44" s="7">
        <f>+U44-AD44</f>
        <v>0</v>
      </c>
      <c r="AJ44" s="7">
        <f>+Z44-AE44</f>
        <v>0</v>
      </c>
      <c r="AK44" s="7">
        <f>+AA44</f>
        <v>0</v>
      </c>
      <c r="AL44" s="141">
        <f>+H44-AK44</f>
        <v>0</v>
      </c>
      <c r="AM44" s="7">
        <f>+AK44-AF44</f>
        <v>0</v>
      </c>
      <c r="AN44" s="420">
        <v>0</v>
      </c>
      <c r="AO44" s="130">
        <v>0</v>
      </c>
      <c r="AP44" s="130">
        <v>0</v>
      </c>
      <c r="AQ44" s="130">
        <v>0</v>
      </c>
      <c r="AR44" s="135">
        <v>0</v>
      </c>
    </row>
    <row r="45" spans="1:44" ht="15" customHeight="1">
      <c r="A45" s="170" t="s">
        <v>113</v>
      </c>
      <c r="B45" s="7">
        <v>559228123</v>
      </c>
      <c r="C45" s="7">
        <v>229226881</v>
      </c>
      <c r="D45" s="237">
        <v>-2664985</v>
      </c>
      <c r="E45" s="7">
        <v>40400000</v>
      </c>
      <c r="F45" s="378">
        <f>99876147+152020122+36700000+61957555</f>
        <v>350553824</v>
      </c>
      <c r="G45" s="8">
        <f>-7000000-270000000</f>
        <v>-277000000</v>
      </c>
      <c r="H45" s="7">
        <f>SUM(B45:G45)</f>
        <v>899743843</v>
      </c>
      <c r="I45" s="7"/>
      <c r="J45" s="7"/>
      <c r="K45" s="7">
        <v>0</v>
      </c>
      <c r="L45" s="7">
        <f>SUM(I45:J45)</f>
        <v>0</v>
      </c>
      <c r="M45" s="7"/>
      <c r="N45" s="7">
        <v>0</v>
      </c>
      <c r="O45" s="7">
        <f>+AC45-M45-N45</f>
        <v>0</v>
      </c>
      <c r="P45" s="7">
        <f>+SUM(M45:O45)</f>
        <v>0</v>
      </c>
      <c r="Q45" s="7"/>
      <c r="R45" s="7"/>
      <c r="S45" s="7"/>
      <c r="T45" s="7"/>
      <c r="U45" s="7">
        <f>+SUM(Q45:T45)</f>
        <v>0</v>
      </c>
      <c r="V45" s="7"/>
      <c r="W45" s="7">
        <v>0</v>
      </c>
      <c r="X45" s="7"/>
      <c r="Y45" s="7"/>
      <c r="Z45" s="7">
        <f>+SUM(V45:Y45)</f>
        <v>0</v>
      </c>
      <c r="AA45" s="7">
        <f>+L45+P45+U45+Z45</f>
        <v>0</v>
      </c>
      <c r="AB45" s="7">
        <v>0</v>
      </c>
      <c r="AC45" s="7">
        <v>0</v>
      </c>
      <c r="AD45" s="7">
        <v>0</v>
      </c>
      <c r="AE45" s="7"/>
      <c r="AF45" s="7">
        <f>SUM(AB45:AE45)</f>
        <v>0</v>
      </c>
      <c r="AG45" s="7">
        <f>+L45-AB45</f>
        <v>0</v>
      </c>
      <c r="AH45" s="7">
        <f>+P45-AC45</f>
        <v>0</v>
      </c>
      <c r="AI45" s="7">
        <f>+U45-AD45</f>
        <v>0</v>
      </c>
      <c r="AJ45" s="7">
        <f>+Z45-AE45</f>
        <v>0</v>
      </c>
      <c r="AK45" s="7">
        <f>+AA45</f>
        <v>0</v>
      </c>
      <c r="AL45" s="141">
        <f>+H45-AK45</f>
        <v>899743843</v>
      </c>
      <c r="AM45" s="7">
        <f>+AK45-AF45</f>
        <v>0</v>
      </c>
      <c r="AN45" s="130">
        <f>+AF45/H45</f>
        <v>0</v>
      </c>
      <c r="AO45" s="130">
        <v>0</v>
      </c>
      <c r="AP45" s="130">
        <v>0</v>
      </c>
      <c r="AQ45" s="130">
        <v>0</v>
      </c>
      <c r="AR45" s="135">
        <v>0</v>
      </c>
    </row>
    <row r="46" spans="1:44" ht="15" customHeight="1" thickBot="1">
      <c r="A46" s="171"/>
      <c r="B46" s="47"/>
      <c r="C46" s="47"/>
      <c r="D46" s="47"/>
      <c r="E46" s="47"/>
      <c r="F46" s="47"/>
      <c r="G46" s="47"/>
      <c r="H46" s="11"/>
      <c r="I46" s="11"/>
      <c r="J46" s="11"/>
      <c r="K46" s="11"/>
      <c r="L46" s="11"/>
      <c r="M46" s="11"/>
      <c r="N46" s="4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97"/>
      <c r="AI46" s="97"/>
      <c r="AJ46" s="97"/>
      <c r="AK46" s="11"/>
      <c r="AL46" s="129"/>
      <c r="AM46" s="11"/>
      <c r="AN46" s="68"/>
      <c r="AO46" s="68"/>
      <c r="AP46" s="68"/>
      <c r="AQ46" s="68"/>
      <c r="AR46" s="116"/>
    </row>
    <row r="47" spans="1:44" ht="15" customHeight="1" thickBot="1">
      <c r="A47" s="50" t="s">
        <v>62</v>
      </c>
      <c r="B47" s="50">
        <f aca="true" t="shared" si="47" ref="B47:H47">+B22+B39+B41+B43</f>
        <v>2276894861.119946</v>
      </c>
      <c r="C47" s="50">
        <f t="shared" si="47"/>
        <v>69812645</v>
      </c>
      <c r="D47" s="50">
        <f t="shared" si="47"/>
        <v>-2664985</v>
      </c>
      <c r="E47" s="50">
        <f t="shared" si="47"/>
        <v>40400000</v>
      </c>
      <c r="F47" s="50">
        <f t="shared" si="47"/>
        <v>390243222.8427456</v>
      </c>
      <c r="G47" s="50">
        <f>+G22+G39+G41+G43</f>
        <v>-277000000</v>
      </c>
      <c r="H47" s="50">
        <f t="shared" si="47"/>
        <v>2497685743.9626913</v>
      </c>
      <c r="I47" s="50">
        <f aca="true" t="shared" si="48" ref="I47:AL47">+I22+I39+I41+I43</f>
        <v>357678990.13494915</v>
      </c>
      <c r="J47" s="50">
        <f>+J22+J39+J41+J43</f>
        <v>0</v>
      </c>
      <c r="K47" s="50">
        <f>+K22+K39+K41+K43</f>
        <v>-6928663.494949132</v>
      </c>
      <c r="L47" s="50">
        <f t="shared" si="48"/>
        <v>350750326.64</v>
      </c>
      <c r="M47" s="50">
        <f t="shared" si="48"/>
        <v>413828598.1125994</v>
      </c>
      <c r="N47" s="50">
        <f>+N22+N39+N41+N43</f>
        <v>0</v>
      </c>
      <c r="O47" s="50">
        <f t="shared" si="48"/>
        <v>-19485135.68259935</v>
      </c>
      <c r="P47" s="50">
        <f t="shared" si="48"/>
        <v>394343462.43</v>
      </c>
      <c r="Q47" s="50">
        <f t="shared" si="48"/>
        <v>404893947.6125994</v>
      </c>
      <c r="R47" s="50">
        <f t="shared" si="48"/>
        <v>0</v>
      </c>
      <c r="S47" s="50">
        <f>+S22+S39+S41+S43</f>
        <v>-0.22866954022902064</v>
      </c>
      <c r="T47" s="50">
        <f t="shared" si="48"/>
        <v>-6310709.973929811</v>
      </c>
      <c r="U47" s="50">
        <f t="shared" si="48"/>
        <v>398583237.40999997</v>
      </c>
      <c r="V47" s="50">
        <f t="shared" si="48"/>
        <v>450839341.9899461</v>
      </c>
      <c r="W47" s="50">
        <f t="shared" si="48"/>
        <v>0</v>
      </c>
      <c r="X47" s="50"/>
      <c r="Y47" s="50">
        <f t="shared" si="48"/>
        <v>0</v>
      </c>
      <c r="Z47" s="50">
        <f t="shared" si="48"/>
        <v>450839341.9899461</v>
      </c>
      <c r="AA47" s="50">
        <f t="shared" si="48"/>
        <v>1594516368.469946</v>
      </c>
      <c r="AB47" s="50">
        <f t="shared" si="48"/>
        <v>350750326.64</v>
      </c>
      <c r="AC47" s="50">
        <f t="shared" si="48"/>
        <v>394343462.43</v>
      </c>
      <c r="AD47" s="50">
        <f t="shared" si="48"/>
        <v>398583237.40999997</v>
      </c>
      <c r="AE47" s="50">
        <f t="shared" si="48"/>
        <v>406966926.82</v>
      </c>
      <c r="AF47" s="50">
        <f t="shared" si="48"/>
        <v>1550643953.3</v>
      </c>
      <c r="AG47" s="50">
        <f t="shared" si="48"/>
        <v>0</v>
      </c>
      <c r="AH47" s="50">
        <f t="shared" si="48"/>
        <v>0</v>
      </c>
      <c r="AI47" s="50">
        <f t="shared" si="48"/>
        <v>0</v>
      </c>
      <c r="AJ47" s="50">
        <f>+AJ22+AJ39+AJ41+AJ43</f>
        <v>43872415.16994613</v>
      </c>
      <c r="AK47" s="50">
        <f t="shared" si="48"/>
        <v>1594516368.469946</v>
      </c>
      <c r="AL47" s="50">
        <f t="shared" si="48"/>
        <v>903169375.4927455</v>
      </c>
      <c r="AM47" s="50">
        <f>+AM22+AM39+AM41+AM43</f>
        <v>43872415.1699461</v>
      </c>
      <c r="AN47" s="148">
        <f>+AF47/(H47-H43)</f>
        <v>0.9704007087903531</v>
      </c>
      <c r="AO47" s="148">
        <f>+AB47/L47</f>
        <v>1</v>
      </c>
      <c r="AP47" s="148">
        <f>+AC47/P47</f>
        <v>1</v>
      </c>
      <c r="AQ47" s="148">
        <f>+AD47/U47</f>
        <v>1</v>
      </c>
      <c r="AR47" s="148">
        <f>+AE47/Z47</f>
        <v>0.902687252234246</v>
      </c>
    </row>
    <row r="48" ht="15" customHeight="1"/>
    <row r="49" spans="5:29" ht="15" customHeight="1">
      <c r="E49" s="3" t="e">
        <f>+B47+C47+D47+E47+F47-H47+#REF!+G47</f>
        <v>#REF!</v>
      </c>
      <c r="AC49" s="83"/>
    </row>
    <row r="50" spans="8:27" ht="15" customHeight="1">
      <c r="H50" s="80"/>
      <c r="AA50" s="303"/>
    </row>
    <row r="51" spans="27:31" ht="15" customHeight="1">
      <c r="AA51" s="306" t="s">
        <v>289</v>
      </c>
      <c r="AB51" s="2">
        <f>+AB41*25%</f>
        <v>54133149</v>
      </c>
      <c r="AC51" s="2">
        <f>+AC41*25%</f>
        <v>59238916.625</v>
      </c>
      <c r="AD51" s="2">
        <f>+AD41*25%</f>
        <v>62947813.75</v>
      </c>
      <c r="AE51" s="2">
        <f>+AE41*25%</f>
        <v>67327534.75</v>
      </c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15">
    <mergeCell ref="E7:E8"/>
    <mergeCell ref="D7:D8"/>
    <mergeCell ref="F7:F8"/>
    <mergeCell ref="G7:G8"/>
    <mergeCell ref="A7:A8"/>
    <mergeCell ref="A1:O1"/>
    <mergeCell ref="A2:O2"/>
    <mergeCell ref="A3:O3"/>
    <mergeCell ref="A4:O4"/>
    <mergeCell ref="V7:Z7"/>
    <mergeCell ref="A5:O5"/>
    <mergeCell ref="C7:C8"/>
    <mergeCell ref="Q7:U7"/>
    <mergeCell ref="I7:L7"/>
    <mergeCell ref="M7:P7"/>
  </mergeCells>
  <printOptions/>
  <pageMargins left="0.66" right="0.1968503937007874" top="0.39" bottom="0.2362204724409449" header="0" footer="0"/>
  <pageSetup horizontalDpi="600" verticalDpi="600" orientation="landscape" scale="75" r:id="rId3"/>
  <rowBreaks count="1" manualBreakCount="1">
    <brk id="49" max="43" man="1"/>
  </rowBreaks>
  <colBreaks count="1" manualBreakCount="1">
    <brk id="4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3"/>
  <sheetViews>
    <sheetView zoomScale="75" zoomScaleNormal="75" zoomScalePageLayoutView="0" workbookViewId="0" topLeftCell="A1">
      <selection activeCell="A3" sqref="A3:G3"/>
    </sheetView>
  </sheetViews>
  <sheetFormatPr defaultColWidth="11.421875" defaultRowHeight="12.75" outlineLevelCol="1"/>
  <cols>
    <col min="1" max="1" width="46.8515625" style="433" customWidth="1"/>
    <col min="2" max="2" width="18.8515625" style="433" customWidth="1"/>
    <col min="3" max="4" width="17.140625" style="433" customWidth="1"/>
    <col min="5" max="6" width="17.8515625" style="433" customWidth="1"/>
    <col min="7" max="7" width="18.7109375" style="433" customWidth="1"/>
    <col min="8" max="8" width="11.421875" style="433" customWidth="1"/>
    <col min="9" max="9" width="14.00390625" style="439" hidden="1" customWidth="1" outlineLevel="1"/>
    <col min="10" max="10" width="11.421875" style="439" hidden="1" customWidth="1" outlineLevel="1"/>
    <col min="11" max="11" width="11.421875" style="433" customWidth="1" collapsed="1"/>
    <col min="12" max="16384" width="11.421875" style="433" customWidth="1"/>
  </cols>
  <sheetData>
    <row r="1" spans="1:7" ht="12.75">
      <c r="A1" s="432"/>
      <c r="B1" s="432"/>
      <c r="C1" s="432"/>
      <c r="D1" s="432"/>
      <c r="E1" s="432"/>
      <c r="F1" s="432"/>
      <c r="G1" s="432"/>
    </row>
    <row r="2" spans="1:7" ht="15">
      <c r="A2" s="679" t="s">
        <v>0</v>
      </c>
      <c r="B2" s="679"/>
      <c r="C2" s="679"/>
      <c r="D2" s="679"/>
      <c r="E2" s="679"/>
      <c r="F2" s="679"/>
      <c r="G2" s="679"/>
    </row>
    <row r="3" spans="1:7" ht="15">
      <c r="A3" s="679" t="s">
        <v>314</v>
      </c>
      <c r="B3" s="679"/>
      <c r="C3" s="679"/>
      <c r="D3" s="679"/>
      <c r="E3" s="679"/>
      <c r="F3" s="679"/>
      <c r="G3" s="679"/>
    </row>
    <row r="4" spans="1:7" ht="15">
      <c r="A4" s="679" t="s">
        <v>399</v>
      </c>
      <c r="B4" s="679"/>
      <c r="C4" s="679"/>
      <c r="D4" s="679"/>
      <c r="E4" s="679"/>
      <c r="F4" s="679"/>
      <c r="G4" s="679"/>
    </row>
    <row r="5" spans="1:7" ht="12.75">
      <c r="A5" s="432"/>
      <c r="B5" s="432"/>
      <c r="C5" s="432"/>
      <c r="D5" s="432"/>
      <c r="E5" s="432"/>
      <c r="F5" s="432"/>
      <c r="G5" s="432"/>
    </row>
    <row r="6" spans="1:7" ht="15">
      <c r="A6" s="674" t="s">
        <v>315</v>
      </c>
      <c r="B6" s="675"/>
      <c r="C6" s="434" t="s">
        <v>12</v>
      </c>
      <c r="D6" s="434" t="s">
        <v>13</v>
      </c>
      <c r="E6" s="434" t="s">
        <v>14</v>
      </c>
      <c r="F6" s="434" t="s">
        <v>15</v>
      </c>
      <c r="G6" s="434" t="s">
        <v>7</v>
      </c>
    </row>
    <row r="7" spans="1:7" ht="12.75">
      <c r="A7" s="435" t="s">
        <v>316</v>
      </c>
      <c r="B7" s="436">
        <v>48051301</v>
      </c>
      <c r="C7" s="437">
        <v>223070</v>
      </c>
      <c r="D7" s="437">
        <v>816692</v>
      </c>
      <c r="E7" s="437">
        <v>2464063</v>
      </c>
      <c r="F7" s="437">
        <v>3291919</v>
      </c>
      <c r="G7" s="467">
        <f aca="true" t="shared" si="0" ref="G7:G12">SUM(C7:F7)</f>
        <v>6795744</v>
      </c>
    </row>
    <row r="8" spans="1:7" ht="12.75">
      <c r="A8" s="435" t="s">
        <v>317</v>
      </c>
      <c r="B8" s="436">
        <v>48050401</v>
      </c>
      <c r="C8" s="437">
        <v>0</v>
      </c>
      <c r="D8" s="437">
        <v>0</v>
      </c>
      <c r="E8" s="437">
        <v>0</v>
      </c>
      <c r="F8" s="437">
        <v>0</v>
      </c>
      <c r="G8" s="467">
        <f t="shared" si="0"/>
        <v>0</v>
      </c>
    </row>
    <row r="9" spans="1:7" ht="12.75">
      <c r="A9" s="435" t="s">
        <v>318</v>
      </c>
      <c r="B9" s="436">
        <v>48100701</v>
      </c>
      <c r="C9" s="437"/>
      <c r="D9" s="437"/>
      <c r="E9" s="437">
        <v>794</v>
      </c>
      <c r="F9" s="437">
        <v>-794</v>
      </c>
      <c r="G9" s="467">
        <f t="shared" si="0"/>
        <v>0</v>
      </c>
    </row>
    <row r="10" spans="1:7" ht="12.75">
      <c r="A10" s="435" t="s">
        <v>319</v>
      </c>
      <c r="B10" s="436">
        <v>1810900301</v>
      </c>
      <c r="C10" s="437">
        <v>893</v>
      </c>
      <c r="D10" s="437"/>
      <c r="E10" s="437">
        <v>449</v>
      </c>
      <c r="F10" s="437">
        <v>2040</v>
      </c>
      <c r="G10" s="467">
        <f t="shared" si="0"/>
        <v>3382</v>
      </c>
    </row>
    <row r="11" spans="1:7" ht="12.75">
      <c r="A11" s="435" t="s">
        <v>320</v>
      </c>
      <c r="B11" s="436">
        <v>48060101</v>
      </c>
      <c r="C11" s="437"/>
      <c r="D11" s="437"/>
      <c r="E11" s="437">
        <v>5368</v>
      </c>
      <c r="F11" s="437">
        <v>41648</v>
      </c>
      <c r="G11" s="467">
        <f t="shared" si="0"/>
        <v>47016</v>
      </c>
    </row>
    <row r="12" spans="1:7" ht="12.75">
      <c r="A12" s="435" t="s">
        <v>351</v>
      </c>
      <c r="B12" s="436">
        <v>4810900301</v>
      </c>
      <c r="C12" s="437"/>
      <c r="D12" s="437"/>
      <c r="E12" s="437"/>
      <c r="F12" s="437">
        <v>1000000</v>
      </c>
      <c r="G12" s="467">
        <f t="shared" si="0"/>
        <v>1000000</v>
      </c>
    </row>
    <row r="13" spans="1:7" ht="12.75">
      <c r="A13" s="676" t="s">
        <v>321</v>
      </c>
      <c r="B13" s="677"/>
      <c r="C13" s="438">
        <f>SUM(C7:C12)</f>
        <v>223963</v>
      </c>
      <c r="D13" s="438">
        <f>SUM(D7:D12)</f>
        <v>816692</v>
      </c>
      <c r="E13" s="438">
        <f>SUM(E7:E12)</f>
        <v>2470674</v>
      </c>
      <c r="F13" s="438">
        <f>SUM(F7:F12)</f>
        <v>4334813</v>
      </c>
      <c r="G13" s="438">
        <f>SUM(G7:G12)</f>
        <v>7846142</v>
      </c>
    </row>
    <row r="14" spans="1:7" ht="12.75">
      <c r="A14" s="432"/>
      <c r="B14" s="432"/>
      <c r="C14" s="432"/>
      <c r="D14" s="432"/>
      <c r="E14" s="432"/>
      <c r="F14" s="432"/>
      <c r="G14" s="432"/>
    </row>
    <row r="15" spans="1:7" ht="12.75">
      <c r="A15" s="432"/>
      <c r="B15" s="432"/>
      <c r="C15" s="432"/>
      <c r="D15" s="432"/>
      <c r="E15" s="432"/>
      <c r="F15" s="432"/>
      <c r="G15" s="432"/>
    </row>
    <row r="16" spans="1:7" ht="12.75">
      <c r="A16" s="432"/>
      <c r="B16" s="432"/>
      <c r="C16" s="432"/>
      <c r="D16" s="432"/>
      <c r="E16" s="432"/>
      <c r="F16" s="432"/>
      <c r="G16" s="432"/>
    </row>
    <row r="17" spans="1:7" ht="12.75">
      <c r="A17" s="432"/>
      <c r="B17" s="432"/>
      <c r="C17" s="432"/>
      <c r="D17" s="432"/>
      <c r="E17" s="432"/>
      <c r="F17" s="432"/>
      <c r="G17" s="432"/>
    </row>
    <row r="18" spans="1:7" ht="12.75">
      <c r="A18" s="432"/>
      <c r="B18" s="432"/>
      <c r="C18" s="432"/>
      <c r="D18" s="432"/>
      <c r="E18" s="432"/>
      <c r="F18" s="432"/>
      <c r="G18" s="432"/>
    </row>
    <row r="19" spans="1:7" ht="12.75">
      <c r="A19" s="432"/>
      <c r="B19" s="432"/>
      <c r="C19" s="432"/>
      <c r="D19" s="432"/>
      <c r="E19" s="432"/>
      <c r="F19" s="432"/>
      <c r="G19" s="432"/>
    </row>
    <row r="20" spans="1:7" ht="21" customHeight="1">
      <c r="A20" s="674" t="s">
        <v>322</v>
      </c>
      <c r="B20" s="675"/>
      <c r="C20" s="434" t="s">
        <v>12</v>
      </c>
      <c r="D20" s="434" t="s">
        <v>13</v>
      </c>
      <c r="E20" s="434" t="s">
        <v>14</v>
      </c>
      <c r="F20" s="434" t="s">
        <v>15</v>
      </c>
      <c r="G20" s="434" t="s">
        <v>7</v>
      </c>
    </row>
    <row r="21" spans="1:7" ht="12.75" customHeight="1">
      <c r="A21" s="435" t="s">
        <v>323</v>
      </c>
      <c r="B21" s="436">
        <v>48155901</v>
      </c>
      <c r="C21" s="437">
        <v>35073541</v>
      </c>
      <c r="D21" s="437">
        <v>13557738</v>
      </c>
      <c r="E21" s="437">
        <v>8215592</v>
      </c>
      <c r="F21" s="437">
        <v>40473333</v>
      </c>
      <c r="G21" s="467">
        <f aca="true" t="shared" si="1" ref="G21:G31">SUM(C21:F21)</f>
        <v>97320204</v>
      </c>
    </row>
    <row r="22" spans="1:7" ht="12.75" customHeight="1">
      <c r="A22" s="435" t="s">
        <v>324</v>
      </c>
      <c r="B22" s="436">
        <v>43900401</v>
      </c>
      <c r="C22" s="437">
        <v>0</v>
      </c>
      <c r="D22" s="437">
        <f>3022552-348552</f>
        <v>2674000</v>
      </c>
      <c r="E22" s="437">
        <v>5006550</v>
      </c>
      <c r="F22" s="437">
        <v>-700000</v>
      </c>
      <c r="G22" s="467">
        <f t="shared" si="1"/>
        <v>6980550</v>
      </c>
    </row>
    <row r="23" spans="1:7" ht="12.75" customHeight="1">
      <c r="A23" s="435" t="s">
        <v>325</v>
      </c>
      <c r="B23" s="436">
        <v>43900503</v>
      </c>
      <c r="C23" s="437">
        <v>2000000</v>
      </c>
      <c r="D23" s="437"/>
      <c r="E23" s="437">
        <v>0</v>
      </c>
      <c r="F23" s="437">
        <v>0</v>
      </c>
      <c r="G23" s="467">
        <f t="shared" si="1"/>
        <v>2000000</v>
      </c>
    </row>
    <row r="24" spans="1:7" ht="12.75" customHeight="1">
      <c r="A24" s="435" t="s">
        <v>348</v>
      </c>
      <c r="B24" s="436">
        <v>43900507</v>
      </c>
      <c r="C24" s="437"/>
      <c r="D24" s="437"/>
      <c r="E24" s="437"/>
      <c r="F24" s="437">
        <v>17517098</v>
      </c>
      <c r="G24" s="467">
        <f>+F24</f>
        <v>17517098</v>
      </c>
    </row>
    <row r="25" spans="1:7" ht="12.75" customHeight="1">
      <c r="A25" s="435" t="s">
        <v>349</v>
      </c>
      <c r="B25" s="436">
        <v>43900508</v>
      </c>
      <c r="C25" s="437"/>
      <c r="D25" s="437"/>
      <c r="E25" s="437"/>
      <c r="F25" s="437">
        <v>3543109</v>
      </c>
      <c r="G25" s="467">
        <f>+F25</f>
        <v>3543109</v>
      </c>
    </row>
    <row r="26" spans="1:7" ht="12.75" customHeight="1">
      <c r="A26" s="435" t="s">
        <v>326</v>
      </c>
      <c r="B26" s="436">
        <v>421004</v>
      </c>
      <c r="C26" s="437">
        <v>445000</v>
      </c>
      <c r="D26" s="437">
        <v>700000</v>
      </c>
      <c r="E26" s="437">
        <v>10455000</v>
      </c>
      <c r="F26" s="437">
        <v>770000</v>
      </c>
      <c r="G26" s="467">
        <f t="shared" si="1"/>
        <v>12370000</v>
      </c>
    </row>
    <row r="27" spans="1:7" ht="12.75" customHeight="1">
      <c r="A27" s="435" t="s">
        <v>327</v>
      </c>
      <c r="B27" s="436">
        <v>420101</v>
      </c>
      <c r="C27" s="437">
        <v>0</v>
      </c>
      <c r="D27" s="437">
        <v>1825000</v>
      </c>
      <c r="E27" s="437">
        <v>0</v>
      </c>
      <c r="F27" s="437"/>
      <c r="G27" s="467">
        <f t="shared" si="1"/>
        <v>1825000</v>
      </c>
    </row>
    <row r="28" spans="1:7" ht="12.75" customHeight="1">
      <c r="A28" s="435" t="s">
        <v>328</v>
      </c>
      <c r="B28" s="436">
        <v>48104701</v>
      </c>
      <c r="C28" s="437">
        <v>925068</v>
      </c>
      <c r="D28" s="437">
        <v>162151</v>
      </c>
      <c r="E28" s="437">
        <v>94046</v>
      </c>
      <c r="F28" s="437">
        <f>1077240-1212</f>
        <v>1076028</v>
      </c>
      <c r="G28" s="467">
        <f t="shared" si="1"/>
        <v>2257293</v>
      </c>
    </row>
    <row r="29" spans="1:7" ht="12.75" customHeight="1">
      <c r="A29" s="435" t="s">
        <v>329</v>
      </c>
      <c r="B29" s="436">
        <v>48109020</v>
      </c>
      <c r="C29" s="437">
        <v>21000</v>
      </c>
      <c r="D29" s="437">
        <v>84900</v>
      </c>
      <c r="E29" s="437">
        <v>20000</v>
      </c>
      <c r="F29" s="437">
        <v>10000</v>
      </c>
      <c r="G29" s="467">
        <f t="shared" si="1"/>
        <v>135900</v>
      </c>
    </row>
    <row r="30" spans="1:7" ht="12.75" customHeight="1">
      <c r="A30" s="435" t="s">
        <v>350</v>
      </c>
      <c r="B30" s="436">
        <v>48104901</v>
      </c>
      <c r="C30" s="437"/>
      <c r="D30" s="437"/>
      <c r="E30" s="437"/>
      <c r="F30" s="437">
        <v>8451203</v>
      </c>
      <c r="G30" s="467">
        <f>+F30</f>
        <v>8451203</v>
      </c>
    </row>
    <row r="31" spans="1:7" ht="12.75" customHeight="1">
      <c r="A31" s="435" t="s">
        <v>347</v>
      </c>
      <c r="B31" s="436">
        <v>4810900301</v>
      </c>
      <c r="C31" s="437"/>
      <c r="D31" s="437"/>
      <c r="E31" s="437"/>
      <c r="F31" s="437">
        <v>1000000</v>
      </c>
      <c r="G31" s="467">
        <f t="shared" si="1"/>
        <v>1000000</v>
      </c>
    </row>
    <row r="32" spans="1:7" ht="29.25" customHeight="1">
      <c r="A32" s="676" t="s">
        <v>330</v>
      </c>
      <c r="B32" s="677"/>
      <c r="C32" s="438">
        <f>SUM(C21:C31)</f>
        <v>38464609</v>
      </c>
      <c r="D32" s="438">
        <f>SUM(D21:D31)</f>
        <v>19003789</v>
      </c>
      <c r="E32" s="438">
        <f>SUM(E21:E31)</f>
        <v>23791188</v>
      </c>
      <c r="F32" s="438">
        <f>SUM(F21:F31)</f>
        <v>72140771</v>
      </c>
      <c r="G32" s="438">
        <f>SUM(G21:G31)</f>
        <v>153400357</v>
      </c>
    </row>
    <row r="33" spans="1:10" s="441" customFormat="1" ht="15.75" customHeight="1">
      <c r="A33" s="678"/>
      <c r="B33" s="678"/>
      <c r="C33" s="678"/>
      <c r="I33" s="442"/>
      <c r="J33" s="442"/>
    </row>
    <row r="34" spans="1:10" s="441" customFormat="1" ht="12.75">
      <c r="A34" s="678"/>
      <c r="B34" s="678"/>
      <c r="C34" s="678"/>
      <c r="I34" s="442"/>
      <c r="J34" s="442"/>
    </row>
    <row r="35" spans="1:43" ht="15">
      <c r="A35" s="443"/>
      <c r="B35" s="443"/>
      <c r="C35" s="443"/>
      <c r="D35" s="443"/>
      <c r="E35" s="443"/>
      <c r="F35" s="443"/>
      <c r="G35" s="443"/>
      <c r="H35" s="444"/>
      <c r="I35" s="682" t="s">
        <v>331</v>
      </c>
      <c r="J35" s="683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</row>
    <row r="36" spans="1:10" ht="28.5" customHeight="1">
      <c r="A36" s="672" t="s">
        <v>332</v>
      </c>
      <c r="B36" s="672"/>
      <c r="C36" s="434" t="s">
        <v>12</v>
      </c>
      <c r="D36" s="434" t="s">
        <v>13</v>
      </c>
      <c r="E36" s="434" t="s">
        <v>14</v>
      </c>
      <c r="F36" s="434" t="s">
        <v>15</v>
      </c>
      <c r="G36" s="434" t="s">
        <v>7</v>
      </c>
      <c r="I36" s="434" t="s">
        <v>333</v>
      </c>
      <c r="J36" s="434" t="s">
        <v>334</v>
      </c>
    </row>
    <row r="37" spans="1:10" ht="15.75" customHeight="1">
      <c r="A37" s="435" t="s">
        <v>335</v>
      </c>
      <c r="B37" s="436">
        <v>48109018</v>
      </c>
      <c r="C37" s="437">
        <v>30000000</v>
      </c>
      <c r="D37" s="437">
        <v>30000000</v>
      </c>
      <c r="E37" s="437">
        <v>30000000</v>
      </c>
      <c r="F37" s="467">
        <v>23496400</v>
      </c>
      <c r="G37" s="467">
        <f aca="true" t="shared" si="2" ref="G37:G43">SUM(C37:F37)</f>
        <v>113496400</v>
      </c>
      <c r="I37" s="437">
        <v>100000</v>
      </c>
      <c r="J37" s="437">
        <v>50000</v>
      </c>
    </row>
    <row r="38" spans="1:11" ht="15.75" customHeight="1">
      <c r="A38" s="435" t="s">
        <v>336</v>
      </c>
      <c r="B38" s="436">
        <v>43900501</v>
      </c>
      <c r="C38" s="437">
        <v>12102500</v>
      </c>
      <c r="D38" s="437">
        <f>9369662-434512</f>
        <v>8935150</v>
      </c>
      <c r="E38" s="437">
        <v>9424975</v>
      </c>
      <c r="F38" s="467">
        <v>23333922</v>
      </c>
      <c r="G38" s="467">
        <f t="shared" si="2"/>
        <v>53796547</v>
      </c>
      <c r="H38" s="444"/>
      <c r="I38" s="437">
        <v>100000</v>
      </c>
      <c r="J38" s="437">
        <v>70000</v>
      </c>
      <c r="K38" s="444"/>
    </row>
    <row r="39" spans="1:11" ht="15.75" customHeight="1">
      <c r="A39" s="435" t="s">
        <v>337</v>
      </c>
      <c r="B39" s="436">
        <v>481006</v>
      </c>
      <c r="C39" s="437"/>
      <c r="D39" s="437">
        <f>12050000+I53</f>
        <v>13375000</v>
      </c>
      <c r="E39" s="437">
        <f>10950000+J53</f>
        <v>12045000</v>
      </c>
      <c r="F39" s="467">
        <v>0</v>
      </c>
      <c r="G39" s="467">
        <f t="shared" si="2"/>
        <v>25420000</v>
      </c>
      <c r="H39" s="444"/>
      <c r="I39" s="437">
        <v>100000</v>
      </c>
      <c r="J39" s="437">
        <v>100000</v>
      </c>
      <c r="K39" s="444"/>
    </row>
    <row r="40" spans="1:11" ht="15.75" customHeight="1">
      <c r="A40" s="435" t="s">
        <v>338</v>
      </c>
      <c r="B40" s="436"/>
      <c r="C40" s="445">
        <f>136194792.8+22395574</f>
        <v>158590366.8</v>
      </c>
      <c r="D40" s="445">
        <f>159613645.2+22291618</f>
        <v>181905263.2</v>
      </c>
      <c r="E40" s="445">
        <f>162328648.4+22291618</f>
        <v>184620266.4</v>
      </c>
      <c r="F40" s="467">
        <v>478780175</v>
      </c>
      <c r="G40" s="467">
        <f t="shared" si="2"/>
        <v>1003896071.4</v>
      </c>
      <c r="H40" s="444"/>
      <c r="I40" s="437">
        <v>100000</v>
      </c>
      <c r="J40" s="437">
        <v>100000</v>
      </c>
      <c r="K40" s="444"/>
    </row>
    <row r="41" spans="1:11" ht="15.75" customHeight="1">
      <c r="A41" s="435" t="s">
        <v>339</v>
      </c>
      <c r="B41" s="436"/>
      <c r="C41" s="445">
        <f>17024349.1+261112+348551</f>
        <v>17634012.1</v>
      </c>
      <c r="D41" s="445">
        <f>33362486.9+46934966+31210814-I53</f>
        <v>110183266.9</v>
      </c>
      <c r="E41" s="445">
        <f>63516674.8+40656936+26838504-23890258-J53</f>
        <v>106026856.8</v>
      </c>
      <c r="F41" s="467">
        <v>-88087366</v>
      </c>
      <c r="G41" s="467">
        <f t="shared" si="2"/>
        <v>145756769.8</v>
      </c>
      <c r="H41" s="444"/>
      <c r="I41" s="437">
        <v>75000</v>
      </c>
      <c r="J41" s="437">
        <v>130000</v>
      </c>
      <c r="K41" s="444"/>
    </row>
    <row r="42" spans="1:11" ht="15.75" customHeight="1">
      <c r="A42" s="435" t="s">
        <v>340</v>
      </c>
      <c r="B42" s="436">
        <v>420302</v>
      </c>
      <c r="C42" s="446"/>
      <c r="D42" s="446"/>
      <c r="E42" s="446">
        <v>179582508</v>
      </c>
      <c r="F42" s="468">
        <v>0</v>
      </c>
      <c r="G42" s="467">
        <f t="shared" si="2"/>
        <v>179582508</v>
      </c>
      <c r="H42" s="444"/>
      <c r="I42" s="437">
        <v>100000</v>
      </c>
      <c r="J42" s="437">
        <v>50000</v>
      </c>
      <c r="K42" s="444"/>
    </row>
    <row r="43" spans="1:11" ht="15.75" customHeight="1">
      <c r="A43" s="435" t="s">
        <v>341</v>
      </c>
      <c r="B43" s="436">
        <v>43900506</v>
      </c>
      <c r="C43" s="446"/>
      <c r="D43" s="446"/>
      <c r="E43" s="446">
        <v>19800000</v>
      </c>
      <c r="F43" s="468">
        <v>0</v>
      </c>
      <c r="G43" s="467">
        <f t="shared" si="2"/>
        <v>19800000</v>
      </c>
      <c r="H43" s="444"/>
      <c r="I43" s="437">
        <v>50000</v>
      </c>
      <c r="J43" s="437">
        <v>70000</v>
      </c>
      <c r="K43" s="444"/>
    </row>
    <row r="44" spans="1:11" ht="34.5" customHeight="1">
      <c r="A44" s="673" t="s">
        <v>342</v>
      </c>
      <c r="B44" s="673"/>
      <c r="C44" s="438">
        <f>SUM(C37:C43)</f>
        <v>218326878.9</v>
      </c>
      <c r="D44" s="438">
        <f>SUM(D37:D43)</f>
        <v>344398680.1</v>
      </c>
      <c r="E44" s="438">
        <f>SUM(E37:E43)</f>
        <v>541499606.2</v>
      </c>
      <c r="F44" s="438">
        <f>SUM(F37:F43)</f>
        <v>437523131</v>
      </c>
      <c r="G44" s="438">
        <f>SUM(G37:G43)</f>
        <v>1541748296.2</v>
      </c>
      <c r="H44" s="444"/>
      <c r="I44" s="437">
        <v>100000</v>
      </c>
      <c r="J44" s="437">
        <v>100000</v>
      </c>
      <c r="K44" s="444"/>
    </row>
    <row r="45" spans="1:11" s="441" customFormat="1" ht="12.75">
      <c r="A45" s="678"/>
      <c r="B45" s="678"/>
      <c r="C45" s="678"/>
      <c r="D45" s="447"/>
      <c r="E45" s="447"/>
      <c r="F45" s="447"/>
      <c r="G45" s="447"/>
      <c r="H45" s="447"/>
      <c r="I45" s="437">
        <v>100000</v>
      </c>
      <c r="J45" s="437">
        <v>70000</v>
      </c>
      <c r="K45" s="447"/>
    </row>
    <row r="46" spans="1:11" s="441" customFormat="1" ht="12.75">
      <c r="A46" s="678"/>
      <c r="B46" s="678"/>
      <c r="C46" s="678"/>
      <c r="D46" s="447"/>
      <c r="E46" s="447"/>
      <c r="F46" s="447"/>
      <c r="G46" s="447"/>
      <c r="H46" s="447"/>
      <c r="I46" s="437">
        <v>30000</v>
      </c>
      <c r="J46" s="437">
        <v>100000</v>
      </c>
      <c r="K46" s="447"/>
    </row>
    <row r="47" spans="1:43" ht="15">
      <c r="A47" s="440"/>
      <c r="B47" s="440"/>
      <c r="C47" s="440"/>
      <c r="D47" s="440"/>
      <c r="E47" s="440"/>
      <c r="F47" s="440"/>
      <c r="G47" s="440"/>
      <c r="H47" s="444"/>
      <c r="I47" s="437">
        <v>100000</v>
      </c>
      <c r="J47" s="437">
        <v>25000</v>
      </c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</row>
    <row r="48" spans="1:43" ht="26.25" customHeight="1">
      <c r="A48" s="672" t="s">
        <v>343</v>
      </c>
      <c r="B48" s="672"/>
      <c r="C48" s="434" t="s">
        <v>12</v>
      </c>
      <c r="D48" s="434" t="s">
        <v>13</v>
      </c>
      <c r="E48" s="434" t="s">
        <v>14</v>
      </c>
      <c r="F48" s="434" t="s">
        <v>15</v>
      </c>
      <c r="G48" s="434" t="s">
        <v>7</v>
      </c>
      <c r="H48" s="444"/>
      <c r="I48" s="437">
        <v>50000</v>
      </c>
      <c r="J48" s="437">
        <v>30000</v>
      </c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4"/>
      <c r="AK48" s="444"/>
      <c r="AL48" s="444"/>
      <c r="AM48" s="444"/>
      <c r="AN48" s="444"/>
      <c r="AO48" s="444"/>
      <c r="AP48" s="444"/>
      <c r="AQ48" s="444"/>
    </row>
    <row r="49" spans="1:43" ht="22.5" customHeight="1">
      <c r="A49" s="435" t="s">
        <v>316</v>
      </c>
      <c r="B49" s="436">
        <v>48051301</v>
      </c>
      <c r="C49" s="437">
        <v>1360441</v>
      </c>
      <c r="D49" s="437">
        <f>4185415-65504</f>
        <v>4119911</v>
      </c>
      <c r="E49" s="437">
        <v>0</v>
      </c>
      <c r="F49" s="437">
        <v>2783012</v>
      </c>
      <c r="G49" s="467">
        <f aca="true" t="shared" si="3" ref="G49:G55">SUM(C49:F49)</f>
        <v>8263364</v>
      </c>
      <c r="H49" s="444"/>
      <c r="I49" s="437">
        <v>320000</v>
      </c>
      <c r="J49" s="437">
        <v>50000</v>
      </c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</row>
    <row r="50" spans="1:43" ht="22.5" customHeight="1">
      <c r="A50" s="435" t="s">
        <v>320</v>
      </c>
      <c r="B50" s="436">
        <v>48060101</v>
      </c>
      <c r="C50" s="437">
        <v>7516</v>
      </c>
      <c r="D50" s="437">
        <v>21078</v>
      </c>
      <c r="E50" s="437">
        <v>5337</v>
      </c>
      <c r="F50" s="437">
        <v>194</v>
      </c>
      <c r="G50" s="467">
        <f t="shared" si="3"/>
        <v>34125</v>
      </c>
      <c r="H50" s="444"/>
      <c r="I50" s="437"/>
      <c r="J50" s="437">
        <v>100000</v>
      </c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4"/>
      <c r="AH50" s="444"/>
      <c r="AI50" s="444"/>
      <c r="AJ50" s="444"/>
      <c r="AK50" s="444"/>
      <c r="AL50" s="444"/>
      <c r="AM50" s="444"/>
      <c r="AN50" s="444"/>
      <c r="AO50" s="444"/>
      <c r="AP50" s="444"/>
      <c r="AQ50" s="444"/>
    </row>
    <row r="51" spans="1:43" ht="22.5" customHeight="1">
      <c r="A51" s="435" t="s">
        <v>318</v>
      </c>
      <c r="B51" s="436">
        <v>48100701</v>
      </c>
      <c r="C51" s="437">
        <v>678</v>
      </c>
      <c r="D51" s="437">
        <v>7474</v>
      </c>
      <c r="E51" s="437">
        <v>1356</v>
      </c>
      <c r="F51" s="437">
        <v>145</v>
      </c>
      <c r="G51" s="467">
        <f t="shared" si="3"/>
        <v>9653</v>
      </c>
      <c r="H51" s="444"/>
      <c r="I51" s="437"/>
      <c r="J51" s="437">
        <v>100000</v>
      </c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444"/>
      <c r="AG51" s="444"/>
      <c r="AH51" s="444"/>
      <c r="AI51" s="444"/>
      <c r="AJ51" s="444"/>
      <c r="AK51" s="444"/>
      <c r="AL51" s="444"/>
      <c r="AM51" s="444"/>
      <c r="AN51" s="444"/>
      <c r="AO51" s="444"/>
      <c r="AP51" s="444"/>
      <c r="AQ51" s="444"/>
    </row>
    <row r="52" spans="1:43" ht="22.5" customHeight="1" thickBot="1">
      <c r="A52" s="435" t="s">
        <v>328</v>
      </c>
      <c r="B52" s="436">
        <v>48104701</v>
      </c>
      <c r="C52" s="437">
        <v>3442</v>
      </c>
      <c r="D52" s="437">
        <v>215</v>
      </c>
      <c r="E52" s="437">
        <v>0</v>
      </c>
      <c r="F52" s="437">
        <v>0</v>
      </c>
      <c r="G52" s="467">
        <f t="shared" si="3"/>
        <v>3657</v>
      </c>
      <c r="H52" s="444"/>
      <c r="I52" s="437"/>
      <c r="J52" s="437">
        <v>-50000</v>
      </c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444"/>
      <c r="AH52" s="444"/>
      <c r="AI52" s="444"/>
      <c r="AJ52" s="444"/>
      <c r="AK52" s="444"/>
      <c r="AL52" s="444"/>
      <c r="AM52" s="444"/>
      <c r="AN52" s="444"/>
      <c r="AO52" s="444"/>
      <c r="AP52" s="444"/>
      <c r="AQ52" s="444"/>
    </row>
    <row r="53" spans="1:43" ht="22.5" customHeight="1" thickBot="1">
      <c r="A53" s="435" t="s">
        <v>344</v>
      </c>
      <c r="B53" s="436">
        <v>48104901</v>
      </c>
      <c r="C53" s="437"/>
      <c r="D53" s="437">
        <v>984622</v>
      </c>
      <c r="E53" s="437">
        <v>0</v>
      </c>
      <c r="F53" s="437"/>
      <c r="G53" s="467">
        <f t="shared" si="3"/>
        <v>984622</v>
      </c>
      <c r="H53" s="444"/>
      <c r="I53" s="448">
        <f>SUM(I37:I52)</f>
        <v>1325000</v>
      </c>
      <c r="J53" s="448">
        <f>SUM(J37:J52)</f>
        <v>1095000</v>
      </c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  <c r="AQ53" s="444"/>
    </row>
    <row r="54" spans="1:43" ht="22.5" customHeight="1" thickBot="1">
      <c r="A54" s="435" t="s">
        <v>265</v>
      </c>
      <c r="B54" s="436">
        <v>4810900301</v>
      </c>
      <c r="C54" s="437"/>
      <c r="D54" s="437">
        <v>2186560</v>
      </c>
      <c r="E54" s="437">
        <v>0</v>
      </c>
      <c r="F54" s="437"/>
      <c r="G54" s="467">
        <f t="shared" si="3"/>
        <v>2186560</v>
      </c>
      <c r="H54" s="444"/>
      <c r="I54" s="680">
        <f>+I53+J53</f>
        <v>2420000</v>
      </c>
      <c r="J54" s="681"/>
      <c r="K54" s="444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4"/>
      <c r="AG54" s="444"/>
      <c r="AH54" s="444"/>
      <c r="AI54" s="444"/>
      <c r="AJ54" s="444"/>
      <c r="AK54" s="444"/>
      <c r="AL54" s="444"/>
      <c r="AM54" s="444"/>
      <c r="AN54" s="444"/>
      <c r="AO54" s="444"/>
      <c r="AP54" s="444"/>
      <c r="AQ54" s="444"/>
    </row>
    <row r="55" spans="1:43" ht="25.5" customHeight="1">
      <c r="A55" s="435" t="s">
        <v>345</v>
      </c>
      <c r="B55" s="436">
        <v>4810901201</v>
      </c>
      <c r="C55" s="437">
        <v>674</v>
      </c>
      <c r="D55" s="437">
        <v>2243</v>
      </c>
      <c r="E55" s="437">
        <v>3304</v>
      </c>
      <c r="F55" s="437">
        <v>569</v>
      </c>
      <c r="G55" s="467">
        <f t="shared" si="3"/>
        <v>6790</v>
      </c>
      <c r="H55" s="444"/>
      <c r="I55" s="449"/>
      <c r="J55" s="449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4"/>
      <c r="X55" s="444"/>
      <c r="Y55" s="444"/>
      <c r="Z55" s="444"/>
      <c r="AA55" s="444"/>
      <c r="AB55" s="444"/>
      <c r="AC55" s="444"/>
      <c r="AD55" s="444"/>
      <c r="AE55" s="444"/>
      <c r="AF55" s="444"/>
      <c r="AG55" s="444"/>
      <c r="AH55" s="444"/>
      <c r="AI55" s="444"/>
      <c r="AJ55" s="444"/>
      <c r="AK55" s="444"/>
      <c r="AL55" s="444"/>
      <c r="AM55" s="444"/>
      <c r="AN55" s="444"/>
      <c r="AO55" s="444"/>
      <c r="AP55" s="444"/>
      <c r="AQ55" s="444"/>
    </row>
    <row r="56" spans="1:43" ht="32.25" customHeight="1">
      <c r="A56" s="673" t="s">
        <v>346</v>
      </c>
      <c r="B56" s="673"/>
      <c r="C56" s="438">
        <f>SUM(C49:C55)</f>
        <v>1372751</v>
      </c>
      <c r="D56" s="438">
        <f>SUM(D49:D55)</f>
        <v>7322103</v>
      </c>
      <c r="E56" s="438">
        <f>SUM(E49:E55)</f>
        <v>9997</v>
      </c>
      <c r="F56" s="438">
        <f>SUM(F49:F55)</f>
        <v>2783920</v>
      </c>
      <c r="G56" s="438">
        <f>SUM(G49:G55)</f>
        <v>11488771</v>
      </c>
      <c r="H56" s="444"/>
      <c r="I56" s="450"/>
      <c r="J56" s="449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G56" s="444"/>
      <c r="AH56" s="444"/>
      <c r="AI56" s="444"/>
      <c r="AJ56" s="444"/>
      <c r="AK56" s="444"/>
      <c r="AL56" s="444"/>
      <c r="AM56" s="444"/>
      <c r="AN56" s="444"/>
      <c r="AO56" s="444"/>
      <c r="AP56" s="444"/>
      <c r="AQ56" s="444"/>
    </row>
    <row r="57" spans="1:43" ht="15">
      <c r="A57" s="443"/>
      <c r="B57" s="443"/>
      <c r="C57" s="443"/>
      <c r="D57" s="443"/>
      <c r="E57" s="443"/>
      <c r="F57" s="443"/>
      <c r="G57" s="443"/>
      <c r="H57" s="444"/>
      <c r="K57" s="444"/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4"/>
      <c r="AC57" s="444"/>
      <c r="AD57" s="444"/>
      <c r="AE57" s="444"/>
      <c r="AF57" s="444"/>
      <c r="AG57" s="444"/>
      <c r="AH57" s="444"/>
      <c r="AI57" s="444"/>
      <c r="AJ57" s="444"/>
      <c r="AK57" s="444"/>
      <c r="AL57" s="444"/>
      <c r="AM57" s="444"/>
      <c r="AN57" s="444"/>
      <c r="AO57" s="444"/>
      <c r="AP57" s="444"/>
      <c r="AQ57" s="444"/>
    </row>
    <row r="58" spans="1:7" ht="16.5">
      <c r="A58" s="451"/>
      <c r="B58" s="451"/>
      <c r="C58" s="451"/>
      <c r="D58" s="451"/>
      <c r="E58" s="451"/>
      <c r="F58" s="451"/>
      <c r="G58" s="451"/>
    </row>
    <row r="59" spans="1:7" ht="15">
      <c r="A59" s="672" t="s">
        <v>352</v>
      </c>
      <c r="B59" s="672"/>
      <c r="C59" s="434" t="s">
        <v>12</v>
      </c>
      <c r="D59" s="434" t="s">
        <v>13</v>
      </c>
      <c r="E59" s="434" t="s">
        <v>14</v>
      </c>
      <c r="F59" s="434" t="s">
        <v>15</v>
      </c>
      <c r="G59" s="434" t="s">
        <v>7</v>
      </c>
    </row>
    <row r="60" spans="1:7" ht="12.75">
      <c r="A60" s="435" t="s">
        <v>353</v>
      </c>
      <c r="B60" s="436">
        <v>48109025</v>
      </c>
      <c r="C60" s="437"/>
      <c r="D60" s="437"/>
      <c r="E60" s="437"/>
      <c r="F60" s="467">
        <v>8010000</v>
      </c>
      <c r="G60" s="467">
        <f>SUM(C60:F60)</f>
        <v>8010000</v>
      </c>
    </row>
    <row r="61" spans="1:7" ht="12.75">
      <c r="A61" s="435" t="s">
        <v>354</v>
      </c>
      <c r="B61" s="436">
        <v>4810902401</v>
      </c>
      <c r="C61" s="437"/>
      <c r="D61" s="437"/>
      <c r="E61" s="437"/>
      <c r="F61" s="467">
        <v>46000000</v>
      </c>
      <c r="G61" s="467">
        <f>SUM(C61:F61)</f>
        <v>46000000</v>
      </c>
    </row>
    <row r="62" spans="1:7" ht="12.75">
      <c r="A62" s="673" t="s">
        <v>342</v>
      </c>
      <c r="B62" s="673"/>
      <c r="C62" s="438">
        <f>SUM(C60:C61)</f>
        <v>0</v>
      </c>
      <c r="D62" s="438">
        <f>SUM(D60:D61)</f>
        <v>0</v>
      </c>
      <c r="E62" s="438">
        <f>SUM(E60:E61)</f>
        <v>0</v>
      </c>
      <c r="F62" s="438">
        <f>SUM(F60:F61)</f>
        <v>54010000</v>
      </c>
      <c r="G62" s="438">
        <f>SUM(G60:G61)</f>
        <v>54010000</v>
      </c>
    </row>
    <row r="63" spans="1:7" ht="16.5">
      <c r="A63" s="451"/>
      <c r="B63" s="451"/>
      <c r="C63" s="451"/>
      <c r="D63" s="451"/>
      <c r="E63" s="451"/>
      <c r="F63" s="451"/>
      <c r="G63" s="451"/>
    </row>
  </sheetData>
  <sheetProtection/>
  <mergeCells count="17">
    <mergeCell ref="A2:G2"/>
    <mergeCell ref="A3:G3"/>
    <mergeCell ref="A4:G4"/>
    <mergeCell ref="I54:J54"/>
    <mergeCell ref="A56:B56"/>
    <mergeCell ref="A32:B32"/>
    <mergeCell ref="A33:C34"/>
    <mergeCell ref="I35:J35"/>
    <mergeCell ref="A36:B36"/>
    <mergeCell ref="A44:B44"/>
    <mergeCell ref="A59:B59"/>
    <mergeCell ref="A62:B62"/>
    <mergeCell ref="A6:B6"/>
    <mergeCell ref="A13:B13"/>
    <mergeCell ref="A20:B20"/>
    <mergeCell ref="A45:C46"/>
    <mergeCell ref="A48:B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1"/>
  <sheetViews>
    <sheetView view="pageBreakPreview" zoomScale="60" zoomScaleNormal="75" zoomScalePageLayoutView="0" workbookViewId="0" topLeftCell="A1">
      <pane xSplit="1" ySplit="6" topLeftCell="H1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6" sqref="T6"/>
    </sheetView>
  </sheetViews>
  <sheetFormatPr defaultColWidth="11.421875" defaultRowHeight="12.75" outlineLevelRow="2" outlineLevelCol="1"/>
  <cols>
    <col min="1" max="1" width="41.28125" style="491" customWidth="1"/>
    <col min="2" max="2" width="17.8515625" style="491" hidden="1" customWidth="1" outlineLevel="1"/>
    <col min="3" max="3" width="21.00390625" style="491" hidden="1" customWidth="1" outlineLevel="1"/>
    <col min="4" max="4" width="21.8515625" style="491" hidden="1" customWidth="1" outlineLevel="1"/>
    <col min="5" max="5" width="19.140625" style="491" hidden="1" customWidth="1" outlineLevel="1"/>
    <col min="6" max="6" width="19.00390625" style="491" hidden="1" customWidth="1" outlineLevel="1"/>
    <col min="7" max="7" width="27.28125" style="491" hidden="1" customWidth="1" outlineLevel="1"/>
    <col min="8" max="8" width="18.00390625" style="491" customWidth="1" collapsed="1"/>
    <col min="9" max="14" width="18.00390625" style="491" hidden="1" customWidth="1" outlineLevel="1"/>
    <col min="15" max="15" width="19.7109375" style="491" customWidth="1" collapsed="1"/>
    <col min="16" max="20" width="18.00390625" style="491" customWidth="1"/>
    <col min="21" max="21" width="15.28125" style="491" customWidth="1"/>
    <col min="22" max="22" width="13.140625" style="491" customWidth="1"/>
    <col min="23" max="23" width="13.421875" style="491" customWidth="1"/>
    <col min="24" max="27" width="14.57421875" style="491" customWidth="1"/>
    <col min="28" max="16384" width="11.421875" style="491" customWidth="1"/>
  </cols>
  <sheetData>
    <row r="1" spans="1:21" ht="15" outlineLevel="1">
      <c r="A1" s="684" t="s">
        <v>356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</row>
    <row r="2" spans="1:21" ht="15" outlineLevel="1">
      <c r="A2" s="684" t="s">
        <v>314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</row>
    <row r="3" spans="1:21" ht="15" outlineLevel="1">
      <c r="A3" s="684" t="s">
        <v>406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</row>
    <row r="4" spans="1:21" ht="15" outlineLevel="1">
      <c r="A4" s="684" t="s">
        <v>357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</row>
    <row r="5" spans="1:22" ht="15.75" outlineLevel="1" thickBot="1">
      <c r="A5" s="492"/>
      <c r="B5" s="493"/>
      <c r="C5" s="494"/>
      <c r="D5" s="493"/>
      <c r="E5" s="493"/>
      <c r="F5" s="493"/>
      <c r="G5" s="493"/>
      <c r="O5" s="509"/>
      <c r="P5" s="509"/>
      <c r="V5" s="495"/>
    </row>
    <row r="6" spans="1:23" ht="45.75" thickTop="1">
      <c r="A6" s="496" t="s">
        <v>236</v>
      </c>
      <c r="B6" s="497" t="s">
        <v>358</v>
      </c>
      <c r="C6" s="497" t="s">
        <v>359</v>
      </c>
      <c r="D6" s="497" t="s">
        <v>360</v>
      </c>
      <c r="E6" s="497" t="s">
        <v>361</v>
      </c>
      <c r="F6" s="497" t="s">
        <v>362</v>
      </c>
      <c r="G6" s="497" t="s">
        <v>363</v>
      </c>
      <c r="H6" s="611" t="s">
        <v>405</v>
      </c>
      <c r="I6" s="611" t="s">
        <v>364</v>
      </c>
      <c r="J6" s="612" t="s">
        <v>365</v>
      </c>
      <c r="K6" s="612" t="s">
        <v>366</v>
      </c>
      <c r="L6" s="612" t="s">
        <v>309</v>
      </c>
      <c r="M6" s="611" t="s">
        <v>400</v>
      </c>
      <c r="N6" s="611" t="s">
        <v>424</v>
      </c>
      <c r="O6" s="611" t="s">
        <v>367</v>
      </c>
      <c r="P6" s="611" t="s">
        <v>368</v>
      </c>
      <c r="Q6" s="611" t="s">
        <v>369</v>
      </c>
      <c r="R6" s="611" t="s">
        <v>401</v>
      </c>
      <c r="S6" s="612" t="s">
        <v>402</v>
      </c>
      <c r="T6" s="612" t="s">
        <v>404</v>
      </c>
      <c r="U6" s="613" t="s">
        <v>403</v>
      </c>
      <c r="V6" s="495"/>
      <c r="W6" s="499"/>
    </row>
    <row r="7" spans="1:22" ht="15">
      <c r="A7" s="500" t="s">
        <v>22</v>
      </c>
      <c r="B7" s="501"/>
      <c r="C7" s="501"/>
      <c r="D7" s="501"/>
      <c r="E7" s="501"/>
      <c r="F7" s="501"/>
      <c r="G7" s="50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614"/>
      <c r="T7" s="571"/>
      <c r="U7" s="572"/>
      <c r="V7" s="502"/>
    </row>
    <row r="8" spans="1:24" ht="15">
      <c r="A8" s="503" t="s">
        <v>23</v>
      </c>
      <c r="B8" s="574">
        <f>+B9+B10+B11+B12+B13+B15+B16+B17</f>
        <v>880208624.3019848</v>
      </c>
      <c r="C8" s="574">
        <f>+C9+C10+C11+C12+C13+C15+C16+C17</f>
        <v>262352153.8615889</v>
      </c>
      <c r="D8" s="574">
        <f>+D9+D10+D11+D12+D13+D15+D16+D17</f>
        <v>880558586.6226202</v>
      </c>
      <c r="E8" s="574">
        <f>+E9+E10+E11+E12+E13+E15+E16+E17</f>
        <v>260774021.34105727</v>
      </c>
      <c r="F8" s="574">
        <f>+B8+C8+D8+E8</f>
        <v>2283893386.127251</v>
      </c>
      <c r="G8" s="574">
        <f>+G9+G10+G11+G12+G13+G15+G16+G17</f>
        <v>167652978.93011293</v>
      </c>
      <c r="H8" s="574">
        <f>+F8+G8</f>
        <v>2451546365.057364</v>
      </c>
      <c r="I8" s="574">
        <f>SUM(I9:I19)-I14-I18-I19</f>
        <v>0</v>
      </c>
      <c r="J8" s="574">
        <f>SUM(J9:J19)-J14-J18-J19</f>
        <v>0</v>
      </c>
      <c r="K8" s="574">
        <f>SUM(K9:K19)-K14-K18-K19</f>
        <v>0</v>
      </c>
      <c r="L8" s="574">
        <f>SUM(L9:L19)-L14-L18-L19</f>
        <v>-57005215</v>
      </c>
      <c r="M8" s="574"/>
      <c r="N8" s="574"/>
      <c r="O8" s="574">
        <f>+H8+I8+J8+K8+L8+M8+N8</f>
        <v>2394541150.057364</v>
      </c>
      <c r="P8" s="574">
        <f>+P9+P10+P11+P12+P13+P15+P16+P17</f>
        <v>515490544</v>
      </c>
      <c r="Q8" s="574">
        <f>+Q9+Q10+Q11+Q12+Q13+Q15+Q16+Q17</f>
        <v>589368757</v>
      </c>
      <c r="R8" s="574">
        <f>+R9+R10+R11+R12+R13+R15+R16+R17</f>
        <v>598702276</v>
      </c>
      <c r="S8" s="574">
        <f>+S9+S10+S11+S12+S13+S15+S16+S17</f>
        <v>577411942</v>
      </c>
      <c r="T8" s="574">
        <f>+P8+Q8+R8+S8</f>
        <v>2280973519</v>
      </c>
      <c r="U8" s="575">
        <f>+T8/O8</f>
        <v>0.9525722783863442</v>
      </c>
      <c r="V8" s="495"/>
      <c r="W8" s="504"/>
      <c r="X8" s="504"/>
    </row>
    <row r="9" spans="1:26" ht="14.25">
      <c r="A9" s="505" t="s">
        <v>24</v>
      </c>
      <c r="B9" s="577">
        <v>591477599.6944635</v>
      </c>
      <c r="C9" s="577">
        <v>187384721.81132334</v>
      </c>
      <c r="D9" s="577">
        <v>593728325.8733733</v>
      </c>
      <c r="E9" s="577">
        <v>186640823.46772337</v>
      </c>
      <c r="F9" s="577">
        <f aca="true" t="shared" si="0" ref="F9:F20">+B9+C9+D9+E9</f>
        <v>1559231470.8468835</v>
      </c>
      <c r="G9" s="577">
        <v>112872038.31019334</v>
      </c>
      <c r="H9" s="577">
        <f aca="true" t="shared" si="1" ref="H9:H19">+F9+G9</f>
        <v>1672103509.1570768</v>
      </c>
      <c r="I9" s="577"/>
      <c r="J9" s="577"/>
      <c r="K9" s="577"/>
      <c r="L9" s="577">
        <v>-35145088</v>
      </c>
      <c r="M9" s="577"/>
      <c r="N9" s="577"/>
      <c r="O9" s="577">
        <f aca="true" t="shared" si="2" ref="O9:O73">+H9+I9+J9+K9+L9+M9+N9</f>
        <v>1636958421.1570768</v>
      </c>
      <c r="P9" s="577">
        <v>345320997</v>
      </c>
      <c r="Q9" s="577">
        <v>402239343</v>
      </c>
      <c r="R9" s="577">
        <v>406093064</v>
      </c>
      <c r="S9" s="615">
        <v>388423995</v>
      </c>
      <c r="T9" s="577">
        <f aca="true" t="shared" si="3" ref="T9:T73">+P9+Q9+R9+S9</f>
        <v>1542077399</v>
      </c>
      <c r="U9" s="578">
        <f aca="true" t="shared" si="4" ref="U9:U72">+T9/O9</f>
        <v>0.9420382210502264</v>
      </c>
      <c r="V9" s="506"/>
      <c r="Z9" s="507"/>
    </row>
    <row r="10" spans="1:26" ht="14.25">
      <c r="A10" s="505" t="s">
        <v>25</v>
      </c>
      <c r="B10" s="577">
        <v>43644725.90189999</v>
      </c>
      <c r="C10" s="577">
        <v>8780686.066499999</v>
      </c>
      <c r="D10" s="577">
        <v>42377504.089200005</v>
      </c>
      <c r="E10" s="577">
        <v>8547517.739699999</v>
      </c>
      <c r="F10" s="577">
        <f t="shared" si="0"/>
        <v>103350433.7973</v>
      </c>
      <c r="G10" s="577">
        <v>8705206.705</v>
      </c>
      <c r="H10" s="577">
        <f t="shared" si="1"/>
        <v>112055640.5023</v>
      </c>
      <c r="I10" s="577"/>
      <c r="J10" s="577"/>
      <c r="K10" s="577"/>
      <c r="L10" s="577">
        <v>-4374907</v>
      </c>
      <c r="M10" s="577"/>
      <c r="N10" s="577"/>
      <c r="O10" s="577">
        <f t="shared" si="2"/>
        <v>107680733.5023</v>
      </c>
      <c r="P10" s="577">
        <v>23129450</v>
      </c>
      <c r="Q10" s="577">
        <v>28702568</v>
      </c>
      <c r="R10" s="577">
        <v>27406356</v>
      </c>
      <c r="S10" s="615">
        <v>26699033</v>
      </c>
      <c r="T10" s="577">
        <f t="shared" si="3"/>
        <v>105937407</v>
      </c>
      <c r="U10" s="578">
        <f t="shared" si="4"/>
        <v>0.9838102282033326</v>
      </c>
      <c r="V10" s="506"/>
      <c r="W10" s="506"/>
      <c r="X10" s="508"/>
      <c r="Y10" s="509"/>
      <c r="Z10" s="509"/>
    </row>
    <row r="11" spans="1:26" ht="14.25">
      <c r="A11" s="505" t="s">
        <v>26</v>
      </c>
      <c r="B11" s="577">
        <v>5237367.108228002</v>
      </c>
      <c r="C11" s="577">
        <v>1053682.32798</v>
      </c>
      <c r="D11" s="577">
        <v>5085300.490704001</v>
      </c>
      <c r="E11" s="577">
        <v>1025702.128764</v>
      </c>
      <c r="F11" s="577">
        <f t="shared" si="0"/>
        <v>12402052.055676002</v>
      </c>
      <c r="G11" s="577">
        <v>1044624.8045999999</v>
      </c>
      <c r="H11" s="577">
        <f t="shared" si="1"/>
        <v>13446676.860276002</v>
      </c>
      <c r="I11" s="577"/>
      <c r="J11" s="577"/>
      <c r="K11" s="577"/>
      <c r="L11" s="577">
        <v>-524989</v>
      </c>
      <c r="M11" s="577"/>
      <c r="N11" s="577"/>
      <c r="O11" s="577">
        <f t="shared" si="2"/>
        <v>12921687.860276002</v>
      </c>
      <c r="P11" s="577">
        <v>2775534</v>
      </c>
      <c r="Q11" s="577">
        <v>242002</v>
      </c>
      <c r="R11" s="577">
        <v>3873296</v>
      </c>
      <c r="S11" s="615">
        <v>5218216</v>
      </c>
      <c r="T11" s="577">
        <f t="shared" si="3"/>
        <v>12109048</v>
      </c>
      <c r="U11" s="578">
        <f t="shared" si="4"/>
        <v>0.9371103938538689</v>
      </c>
      <c r="V11" s="506"/>
      <c r="W11" s="506"/>
      <c r="X11" s="508"/>
      <c r="Y11" s="509"/>
      <c r="Z11" s="509"/>
    </row>
    <row r="12" spans="1:24" ht="14.25">
      <c r="A12" s="505" t="s">
        <v>27</v>
      </c>
      <c r="B12" s="577">
        <v>43644725.90189999</v>
      </c>
      <c r="C12" s="577">
        <v>8780686.066499999</v>
      </c>
      <c r="D12" s="577">
        <v>42377504.089200005</v>
      </c>
      <c r="E12" s="577">
        <v>8547517.739699999</v>
      </c>
      <c r="F12" s="577">
        <f t="shared" si="0"/>
        <v>103350433.7973</v>
      </c>
      <c r="G12" s="577">
        <v>8705206.705</v>
      </c>
      <c r="H12" s="577">
        <f t="shared" si="1"/>
        <v>112055640.5023</v>
      </c>
      <c r="I12" s="577"/>
      <c r="J12" s="577"/>
      <c r="K12" s="577"/>
      <c r="L12" s="577">
        <v>-4374907</v>
      </c>
      <c r="M12" s="577"/>
      <c r="N12" s="577"/>
      <c r="O12" s="577">
        <f t="shared" si="2"/>
        <v>107680733.5023</v>
      </c>
      <c r="P12" s="577">
        <v>23129450</v>
      </c>
      <c r="Q12" s="577">
        <v>28702568</v>
      </c>
      <c r="R12" s="577">
        <v>27406356</v>
      </c>
      <c r="S12" s="615">
        <v>26317880</v>
      </c>
      <c r="T12" s="577">
        <f t="shared" si="3"/>
        <v>105556254</v>
      </c>
      <c r="U12" s="578">
        <f t="shared" si="4"/>
        <v>0.9802705699227559</v>
      </c>
      <c r="V12" s="506"/>
      <c r="W12" s="506"/>
      <c r="X12" s="508"/>
    </row>
    <row r="13" spans="1:24" ht="14.25">
      <c r="A13" s="505" t="s">
        <v>28</v>
      </c>
      <c r="B13" s="577">
        <v>25303762.95094999</v>
      </c>
      <c r="C13" s="577">
        <v>7871743.03325</v>
      </c>
      <c r="D13" s="577">
        <v>24670152.044600002</v>
      </c>
      <c r="E13" s="577">
        <v>7755158.86985</v>
      </c>
      <c r="F13" s="577">
        <f t="shared" si="0"/>
        <v>65600816.89865</v>
      </c>
      <c r="G13" s="577">
        <v>4352603.3525</v>
      </c>
      <c r="H13" s="577">
        <f t="shared" si="1"/>
        <v>69953420.25115</v>
      </c>
      <c r="I13" s="577"/>
      <c r="J13" s="577"/>
      <c r="K13" s="577"/>
      <c r="L13" s="577">
        <v>-2187454</v>
      </c>
      <c r="M13" s="577"/>
      <c r="N13" s="577"/>
      <c r="O13" s="577">
        <f t="shared" si="2"/>
        <v>67765966.25115</v>
      </c>
      <c r="P13" s="577">
        <v>14265630</v>
      </c>
      <c r="Q13" s="577">
        <v>16471524</v>
      </c>
      <c r="R13" s="577">
        <v>18648021</v>
      </c>
      <c r="S13" s="615">
        <v>16618305</v>
      </c>
      <c r="T13" s="577">
        <f t="shared" si="3"/>
        <v>66003480</v>
      </c>
      <c r="U13" s="578">
        <f t="shared" si="4"/>
        <v>0.9739915720434358</v>
      </c>
      <c r="V13" s="506"/>
      <c r="W13" s="506"/>
      <c r="X13" s="508"/>
    </row>
    <row r="14" spans="1:24" ht="14.25">
      <c r="A14" s="505" t="s">
        <v>29</v>
      </c>
      <c r="B14" s="577"/>
      <c r="C14" s="577"/>
      <c r="D14" s="577"/>
      <c r="E14" s="577"/>
      <c r="F14" s="577">
        <f t="shared" si="0"/>
        <v>0</v>
      </c>
      <c r="G14" s="577">
        <v>20000000</v>
      </c>
      <c r="H14" s="577">
        <f t="shared" si="1"/>
        <v>20000000</v>
      </c>
      <c r="I14" s="577"/>
      <c r="J14" s="577"/>
      <c r="K14" s="577"/>
      <c r="L14" s="577"/>
      <c r="M14" s="577"/>
      <c r="N14" s="577"/>
      <c r="O14" s="577">
        <f t="shared" si="2"/>
        <v>20000000</v>
      </c>
      <c r="P14" s="577">
        <v>0</v>
      </c>
      <c r="Q14" s="577">
        <v>13352885</v>
      </c>
      <c r="R14" s="577">
        <v>0</v>
      </c>
      <c r="S14" s="615">
        <v>3853001</v>
      </c>
      <c r="T14" s="577">
        <f t="shared" si="3"/>
        <v>17205886</v>
      </c>
      <c r="U14" s="578">
        <f t="shared" si="4"/>
        <v>0.8602943</v>
      </c>
      <c r="V14" s="506"/>
      <c r="W14" s="506"/>
      <c r="X14" s="508"/>
    </row>
    <row r="15" spans="1:24" ht="14.25">
      <c r="A15" s="505" t="s">
        <v>30</v>
      </c>
      <c r="B15" s="577">
        <v>120044534.09204145</v>
      </c>
      <c r="C15" s="577">
        <v>33947102.11301639</v>
      </c>
      <c r="D15" s="577">
        <v>121353100.82693924</v>
      </c>
      <c r="E15" s="577">
        <v>33790719.8032248</v>
      </c>
      <c r="F15" s="577">
        <f t="shared" si="0"/>
        <v>309135456.8352219</v>
      </c>
      <c r="G15" s="577">
        <v>22891534.204902176</v>
      </c>
      <c r="H15" s="577">
        <f t="shared" si="1"/>
        <v>332026991.04012406</v>
      </c>
      <c r="I15" s="577"/>
      <c r="J15" s="577"/>
      <c r="K15" s="577"/>
      <c r="L15" s="577">
        <v>-7280795</v>
      </c>
      <c r="M15" s="577"/>
      <c r="N15" s="577"/>
      <c r="O15" s="577">
        <f t="shared" si="2"/>
        <v>324746196.04012406</v>
      </c>
      <c r="P15" s="577">
        <v>75135233</v>
      </c>
      <c r="Q15" s="577">
        <v>79760261</v>
      </c>
      <c r="R15" s="577">
        <v>81319893</v>
      </c>
      <c r="S15" s="615">
        <v>80311603</v>
      </c>
      <c r="T15" s="577">
        <f t="shared" si="3"/>
        <v>316526990</v>
      </c>
      <c r="U15" s="578">
        <f t="shared" si="4"/>
        <v>0.9746903700787044</v>
      </c>
      <c r="V15" s="506"/>
      <c r="W15" s="506"/>
      <c r="X15" s="508"/>
    </row>
    <row r="16" spans="1:24" ht="14.25">
      <c r="A16" s="505" t="s">
        <v>31</v>
      </c>
      <c r="B16" s="577">
        <v>22602626.067778535</v>
      </c>
      <c r="C16" s="577">
        <v>6459347.752452933</v>
      </c>
      <c r="D16" s="577">
        <v>22651866.31493493</v>
      </c>
      <c r="E16" s="577">
        <v>6429591.818708933</v>
      </c>
      <c r="F16" s="577">
        <f t="shared" si="0"/>
        <v>58143431.95387533</v>
      </c>
      <c r="G16" s="577">
        <v>4036339.9324077335</v>
      </c>
      <c r="H16" s="577">
        <f t="shared" si="1"/>
        <v>62179771.88628307</v>
      </c>
      <c r="I16" s="577"/>
      <c r="J16" s="577"/>
      <c r="K16" s="577"/>
      <c r="L16" s="577">
        <v>-1385367</v>
      </c>
      <c r="M16" s="577"/>
      <c r="N16" s="577"/>
      <c r="O16" s="577">
        <f t="shared" si="2"/>
        <v>60794404.88628307</v>
      </c>
      <c r="P16" s="577">
        <v>14102940</v>
      </c>
      <c r="Q16" s="577">
        <v>14776660</v>
      </c>
      <c r="R16" s="577">
        <v>15089820</v>
      </c>
      <c r="S16" s="615">
        <v>15030920</v>
      </c>
      <c r="T16" s="577">
        <f t="shared" si="3"/>
        <v>59000340</v>
      </c>
      <c r="U16" s="578">
        <f t="shared" si="4"/>
        <v>0.9704896381560294</v>
      </c>
      <c r="V16" s="506"/>
      <c r="W16" s="506"/>
      <c r="X16" s="508"/>
    </row>
    <row r="17" spans="1:24" ht="14.25">
      <c r="A17" s="505" t="s">
        <v>32</v>
      </c>
      <c r="B17" s="577">
        <v>28253282.584723167</v>
      </c>
      <c r="C17" s="577">
        <v>8074184.690566167</v>
      </c>
      <c r="D17" s="577">
        <v>28314832.893668674</v>
      </c>
      <c r="E17" s="577">
        <v>8036989.773386167</v>
      </c>
      <c r="F17" s="577">
        <f t="shared" si="0"/>
        <v>72679289.94234417</v>
      </c>
      <c r="G17" s="577">
        <v>5045424.915509667</v>
      </c>
      <c r="H17" s="577">
        <f t="shared" si="1"/>
        <v>77724714.85785384</v>
      </c>
      <c r="I17" s="577"/>
      <c r="J17" s="577"/>
      <c r="K17" s="577"/>
      <c r="L17" s="577">
        <v>-1731708</v>
      </c>
      <c r="M17" s="577"/>
      <c r="N17" s="577"/>
      <c r="O17" s="577">
        <f t="shared" si="2"/>
        <v>75993006.85785384</v>
      </c>
      <c r="P17" s="577">
        <v>17631310</v>
      </c>
      <c r="Q17" s="577">
        <v>18473831</v>
      </c>
      <c r="R17" s="577">
        <v>18865470</v>
      </c>
      <c r="S17" s="615">
        <v>18791990</v>
      </c>
      <c r="T17" s="577">
        <f t="shared" si="3"/>
        <v>73762601</v>
      </c>
      <c r="U17" s="578">
        <f t="shared" si="4"/>
        <v>0.970649853847396</v>
      </c>
      <c r="V17" s="506"/>
      <c r="W17" s="506"/>
      <c r="X17" s="508"/>
    </row>
    <row r="18" spans="1:24" ht="14.25">
      <c r="A18" s="505" t="s">
        <v>33</v>
      </c>
      <c r="B18" s="577">
        <v>600000</v>
      </c>
      <c r="C18" s="577">
        <v>300000</v>
      </c>
      <c r="D18" s="577">
        <v>900000</v>
      </c>
      <c r="E18" s="577">
        <v>300000</v>
      </c>
      <c r="F18" s="577">
        <f t="shared" si="0"/>
        <v>2100000</v>
      </c>
      <c r="G18" s="577">
        <v>900000</v>
      </c>
      <c r="H18" s="577">
        <f t="shared" si="1"/>
        <v>3000000</v>
      </c>
      <c r="I18" s="577"/>
      <c r="J18" s="577"/>
      <c r="K18" s="577"/>
      <c r="L18" s="577"/>
      <c r="M18" s="577"/>
      <c r="N18" s="577"/>
      <c r="O18" s="577">
        <f t="shared" si="2"/>
        <v>3000000</v>
      </c>
      <c r="P18" s="577">
        <v>0</v>
      </c>
      <c r="Q18" s="577">
        <v>2396100</v>
      </c>
      <c r="R18" s="577">
        <v>300000</v>
      </c>
      <c r="S18" s="615">
        <v>0</v>
      </c>
      <c r="T18" s="577">
        <f t="shared" si="3"/>
        <v>2696100</v>
      </c>
      <c r="U18" s="578">
        <f t="shared" si="4"/>
        <v>0.8987</v>
      </c>
      <c r="V18" s="506"/>
      <c r="W18" s="506"/>
      <c r="X18" s="508"/>
    </row>
    <row r="19" spans="1:24" ht="14.25">
      <c r="A19" s="505" t="s">
        <v>34</v>
      </c>
      <c r="B19" s="376">
        <v>48166976</v>
      </c>
      <c r="C19" s="579"/>
      <c r="D19" s="376"/>
      <c r="E19" s="376"/>
      <c r="F19" s="577">
        <f t="shared" si="0"/>
        <v>48166976</v>
      </c>
      <c r="G19" s="577">
        <v>73600000</v>
      </c>
      <c r="H19" s="577">
        <f t="shared" si="1"/>
        <v>121766976</v>
      </c>
      <c r="I19" s="577"/>
      <c r="J19" s="577"/>
      <c r="K19" s="577"/>
      <c r="L19" s="577">
        <v>0</v>
      </c>
      <c r="M19" s="577">
        <v>2350100</v>
      </c>
      <c r="N19" s="577"/>
      <c r="O19" s="577">
        <f t="shared" si="2"/>
        <v>124117076</v>
      </c>
      <c r="P19" s="577">
        <v>25338027</v>
      </c>
      <c r="Q19" s="577">
        <v>30088140</v>
      </c>
      <c r="R19" s="577">
        <v>28648040</v>
      </c>
      <c r="S19" s="615">
        <v>29016380</v>
      </c>
      <c r="T19" s="577">
        <f t="shared" si="3"/>
        <v>113090587</v>
      </c>
      <c r="U19" s="578">
        <f t="shared" si="4"/>
        <v>0.9111605803539877</v>
      </c>
      <c r="V19" s="506"/>
      <c r="W19" s="510"/>
      <c r="X19" s="508"/>
    </row>
    <row r="20" spans="1:24" ht="15">
      <c r="A20" s="511" t="s">
        <v>371</v>
      </c>
      <c r="B20" s="581">
        <f>+B19+B18+B17+B16+B15+B14+B13+B12+B11+B10+B9</f>
        <v>928975600.3019847</v>
      </c>
      <c r="C20" s="581">
        <f>+C19+C18+C17+C16+C15+C14+C13+C12+C11+C10+C9</f>
        <v>262652153.86158884</v>
      </c>
      <c r="D20" s="581">
        <f>+D19+D18+D17+D16+D15+D14+D13+D12+D11+D10+D9</f>
        <v>881458586.6226201</v>
      </c>
      <c r="E20" s="581">
        <f>+E19+E18+E17+E16+E15+E14+E13+E12+E11+E10+E9</f>
        <v>261074021.34105727</v>
      </c>
      <c r="F20" s="581">
        <f t="shared" si="0"/>
        <v>2334160362.1272507</v>
      </c>
      <c r="G20" s="581">
        <f>+G9+G10+G11+G12+G13+G14+G15+G16+G17+G18+G19</f>
        <v>262152978.93011293</v>
      </c>
      <c r="H20" s="581">
        <f aca="true" t="shared" si="5" ref="H20:M20">SUM(H9:H19)</f>
        <v>2596313341.0573635</v>
      </c>
      <c r="I20" s="581">
        <f t="shared" si="5"/>
        <v>0</v>
      </c>
      <c r="J20" s="581">
        <f t="shared" si="5"/>
        <v>0</v>
      </c>
      <c r="K20" s="581">
        <f t="shared" si="5"/>
        <v>0</v>
      </c>
      <c r="L20" s="581">
        <f t="shared" si="5"/>
        <v>-57005215</v>
      </c>
      <c r="M20" s="581">
        <f t="shared" si="5"/>
        <v>2350100</v>
      </c>
      <c r="N20" s="581"/>
      <c r="O20" s="574">
        <f t="shared" si="2"/>
        <v>2541658226.0573635</v>
      </c>
      <c r="P20" s="581">
        <f>SUM(P9:P19)</f>
        <v>540828571</v>
      </c>
      <c r="Q20" s="581">
        <f>SUM(Q9:Q19)</f>
        <v>635205882</v>
      </c>
      <c r="R20" s="581">
        <f>SUM(R9:R19)</f>
        <v>627650316</v>
      </c>
      <c r="S20" s="581">
        <f>SUM(S9:S19)</f>
        <v>610281323</v>
      </c>
      <c r="T20" s="581">
        <f t="shared" si="3"/>
        <v>2413966092</v>
      </c>
      <c r="U20" s="575">
        <f t="shared" si="4"/>
        <v>0.949760305005508</v>
      </c>
      <c r="V20" s="506"/>
      <c r="W20" s="506"/>
      <c r="X20" s="508"/>
    </row>
    <row r="21" spans="1:24" ht="15">
      <c r="A21" s="500" t="s">
        <v>36</v>
      </c>
      <c r="B21" s="571"/>
      <c r="C21" s="571"/>
      <c r="D21" s="571"/>
      <c r="E21" s="571"/>
      <c r="F21" s="577"/>
      <c r="G21" s="581"/>
      <c r="H21" s="577"/>
      <c r="I21" s="577"/>
      <c r="J21" s="577"/>
      <c r="K21" s="577"/>
      <c r="L21" s="577"/>
      <c r="M21" s="577"/>
      <c r="N21" s="577"/>
      <c r="O21" s="577">
        <f t="shared" si="2"/>
        <v>0</v>
      </c>
      <c r="P21" s="577"/>
      <c r="Q21" s="577"/>
      <c r="R21" s="577"/>
      <c r="S21" s="615"/>
      <c r="T21" s="577"/>
      <c r="U21" s="575"/>
      <c r="V21" s="506"/>
      <c r="W21" s="506"/>
      <c r="X21" s="508"/>
    </row>
    <row r="22" spans="1:24" ht="14.25">
      <c r="A22" s="512" t="s">
        <v>105</v>
      </c>
      <c r="B22" s="583">
        <v>14260000</v>
      </c>
      <c r="C22" s="583">
        <v>0</v>
      </c>
      <c r="D22" s="583">
        <v>12000000</v>
      </c>
      <c r="E22" s="583">
        <v>1500000</v>
      </c>
      <c r="F22" s="583">
        <f>+B22+C22+D22+E22</f>
        <v>27760000</v>
      </c>
      <c r="G22" s="577">
        <v>66771061.416</v>
      </c>
      <c r="H22" s="577">
        <f>+G22+F22</f>
        <v>94531061.41600001</v>
      </c>
      <c r="I22" s="577"/>
      <c r="J22" s="577"/>
      <c r="K22" s="577"/>
      <c r="L22" s="577"/>
      <c r="M22" s="577"/>
      <c r="N22" s="577"/>
      <c r="O22" s="577">
        <f t="shared" si="2"/>
        <v>94531061.41600001</v>
      </c>
      <c r="P22" s="583">
        <v>36355262.64</v>
      </c>
      <c r="Q22" s="583">
        <v>38868610</v>
      </c>
      <c r="R22" s="583">
        <v>4203958</v>
      </c>
      <c r="S22" s="616">
        <v>13537447</v>
      </c>
      <c r="T22" s="583">
        <f t="shared" si="3"/>
        <v>92965277.64</v>
      </c>
      <c r="U22" s="578">
        <f t="shared" si="4"/>
        <v>0.9834363038714914</v>
      </c>
      <c r="W22" s="506"/>
      <c r="X22" s="508"/>
    </row>
    <row r="23" spans="1:24" ht="14.25">
      <c r="A23" s="512" t="s">
        <v>38</v>
      </c>
      <c r="B23" s="583">
        <v>0</v>
      </c>
      <c r="C23" s="583">
        <v>0</v>
      </c>
      <c r="D23" s="583">
        <v>0</v>
      </c>
      <c r="E23" s="583">
        <v>0</v>
      </c>
      <c r="F23" s="583">
        <v>0</v>
      </c>
      <c r="G23" s="577">
        <v>6349081.800000001</v>
      </c>
      <c r="H23" s="577">
        <f aca="true" t="shared" si="6" ref="H23:H35">+F23+G23</f>
        <v>6349081.800000001</v>
      </c>
      <c r="I23" s="577"/>
      <c r="J23" s="577"/>
      <c r="K23" s="577"/>
      <c r="L23" s="577"/>
      <c r="M23" s="577"/>
      <c r="N23" s="577"/>
      <c r="O23" s="577">
        <f t="shared" si="2"/>
        <v>6349081.800000001</v>
      </c>
      <c r="P23" s="583">
        <v>3109320</v>
      </c>
      <c r="Q23" s="583">
        <v>1019480</v>
      </c>
      <c r="R23" s="583">
        <v>1104900</v>
      </c>
      <c r="S23" s="616">
        <v>1107550</v>
      </c>
      <c r="T23" s="583">
        <f t="shared" si="3"/>
        <v>6341250</v>
      </c>
      <c r="U23" s="578">
        <f t="shared" si="4"/>
        <v>0.9987664673024057</v>
      </c>
      <c r="V23" s="506"/>
      <c r="W23" s="506"/>
      <c r="X23" s="508"/>
    </row>
    <row r="24" spans="1:24" ht="14.25">
      <c r="A24" s="512" t="s">
        <v>39</v>
      </c>
      <c r="B24" s="583">
        <v>0</v>
      </c>
      <c r="C24" s="583">
        <v>0</v>
      </c>
      <c r="D24" s="583">
        <v>4968000</v>
      </c>
      <c r="E24" s="583">
        <v>0</v>
      </c>
      <c r="F24" s="583">
        <f aca="true" t="shared" si="7" ref="F24:F35">+B24+C24+D24+E24</f>
        <v>4968000</v>
      </c>
      <c r="G24" s="577">
        <v>17031700</v>
      </c>
      <c r="H24" s="577">
        <f t="shared" si="6"/>
        <v>21999700</v>
      </c>
      <c r="I24" s="577"/>
      <c r="J24" s="577"/>
      <c r="K24" s="577"/>
      <c r="L24" s="577"/>
      <c r="M24" s="577"/>
      <c r="N24" s="577"/>
      <c r="O24" s="577">
        <f t="shared" si="2"/>
        <v>21999700</v>
      </c>
      <c r="P24" s="583">
        <v>5449005</v>
      </c>
      <c r="Q24" s="583">
        <v>5404241.8</v>
      </c>
      <c r="R24" s="583">
        <v>5482561.8</v>
      </c>
      <c r="S24" s="616">
        <v>5633402</v>
      </c>
      <c r="T24" s="583">
        <f t="shared" si="3"/>
        <v>21969210.6</v>
      </c>
      <c r="U24" s="578">
        <f t="shared" si="4"/>
        <v>0.9986140992831721</v>
      </c>
      <c r="V24" s="513"/>
      <c r="W24" s="513"/>
      <c r="X24" s="508"/>
    </row>
    <row r="25" spans="1:22" ht="14.25">
      <c r="A25" s="512" t="s">
        <v>40</v>
      </c>
      <c r="B25" s="583">
        <v>6190200</v>
      </c>
      <c r="C25" s="583">
        <v>6190200</v>
      </c>
      <c r="D25" s="583">
        <v>6190200</v>
      </c>
      <c r="E25" s="583">
        <v>6190200</v>
      </c>
      <c r="F25" s="577">
        <f t="shared" si="7"/>
        <v>24760800</v>
      </c>
      <c r="G25" s="577">
        <v>22344266.2524</v>
      </c>
      <c r="H25" s="577">
        <f t="shared" si="6"/>
        <v>47105066.252399996</v>
      </c>
      <c r="I25" s="577"/>
      <c r="J25" s="577"/>
      <c r="K25" s="577"/>
      <c r="L25" s="577"/>
      <c r="M25" s="577"/>
      <c r="N25" s="577"/>
      <c r="O25" s="577">
        <f t="shared" si="2"/>
        <v>47105066.252399996</v>
      </c>
      <c r="P25" s="577">
        <v>11708743</v>
      </c>
      <c r="Q25" s="577">
        <v>8597139</v>
      </c>
      <c r="R25" s="577">
        <v>10042010</v>
      </c>
      <c r="S25" s="615">
        <v>13351890</v>
      </c>
      <c r="T25" s="577">
        <f>+P25+Q25+R25+S25</f>
        <v>43699782</v>
      </c>
      <c r="U25" s="578">
        <f t="shared" si="4"/>
        <v>0.9277087472045218</v>
      </c>
      <c r="V25" s="495"/>
    </row>
    <row r="26" spans="1:22" ht="14.25">
      <c r="A26" s="512" t="s">
        <v>41</v>
      </c>
      <c r="B26" s="577">
        <v>8986533.0921</v>
      </c>
      <c r="C26" s="577">
        <v>6232955.7114</v>
      </c>
      <c r="D26" s="577">
        <v>12121068.792900002</v>
      </c>
      <c r="E26" s="577">
        <v>8852015.919300001</v>
      </c>
      <c r="F26" s="577">
        <f t="shared" si="7"/>
        <v>36192573.5157</v>
      </c>
      <c r="G26" s="577">
        <v>25582185.3362</v>
      </c>
      <c r="H26" s="577">
        <f t="shared" si="6"/>
        <v>61774758.8519</v>
      </c>
      <c r="I26" s="577"/>
      <c r="J26" s="577">
        <v>-807247</v>
      </c>
      <c r="K26" s="577"/>
      <c r="L26" s="577"/>
      <c r="M26" s="577"/>
      <c r="N26" s="577"/>
      <c r="O26" s="577">
        <f t="shared" si="2"/>
        <v>60967511.8519</v>
      </c>
      <c r="P26" s="577">
        <v>10564131</v>
      </c>
      <c r="Q26" s="577">
        <v>11014566</v>
      </c>
      <c r="R26" s="577">
        <v>12672459.540000001</v>
      </c>
      <c r="S26" s="615">
        <v>12677620</v>
      </c>
      <c r="T26" s="577">
        <f t="shared" si="3"/>
        <v>46928776.54</v>
      </c>
      <c r="U26" s="578">
        <f t="shared" si="4"/>
        <v>0.7697341602851964</v>
      </c>
      <c r="V26" s="495"/>
    </row>
    <row r="27" spans="1:22" ht="14.25">
      <c r="A27" s="512" t="s">
        <v>42</v>
      </c>
      <c r="B27" s="583">
        <v>2500000</v>
      </c>
      <c r="C27" s="583">
        <v>0</v>
      </c>
      <c r="D27" s="583">
        <v>4800000</v>
      </c>
      <c r="E27" s="583">
        <v>0</v>
      </c>
      <c r="F27" s="577">
        <f t="shared" si="7"/>
        <v>7300000</v>
      </c>
      <c r="G27" s="577">
        <v>40360252.5648</v>
      </c>
      <c r="H27" s="577">
        <f t="shared" si="6"/>
        <v>47660252.5648</v>
      </c>
      <c r="I27" s="577"/>
      <c r="J27" s="577">
        <v>807247</v>
      </c>
      <c r="K27" s="577"/>
      <c r="L27" s="577"/>
      <c r="M27" s="577"/>
      <c r="N27" s="577"/>
      <c r="O27" s="577">
        <f t="shared" si="2"/>
        <v>48467499.5648</v>
      </c>
      <c r="P27" s="577">
        <v>12609588</v>
      </c>
      <c r="Q27" s="577">
        <v>14446464</v>
      </c>
      <c r="R27" s="577">
        <v>10705126</v>
      </c>
      <c r="S27" s="615">
        <v>10705128</v>
      </c>
      <c r="T27" s="577">
        <f t="shared" si="3"/>
        <v>48466306</v>
      </c>
      <c r="U27" s="578">
        <f t="shared" si="4"/>
        <v>0.9999753739142576</v>
      </c>
      <c r="V27" s="495"/>
    </row>
    <row r="28" spans="1:22" ht="14.25">
      <c r="A28" s="512" t="s">
        <v>43</v>
      </c>
      <c r="B28" s="577">
        <v>11000000</v>
      </c>
      <c r="C28" s="577">
        <v>15000000</v>
      </c>
      <c r="D28" s="577">
        <v>175176000</v>
      </c>
      <c r="E28" s="583">
        <v>15000000</v>
      </c>
      <c r="F28" s="577">
        <f t="shared" si="7"/>
        <v>216176000</v>
      </c>
      <c r="G28" s="577">
        <v>18000000</v>
      </c>
      <c r="H28" s="577">
        <f t="shared" si="6"/>
        <v>234176000</v>
      </c>
      <c r="I28" s="577"/>
      <c r="J28" s="577"/>
      <c r="K28" s="577">
        <v>-2000000</v>
      </c>
      <c r="L28" s="577"/>
      <c r="M28" s="577"/>
      <c r="N28" s="577"/>
      <c r="O28" s="577">
        <f t="shared" si="2"/>
        <v>232176000</v>
      </c>
      <c r="P28" s="577">
        <v>42441538</v>
      </c>
      <c r="Q28" s="577">
        <v>57660601</v>
      </c>
      <c r="R28" s="577">
        <v>59765651</v>
      </c>
      <c r="S28" s="615">
        <v>51581684</v>
      </c>
      <c r="T28" s="577">
        <f t="shared" si="3"/>
        <v>211449474</v>
      </c>
      <c r="U28" s="578">
        <f t="shared" si="4"/>
        <v>0.9107292485011371</v>
      </c>
      <c r="V28" s="495"/>
    </row>
    <row r="29" spans="1:22" ht="14.25">
      <c r="A29" s="512" t="s">
        <v>44</v>
      </c>
      <c r="B29" s="577">
        <v>24308078</v>
      </c>
      <c r="C29" s="583">
        <v>0</v>
      </c>
      <c r="D29" s="577">
        <v>12000000</v>
      </c>
      <c r="E29" s="583">
        <v>0</v>
      </c>
      <c r="F29" s="577">
        <f t="shared" si="7"/>
        <v>36308078</v>
      </c>
      <c r="G29" s="577">
        <v>9726867.6</v>
      </c>
      <c r="H29" s="577">
        <f t="shared" si="6"/>
        <v>46034945.6</v>
      </c>
      <c r="I29" s="577"/>
      <c r="J29" s="577"/>
      <c r="K29" s="577"/>
      <c r="L29" s="577"/>
      <c r="M29" s="577"/>
      <c r="N29" s="577"/>
      <c r="O29" s="577">
        <f t="shared" si="2"/>
        <v>46034945.6</v>
      </c>
      <c r="P29" s="577">
        <v>7095778</v>
      </c>
      <c r="Q29" s="577">
        <v>6561826</v>
      </c>
      <c r="R29" s="577">
        <v>12870968</v>
      </c>
      <c r="S29" s="615">
        <v>18384995</v>
      </c>
      <c r="T29" s="577">
        <f t="shared" si="3"/>
        <v>44913567</v>
      </c>
      <c r="U29" s="578">
        <f t="shared" si="4"/>
        <v>0.9756407097828741</v>
      </c>
      <c r="V29" s="495"/>
    </row>
    <row r="30" spans="1:22" ht="14.25">
      <c r="A30" s="512" t="s">
        <v>45</v>
      </c>
      <c r="B30" s="577">
        <v>45687646</v>
      </c>
      <c r="C30" s="583">
        <v>6000000</v>
      </c>
      <c r="D30" s="583">
        <v>42000000</v>
      </c>
      <c r="E30" s="583">
        <v>10000000</v>
      </c>
      <c r="F30" s="577">
        <f t="shared" si="7"/>
        <v>103687646</v>
      </c>
      <c r="G30" s="577">
        <v>30000000</v>
      </c>
      <c r="H30" s="577">
        <f t="shared" si="6"/>
        <v>133687646</v>
      </c>
      <c r="I30" s="577"/>
      <c r="J30" s="577"/>
      <c r="K30" s="577"/>
      <c r="L30" s="577"/>
      <c r="M30" s="577">
        <v>-2350100</v>
      </c>
      <c r="N30" s="577"/>
      <c r="O30" s="577">
        <f t="shared" si="2"/>
        <v>131337546</v>
      </c>
      <c r="P30" s="577">
        <v>28749504</v>
      </c>
      <c r="Q30" s="577">
        <v>25587909</v>
      </c>
      <c r="R30" s="577">
        <v>28081934</v>
      </c>
      <c r="S30" s="615">
        <v>18687695</v>
      </c>
      <c r="T30" s="577">
        <f t="shared" si="3"/>
        <v>101107042</v>
      </c>
      <c r="U30" s="578">
        <f t="shared" si="4"/>
        <v>0.7698258805596992</v>
      </c>
      <c r="V30" s="495"/>
    </row>
    <row r="31" spans="1:22" ht="14.25">
      <c r="A31" s="512" t="s">
        <v>46</v>
      </c>
      <c r="B31" s="571"/>
      <c r="C31" s="583">
        <v>0</v>
      </c>
      <c r="D31" s="583">
        <v>1560000</v>
      </c>
      <c r="E31" s="583">
        <v>0</v>
      </c>
      <c r="F31" s="577">
        <f t="shared" si="7"/>
        <v>1560000</v>
      </c>
      <c r="G31" s="577">
        <v>3095100</v>
      </c>
      <c r="H31" s="577">
        <f t="shared" si="6"/>
        <v>4655100</v>
      </c>
      <c r="I31" s="577"/>
      <c r="J31" s="577"/>
      <c r="K31" s="577"/>
      <c r="L31" s="577"/>
      <c r="M31" s="577"/>
      <c r="N31" s="577"/>
      <c r="O31" s="577">
        <f t="shared" si="2"/>
        <v>4655100</v>
      </c>
      <c r="P31" s="577">
        <v>919100</v>
      </c>
      <c r="Q31" s="577">
        <v>1253500</v>
      </c>
      <c r="R31" s="577">
        <v>1393500</v>
      </c>
      <c r="S31" s="615">
        <v>968600</v>
      </c>
      <c r="T31" s="577">
        <f t="shared" si="3"/>
        <v>4534700</v>
      </c>
      <c r="U31" s="578">
        <f>+T31/O31</f>
        <v>0.974135893965758</v>
      </c>
      <c r="V31" s="495"/>
    </row>
    <row r="32" spans="1:22" ht="14.25">
      <c r="A32" s="512" t="s">
        <v>47</v>
      </c>
      <c r="B32" s="583">
        <v>15000000</v>
      </c>
      <c r="C32" s="583">
        <v>0</v>
      </c>
      <c r="D32" s="583">
        <v>29505410.802360002</v>
      </c>
      <c r="E32" s="583">
        <v>0</v>
      </c>
      <c r="F32" s="577">
        <f t="shared" si="7"/>
        <v>44505410.80236</v>
      </c>
      <c r="G32" s="577">
        <v>25000000</v>
      </c>
      <c r="H32" s="577">
        <f t="shared" si="6"/>
        <v>69505410.80236</v>
      </c>
      <c r="I32" s="577"/>
      <c r="J32" s="577"/>
      <c r="K32" s="577">
        <v>2000000</v>
      </c>
      <c r="L32" s="577"/>
      <c r="M32" s="577">
        <v>7000000</v>
      </c>
      <c r="N32" s="577"/>
      <c r="O32" s="577">
        <f t="shared" si="2"/>
        <v>78505410.80236</v>
      </c>
      <c r="P32" s="577">
        <v>7229790</v>
      </c>
      <c r="Q32" s="577">
        <v>7540272</v>
      </c>
      <c r="R32" s="577">
        <v>14502012</v>
      </c>
      <c r="S32" s="615">
        <v>24161891</v>
      </c>
      <c r="T32" s="577">
        <f t="shared" si="3"/>
        <v>53433965</v>
      </c>
      <c r="U32" s="578">
        <f t="shared" si="4"/>
        <v>0.6806405374340604</v>
      </c>
      <c r="V32" s="495"/>
    </row>
    <row r="33" spans="1:22" ht="14.25">
      <c r="A33" s="512" t="s">
        <v>48</v>
      </c>
      <c r="B33" s="583">
        <v>0</v>
      </c>
      <c r="C33" s="583">
        <v>0</v>
      </c>
      <c r="D33" s="583">
        <v>0</v>
      </c>
      <c r="E33" s="583">
        <v>0</v>
      </c>
      <c r="F33" s="577">
        <f t="shared" si="7"/>
        <v>0</v>
      </c>
      <c r="G33" s="577">
        <v>18570600</v>
      </c>
      <c r="H33" s="577">
        <f t="shared" si="6"/>
        <v>18570600</v>
      </c>
      <c r="I33" s="577"/>
      <c r="J33" s="577"/>
      <c r="K33" s="577"/>
      <c r="L33" s="577"/>
      <c r="M33" s="577">
        <v>-6500000</v>
      </c>
      <c r="N33" s="577"/>
      <c r="O33" s="577">
        <f t="shared" si="2"/>
        <v>12070600</v>
      </c>
      <c r="P33" s="577">
        <v>3927925</v>
      </c>
      <c r="Q33" s="577">
        <v>1612932</v>
      </c>
      <c r="R33" s="577">
        <v>2184579</v>
      </c>
      <c r="S33" s="615">
        <v>2556372</v>
      </c>
      <c r="T33" s="577">
        <f t="shared" si="3"/>
        <v>10281808</v>
      </c>
      <c r="U33" s="578">
        <f t="shared" si="4"/>
        <v>0.8518058754328699</v>
      </c>
      <c r="V33" s="495"/>
    </row>
    <row r="34" spans="1:22" ht="14.25">
      <c r="A34" s="512" t="s">
        <v>49</v>
      </c>
      <c r="B34" s="583">
        <v>0</v>
      </c>
      <c r="C34" s="583">
        <v>0</v>
      </c>
      <c r="D34" s="583">
        <v>25000000</v>
      </c>
      <c r="E34" s="583">
        <v>0</v>
      </c>
      <c r="F34" s="577">
        <f t="shared" si="7"/>
        <v>25000000</v>
      </c>
      <c r="G34" s="577">
        <v>55000000</v>
      </c>
      <c r="H34" s="577">
        <f t="shared" si="6"/>
        <v>80000000</v>
      </c>
      <c r="I34" s="577"/>
      <c r="J34" s="577"/>
      <c r="K34" s="577"/>
      <c r="L34" s="577">
        <v>8000000</v>
      </c>
      <c r="M34" s="577">
        <v>6500000</v>
      </c>
      <c r="N34" s="577"/>
      <c r="O34" s="577">
        <f t="shared" si="2"/>
        <v>94500000</v>
      </c>
      <c r="P34" s="577">
        <v>19411871.25</v>
      </c>
      <c r="Q34" s="577">
        <v>25366673.76</v>
      </c>
      <c r="R34" s="577">
        <v>21413633.979999997</v>
      </c>
      <c r="S34" s="615">
        <v>22200486.04</v>
      </c>
      <c r="T34" s="577">
        <f t="shared" si="3"/>
        <v>88392665.03</v>
      </c>
      <c r="U34" s="578">
        <f t="shared" si="4"/>
        <v>0.9353721167195768</v>
      </c>
      <c r="V34" s="495"/>
    </row>
    <row r="35" spans="1:22" ht="14.25">
      <c r="A35" s="512" t="s">
        <v>50</v>
      </c>
      <c r="B35" s="583">
        <v>0</v>
      </c>
      <c r="C35" s="583">
        <v>0</v>
      </c>
      <c r="D35" s="583">
        <v>0</v>
      </c>
      <c r="E35" s="583">
        <v>0</v>
      </c>
      <c r="F35" s="577">
        <f t="shared" si="7"/>
        <v>0</v>
      </c>
      <c r="G35" s="577">
        <v>31186455</v>
      </c>
      <c r="H35" s="577">
        <f t="shared" si="6"/>
        <v>31186455</v>
      </c>
      <c r="I35" s="577"/>
      <c r="J35" s="577"/>
      <c r="K35" s="577"/>
      <c r="L35" s="577"/>
      <c r="M35" s="577"/>
      <c r="N35" s="577"/>
      <c r="O35" s="577">
        <f t="shared" si="2"/>
        <v>31186455</v>
      </c>
      <c r="P35" s="577">
        <v>0</v>
      </c>
      <c r="Q35" s="577">
        <v>0</v>
      </c>
      <c r="R35" s="577">
        <v>27390843</v>
      </c>
      <c r="S35" s="615">
        <v>0</v>
      </c>
      <c r="T35" s="577">
        <f t="shared" si="3"/>
        <v>27390843</v>
      </c>
      <c r="U35" s="578">
        <f t="shared" si="4"/>
        <v>0.8782929319796046</v>
      </c>
      <c r="V35" s="495"/>
    </row>
    <row r="36" spans="1:23" ht="15">
      <c r="A36" s="511" t="s">
        <v>372</v>
      </c>
      <c r="B36" s="581">
        <f aca="true" t="shared" si="8" ref="B36:G36">SUM(B22:B35)</f>
        <v>127932457.0921</v>
      </c>
      <c r="C36" s="581">
        <f t="shared" si="8"/>
        <v>33423155.711400002</v>
      </c>
      <c r="D36" s="581">
        <f t="shared" si="8"/>
        <v>325320679.59525996</v>
      </c>
      <c r="E36" s="581">
        <f t="shared" si="8"/>
        <v>41542215.919300005</v>
      </c>
      <c r="F36" s="581">
        <f>SUM(F22:F35)</f>
        <v>528218508.31806</v>
      </c>
      <c r="G36" s="581">
        <f t="shared" si="8"/>
        <v>369017569.9694</v>
      </c>
      <c r="H36" s="581">
        <f>SUM(H21:H35)</f>
        <v>897236078.2874601</v>
      </c>
      <c r="I36" s="581">
        <f>SUM(I22:I35)</f>
        <v>0</v>
      </c>
      <c r="J36" s="581">
        <f>SUM(J22:J35)</f>
        <v>0</v>
      </c>
      <c r="K36" s="581">
        <f>SUM(K22:K35)</f>
        <v>0</v>
      </c>
      <c r="L36" s="581">
        <f>SUM(L22:L35)</f>
        <v>8000000</v>
      </c>
      <c r="M36" s="581">
        <f>SUM(M22:M35)</f>
        <v>4649900</v>
      </c>
      <c r="N36" s="581"/>
      <c r="O36" s="574">
        <f t="shared" si="2"/>
        <v>909885978.2874601</v>
      </c>
      <c r="P36" s="581">
        <f>SUM(P22:P35)</f>
        <v>189571555.89</v>
      </c>
      <c r="Q36" s="581">
        <f>SUM(Q22:Q35)</f>
        <v>204934214.56</v>
      </c>
      <c r="R36" s="581">
        <f>SUM(R22:R35)</f>
        <v>211814136.32</v>
      </c>
      <c r="S36" s="581">
        <f>SUM(S22:S35)</f>
        <v>195554760.04</v>
      </c>
      <c r="T36" s="581">
        <f t="shared" si="3"/>
        <v>801874666.81</v>
      </c>
      <c r="U36" s="575">
        <f t="shared" si="4"/>
        <v>0.8812913771011689</v>
      </c>
      <c r="V36" s="514"/>
      <c r="W36" s="509"/>
    </row>
    <row r="37" spans="1:24" ht="15">
      <c r="A37" s="511" t="s">
        <v>373</v>
      </c>
      <c r="B37" s="581">
        <f aca="true" t="shared" si="9" ref="B37:H37">+B36+B20</f>
        <v>1056908057.3940847</v>
      </c>
      <c r="C37" s="581">
        <f t="shared" si="9"/>
        <v>296075309.57298887</v>
      </c>
      <c r="D37" s="581">
        <f t="shared" si="9"/>
        <v>1206779266.21788</v>
      </c>
      <c r="E37" s="581">
        <f t="shared" si="9"/>
        <v>302616237.26035726</v>
      </c>
      <c r="F37" s="581">
        <f t="shared" si="9"/>
        <v>2862378870.4453106</v>
      </c>
      <c r="G37" s="581">
        <f t="shared" si="9"/>
        <v>631170548.8995129</v>
      </c>
      <c r="H37" s="581">
        <f t="shared" si="9"/>
        <v>3493549419.344824</v>
      </c>
      <c r="I37" s="581">
        <f>+I20+I36</f>
        <v>0</v>
      </c>
      <c r="J37" s="581">
        <f>+J20+J36</f>
        <v>0</v>
      </c>
      <c r="K37" s="581">
        <f>+K20+K36</f>
        <v>0</v>
      </c>
      <c r="L37" s="581">
        <f>+L20+L36</f>
        <v>-49005215</v>
      </c>
      <c r="M37" s="581">
        <f>+M20+M36</f>
        <v>7000000</v>
      </c>
      <c r="N37" s="581"/>
      <c r="O37" s="574">
        <f t="shared" si="2"/>
        <v>3451544204.344824</v>
      </c>
      <c r="P37" s="581">
        <f>+P36+P20</f>
        <v>730400126.89</v>
      </c>
      <c r="Q37" s="581">
        <f>+Q36+Q20</f>
        <v>840140096.56</v>
      </c>
      <c r="R37" s="581">
        <f>+R36+R20</f>
        <v>839464452.3199999</v>
      </c>
      <c r="S37" s="581">
        <f>+S36+S20</f>
        <v>805836083.04</v>
      </c>
      <c r="T37" s="581">
        <f t="shared" si="3"/>
        <v>3215840758.8099995</v>
      </c>
      <c r="U37" s="575">
        <f t="shared" si="4"/>
        <v>0.9317107266834017</v>
      </c>
      <c r="V37" s="514"/>
      <c r="W37" s="509"/>
      <c r="X37" s="515"/>
    </row>
    <row r="38" spans="1:23" ht="15">
      <c r="A38" s="512"/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614"/>
      <c r="T38" s="571"/>
      <c r="U38" s="575"/>
      <c r="V38" s="516"/>
      <c r="W38" s="509"/>
    </row>
    <row r="39" spans="1:23" ht="15">
      <c r="A39" s="511" t="s">
        <v>374</v>
      </c>
      <c r="B39" s="581">
        <f>+B41</f>
        <v>2260118760.175</v>
      </c>
      <c r="C39" s="581">
        <f>+C41+C69+C109+C136+C164+C168+C166</f>
        <v>2484904667</v>
      </c>
      <c r="D39" s="581">
        <f>+D41+D69+D109+D136+D164+D168</f>
        <v>4625165946.33424</v>
      </c>
      <c r="E39" s="581">
        <f>+E41+E69+E109+E136+E164+E168</f>
        <v>2419905480.5964</v>
      </c>
      <c r="F39" s="581">
        <f>+B39+C39+D39+E39</f>
        <v>11790094854.105639</v>
      </c>
      <c r="G39" s="581">
        <v>0</v>
      </c>
      <c r="H39" s="581">
        <f>+G39+F39</f>
        <v>11790094854.105639</v>
      </c>
      <c r="I39" s="581">
        <f>+I41+I69+I109+I136+I164</f>
        <v>-154458505</v>
      </c>
      <c r="J39" s="581">
        <f>+J41+J69+J109+J136+J164</f>
        <v>309629945</v>
      </c>
      <c r="K39" s="581">
        <f>+K41+K69+K109+K136+K164</f>
        <v>5600000</v>
      </c>
      <c r="L39" s="581">
        <f>+L41+L69+L109+L136+L166</f>
        <v>-1027403968</v>
      </c>
      <c r="M39" s="581">
        <f>+M41+M69+M109+M136+M166</f>
        <v>267550000</v>
      </c>
      <c r="N39" s="581">
        <f>+O41-N40</f>
        <v>1875257152.1750002</v>
      </c>
      <c r="O39" s="574">
        <f t="shared" si="2"/>
        <v>13066269478.28064</v>
      </c>
      <c r="P39" s="581">
        <f>+P41+P69+P109+P136+P166</f>
        <v>1667943601.37</v>
      </c>
      <c r="Q39" s="581">
        <f>+Q41+Q69+Q109+Q136+Q166</f>
        <v>2241556698.05</v>
      </c>
      <c r="R39" s="581">
        <f>+R41+R69+R109+R136+R166</f>
        <v>2697361814.8</v>
      </c>
      <c r="S39" s="581">
        <f>+S41+S69+S109+S136+S166</f>
        <v>2838384132.63</v>
      </c>
      <c r="T39" s="581">
        <f>+P39+Q39+R39+S39</f>
        <v>9445246246.85</v>
      </c>
      <c r="U39" s="575">
        <f t="shared" si="4"/>
        <v>0.7228724512800174</v>
      </c>
      <c r="V39" s="517"/>
      <c r="W39" s="509"/>
    </row>
    <row r="40" spans="1:23" ht="15">
      <c r="A40" s="512"/>
      <c r="B40" s="571"/>
      <c r="C40" s="571"/>
      <c r="D40" s="571"/>
      <c r="E40" s="571"/>
      <c r="F40" s="577"/>
      <c r="G40" s="571"/>
      <c r="H40" s="577"/>
      <c r="I40" s="571"/>
      <c r="J40" s="571"/>
      <c r="K40" s="571"/>
      <c r="L40" s="571"/>
      <c r="M40" s="571"/>
      <c r="N40" s="577"/>
      <c r="O40" s="577"/>
      <c r="P40" s="571"/>
      <c r="Q40" s="571"/>
      <c r="R40" s="571"/>
      <c r="S40" s="614"/>
      <c r="T40" s="571"/>
      <c r="U40" s="575"/>
      <c r="V40" s="495"/>
      <c r="W40" s="509"/>
    </row>
    <row r="41" spans="1:23" ht="15">
      <c r="A41" s="500" t="s">
        <v>86</v>
      </c>
      <c r="B41" s="585">
        <f>+B42+B52+B58+B63</f>
        <v>2260118760.175</v>
      </c>
      <c r="C41" s="581"/>
      <c r="D41" s="581"/>
      <c r="E41" s="584"/>
      <c r="F41" s="581">
        <f>+SUM(B41:E41)</f>
        <v>2260118760.175</v>
      </c>
      <c r="G41" s="584"/>
      <c r="H41" s="581">
        <f>+F41+G41</f>
        <v>2260118760.175</v>
      </c>
      <c r="I41" s="585">
        <f>+I42+I52+I58+I63</f>
        <v>0</v>
      </c>
      <c r="J41" s="585">
        <f>+J42+J52+J58+J63</f>
        <v>0</v>
      </c>
      <c r="K41" s="585">
        <f>+K42+K52+K58+K63</f>
        <v>0</v>
      </c>
      <c r="L41" s="585">
        <f>+L42+L52+L58+L63</f>
        <v>-382411608</v>
      </c>
      <c r="M41" s="585">
        <f>+M42+M52+M58+M63</f>
        <v>-2450000</v>
      </c>
      <c r="N41" s="585"/>
      <c r="O41" s="574">
        <f>+H41+I41+J41+K41+L41+M41+N41</f>
        <v>1875257152.1750002</v>
      </c>
      <c r="P41" s="585">
        <f>+P42+P52+P58+P63</f>
        <v>338318289.99999976</v>
      </c>
      <c r="Q41" s="585">
        <f>+Q42+Q52+Q58+Q63</f>
        <v>415186710</v>
      </c>
      <c r="R41" s="585">
        <f>+R42+R52+R58+R63</f>
        <v>454003834.0000001</v>
      </c>
      <c r="S41" s="585">
        <f>+S42+S52+S58+S63</f>
        <v>537738434.9500002</v>
      </c>
      <c r="T41" s="585">
        <f>+P41+Q41+R41+S41</f>
        <v>1745247268.9500003</v>
      </c>
      <c r="U41" s="575">
        <f t="shared" si="4"/>
        <v>0.9306709039481816</v>
      </c>
      <c r="V41" s="518"/>
      <c r="W41" s="509"/>
    </row>
    <row r="42" spans="1:23" s="521" customFormat="1" ht="15.75" customHeight="1">
      <c r="A42" s="519" t="s">
        <v>87</v>
      </c>
      <c r="B42" s="581">
        <f>+B43+B46+B49+B50+B51</f>
        <v>1738258330.845</v>
      </c>
      <c r="C42" s="584"/>
      <c r="D42" s="584"/>
      <c r="E42" s="584"/>
      <c r="F42" s="581">
        <f>+SUM(B42:E42)</f>
        <v>1738258330.845</v>
      </c>
      <c r="G42" s="584"/>
      <c r="H42" s="581">
        <f>+F42+G42</f>
        <v>1738258330.845</v>
      </c>
      <c r="I42" s="581">
        <f>+I43+I46+I49+I50+I51</f>
        <v>0</v>
      </c>
      <c r="J42" s="581">
        <f>+J43+J46+J49+J50+J51</f>
        <v>0</v>
      </c>
      <c r="K42" s="581">
        <f>+K43+K46+K49+K50+K51</f>
        <v>-12380000</v>
      </c>
      <c r="L42" s="581">
        <f>+L43+L46+L49+L50+L51</f>
        <v>-403411608</v>
      </c>
      <c r="M42" s="581">
        <f>+M43+M46+M49+M50+M51</f>
        <v>-2450000</v>
      </c>
      <c r="N42" s="581"/>
      <c r="O42" s="574">
        <f>+H42+I42+J42+K42+L42+M42+N42</f>
        <v>1320016722.845</v>
      </c>
      <c r="P42" s="581">
        <f>+P43+P46+P49+P50+P51</f>
        <v>192247365.9999998</v>
      </c>
      <c r="Q42" s="581">
        <f>+Q43+Q46+Q49+Q50+Q51</f>
        <v>271676922</v>
      </c>
      <c r="R42" s="581">
        <f>+R43+R46+R49+R50+R51</f>
        <v>340047368.0000001</v>
      </c>
      <c r="S42" s="581">
        <f>+S43+S46+S49+S50+S51</f>
        <v>395213563.0000002</v>
      </c>
      <c r="T42" s="581">
        <f t="shared" si="3"/>
        <v>1199185219</v>
      </c>
      <c r="U42" s="575">
        <f t="shared" si="4"/>
        <v>0.9084621416124374</v>
      </c>
      <c r="V42" s="520"/>
      <c r="W42" s="509"/>
    </row>
    <row r="43" spans="1:23" s="521" customFormat="1" ht="15" customHeight="1" outlineLevel="1">
      <c r="A43" s="522" t="s">
        <v>375</v>
      </c>
      <c r="B43" s="574">
        <f>+B44+B45</f>
        <v>1027674434</v>
      </c>
      <c r="C43" s="584"/>
      <c r="D43" s="588"/>
      <c r="E43" s="584"/>
      <c r="F43" s="574">
        <f aca="true" t="shared" si="10" ref="F43:F67">+SUM(B43:E43)</f>
        <v>1027674434</v>
      </c>
      <c r="G43" s="584"/>
      <c r="H43" s="574">
        <f aca="true" t="shared" si="11" ref="H43:H63">+F43+G43</f>
        <v>1027674434</v>
      </c>
      <c r="I43" s="574">
        <f>+I44+I45</f>
        <v>0</v>
      </c>
      <c r="J43" s="574">
        <f>+J44+J45</f>
        <v>0</v>
      </c>
      <c r="K43" s="574">
        <f>+K44+K45</f>
        <v>0</v>
      </c>
      <c r="L43" s="574">
        <f>+L44+L45</f>
        <v>15167532</v>
      </c>
      <c r="M43" s="574">
        <f>+M44+M45</f>
        <v>-2450000</v>
      </c>
      <c r="N43" s="574"/>
      <c r="O43" s="574">
        <f>+H43+I43+J43+K43+L43+M43+N43</f>
        <v>1040391966</v>
      </c>
      <c r="P43" s="574">
        <f>+P44+P45</f>
        <v>170243490.9999998</v>
      </c>
      <c r="Q43" s="574">
        <f>+Q44+Q45</f>
        <v>226338619.00000003</v>
      </c>
      <c r="R43" s="574">
        <f>+R44+R45</f>
        <v>289361998.0000001</v>
      </c>
      <c r="S43" s="574">
        <f>+S44+S45</f>
        <v>334049992.0000002</v>
      </c>
      <c r="T43" s="574">
        <f>+P43+Q43+R43+S43</f>
        <v>1019994100.0000002</v>
      </c>
      <c r="U43" s="578">
        <f t="shared" si="4"/>
        <v>0.9803940565992416</v>
      </c>
      <c r="V43" s="520"/>
      <c r="W43" s="509"/>
    </row>
    <row r="44" spans="1:23" s="521" customFormat="1" ht="15" customHeight="1" outlineLevel="2">
      <c r="A44" s="522" t="s">
        <v>121</v>
      </c>
      <c r="B44" s="376">
        <v>675757365</v>
      </c>
      <c r="C44" s="584"/>
      <c r="D44" s="584"/>
      <c r="E44" s="584"/>
      <c r="F44" s="376">
        <f t="shared" si="10"/>
        <v>675757365</v>
      </c>
      <c r="G44" s="584"/>
      <c r="H44" s="376">
        <v>675757365</v>
      </c>
      <c r="I44" s="376"/>
      <c r="J44" s="376"/>
      <c r="K44" s="376"/>
      <c r="L44" s="376"/>
      <c r="M44" s="376"/>
      <c r="N44" s="376"/>
      <c r="O44" s="577">
        <f>+H44+I44+J44+K44+L44+M44+N44</f>
        <v>675757365</v>
      </c>
      <c r="P44" s="376">
        <v>136194792.79999983</v>
      </c>
      <c r="Q44" s="376">
        <v>159613645.2</v>
      </c>
      <c r="R44" s="376">
        <v>162328648.39999995</v>
      </c>
      <c r="S44" s="617">
        <v>214885774.40000007</v>
      </c>
      <c r="T44" s="376">
        <f>+P44+Q44+R44+S44</f>
        <v>673022860.7999998</v>
      </c>
      <c r="U44" s="578">
        <f>+T44/O44</f>
        <v>0.9959534230159665</v>
      </c>
      <c r="V44" s="520"/>
      <c r="W44" s="509"/>
    </row>
    <row r="45" spans="1:23" s="521" customFormat="1" ht="15" customHeight="1" outlineLevel="2">
      <c r="A45" s="522" t="s">
        <v>376</v>
      </c>
      <c r="B45" s="376">
        <v>351917069</v>
      </c>
      <c r="C45" s="584"/>
      <c r="D45" s="584"/>
      <c r="E45" s="584"/>
      <c r="F45" s="376">
        <f t="shared" si="10"/>
        <v>351917069</v>
      </c>
      <c r="G45" s="584"/>
      <c r="H45" s="376">
        <v>351917069</v>
      </c>
      <c r="I45" s="376"/>
      <c r="J45" s="376"/>
      <c r="K45" s="376"/>
      <c r="L45" s="376">
        <v>15167532</v>
      </c>
      <c r="M45" s="376">
        <v>-2450000</v>
      </c>
      <c r="N45" s="376"/>
      <c r="O45" s="577">
        <f>+H45+I45+J45+K45+L45+M45+N45</f>
        <v>364634601</v>
      </c>
      <c r="P45" s="376">
        <v>34048698.19999996</v>
      </c>
      <c r="Q45" s="376">
        <v>66724973.80000004</v>
      </c>
      <c r="R45" s="376">
        <v>127033349.6000002</v>
      </c>
      <c r="S45" s="617">
        <v>119164217.60000011</v>
      </c>
      <c r="T45" s="376">
        <f>+P45+Q45+R45+S45</f>
        <v>346971239.2000003</v>
      </c>
      <c r="U45" s="578">
        <f t="shared" si="4"/>
        <v>0.9515587337253282</v>
      </c>
      <c r="V45" s="520"/>
      <c r="W45" s="509"/>
    </row>
    <row r="46" spans="1:23" s="521" customFormat="1" ht="15" customHeight="1" outlineLevel="1">
      <c r="A46" s="522" t="s">
        <v>377</v>
      </c>
      <c r="B46" s="574">
        <f>+B47+B48</f>
        <v>527079140</v>
      </c>
      <c r="C46" s="585">
        <f>+C47+C48</f>
        <v>0</v>
      </c>
      <c r="D46" s="589">
        <f>+D47+D48</f>
        <v>0</v>
      </c>
      <c r="E46" s="584"/>
      <c r="F46" s="574">
        <f>+SUM(B46:E46)</f>
        <v>527079140</v>
      </c>
      <c r="G46" s="584"/>
      <c r="H46" s="574">
        <f>+F46+G46</f>
        <v>527079140</v>
      </c>
      <c r="I46" s="574">
        <f>+I47+I48</f>
        <v>0</v>
      </c>
      <c r="J46" s="574">
        <f>+J47+J48</f>
        <v>0</v>
      </c>
      <c r="K46" s="574">
        <f>+K47+K48</f>
        <v>0</v>
      </c>
      <c r="L46" s="574">
        <f>+L47+L48</f>
        <v>-427079140</v>
      </c>
      <c r="M46" s="574"/>
      <c r="N46" s="574"/>
      <c r="O46" s="574">
        <f>+O47+O48</f>
        <v>100000000</v>
      </c>
      <c r="P46" s="574">
        <f>+P47+P48</f>
        <v>0</v>
      </c>
      <c r="Q46" s="574">
        <v>0</v>
      </c>
      <c r="R46" s="574">
        <v>0</v>
      </c>
      <c r="S46" s="574">
        <v>0</v>
      </c>
      <c r="T46" s="574">
        <f>+P46+Q46+R46+S46</f>
        <v>0</v>
      </c>
      <c r="U46" s="575">
        <f t="shared" si="4"/>
        <v>0</v>
      </c>
      <c r="V46" s="520"/>
      <c r="W46" s="509"/>
    </row>
    <row r="47" spans="1:23" s="521" customFormat="1" ht="15" customHeight="1" outlineLevel="2">
      <c r="A47" s="522" t="s">
        <v>121</v>
      </c>
      <c r="B47" s="376">
        <v>440866370</v>
      </c>
      <c r="C47" s="590"/>
      <c r="D47" s="591"/>
      <c r="E47" s="584"/>
      <c r="F47" s="376">
        <f t="shared" si="10"/>
        <v>440866370</v>
      </c>
      <c r="G47" s="584"/>
      <c r="H47" s="376">
        <v>440866370</v>
      </c>
      <c r="I47" s="376"/>
      <c r="J47" s="376"/>
      <c r="K47" s="376"/>
      <c r="L47" s="376">
        <v>-400866370</v>
      </c>
      <c r="M47" s="376"/>
      <c r="N47" s="376"/>
      <c r="O47" s="577">
        <f t="shared" si="2"/>
        <v>40000000</v>
      </c>
      <c r="P47" s="376"/>
      <c r="Q47" s="376"/>
      <c r="R47" s="376"/>
      <c r="S47" s="617"/>
      <c r="T47" s="376">
        <f t="shared" si="3"/>
        <v>0</v>
      </c>
      <c r="U47" s="578">
        <f t="shared" si="4"/>
        <v>0</v>
      </c>
      <c r="V47" s="520"/>
      <c r="W47" s="509"/>
    </row>
    <row r="48" spans="1:23" s="521" customFormat="1" ht="15" customHeight="1" outlineLevel="2">
      <c r="A48" s="522" t="s">
        <v>378</v>
      </c>
      <c r="B48" s="376">
        <v>86212770</v>
      </c>
      <c r="C48" s="590"/>
      <c r="D48" s="592"/>
      <c r="E48" s="584"/>
      <c r="F48" s="376">
        <f t="shared" si="10"/>
        <v>86212770</v>
      </c>
      <c r="G48" s="584"/>
      <c r="H48" s="376">
        <v>86212770</v>
      </c>
      <c r="I48" s="376"/>
      <c r="J48" s="376"/>
      <c r="K48" s="376"/>
      <c r="L48" s="376">
        <v>-26212770</v>
      </c>
      <c r="M48" s="376"/>
      <c r="N48" s="376"/>
      <c r="O48" s="577">
        <f t="shared" si="2"/>
        <v>60000000</v>
      </c>
      <c r="P48" s="376"/>
      <c r="Q48" s="376"/>
      <c r="R48" s="376"/>
      <c r="S48" s="617"/>
      <c r="T48" s="376">
        <f t="shared" si="3"/>
        <v>0</v>
      </c>
      <c r="U48" s="578">
        <f t="shared" si="4"/>
        <v>0</v>
      </c>
      <c r="V48" s="520"/>
      <c r="W48" s="509"/>
    </row>
    <row r="49" spans="1:23" s="521" customFormat="1" ht="15" customHeight="1" outlineLevel="1">
      <c r="A49" s="523" t="s">
        <v>114</v>
      </c>
      <c r="B49" s="577">
        <v>20314190</v>
      </c>
      <c r="C49" s="584"/>
      <c r="D49" s="584"/>
      <c r="E49" s="584"/>
      <c r="F49" s="376">
        <f t="shared" si="10"/>
        <v>20314190</v>
      </c>
      <c r="G49" s="584"/>
      <c r="H49" s="376">
        <f t="shared" si="11"/>
        <v>20314190</v>
      </c>
      <c r="I49" s="376"/>
      <c r="J49" s="376"/>
      <c r="K49" s="376">
        <v>-2900000</v>
      </c>
      <c r="L49" s="551">
        <v>8500000</v>
      </c>
      <c r="M49" s="376"/>
      <c r="N49" s="376">
        <v>4000000</v>
      </c>
      <c r="O49" s="577">
        <f t="shared" si="2"/>
        <v>29914190</v>
      </c>
      <c r="P49" s="376">
        <v>1762400</v>
      </c>
      <c r="Q49" s="577">
        <v>5997250</v>
      </c>
      <c r="R49" s="577">
        <v>2336412</v>
      </c>
      <c r="S49" s="615">
        <v>19563408</v>
      </c>
      <c r="T49" s="577">
        <f t="shared" si="3"/>
        <v>29659470</v>
      </c>
      <c r="U49" s="578">
        <f t="shared" si="4"/>
        <v>0.9914849775307304</v>
      </c>
      <c r="V49" s="520"/>
      <c r="W49" s="509"/>
    </row>
    <row r="50" spans="1:23" s="521" customFormat="1" ht="15" customHeight="1" outlineLevel="1">
      <c r="A50" s="523" t="s">
        <v>115</v>
      </c>
      <c r="B50" s="577">
        <v>121690566.845</v>
      </c>
      <c r="C50" s="581"/>
      <c r="D50" s="584"/>
      <c r="E50" s="584"/>
      <c r="F50" s="376">
        <f t="shared" si="10"/>
        <v>121690566.845</v>
      </c>
      <c r="G50" s="584"/>
      <c r="H50" s="376">
        <f t="shared" si="11"/>
        <v>121690566.845</v>
      </c>
      <c r="I50" s="376"/>
      <c r="J50" s="376"/>
      <c r="K50" s="376">
        <v>-9480000</v>
      </c>
      <c r="L50" s="376">
        <v>0</v>
      </c>
      <c r="M50" s="376"/>
      <c r="N50" s="376">
        <v>-3760000</v>
      </c>
      <c r="O50" s="577">
        <f t="shared" si="2"/>
        <v>108450566.845</v>
      </c>
      <c r="P50" s="376">
        <v>13947778</v>
      </c>
      <c r="Q50" s="577">
        <v>29838264</v>
      </c>
      <c r="R50" s="577">
        <v>34589357</v>
      </c>
      <c r="S50" s="615">
        <v>29924278</v>
      </c>
      <c r="T50" s="577">
        <f t="shared" si="3"/>
        <v>108299677</v>
      </c>
      <c r="U50" s="578">
        <f t="shared" si="4"/>
        <v>0.9986086762901327</v>
      </c>
      <c r="V50" s="520"/>
      <c r="W50" s="509"/>
    </row>
    <row r="51" spans="1:23" s="521" customFormat="1" ht="15" customHeight="1" outlineLevel="1">
      <c r="A51" s="523" t="s">
        <v>116</v>
      </c>
      <c r="B51" s="376">
        <v>41500000</v>
      </c>
      <c r="C51" s="584"/>
      <c r="D51" s="584"/>
      <c r="E51" s="584"/>
      <c r="F51" s="376">
        <f t="shared" si="10"/>
        <v>41500000</v>
      </c>
      <c r="G51" s="584"/>
      <c r="H51" s="376">
        <f t="shared" si="11"/>
        <v>41500000</v>
      </c>
      <c r="I51" s="376"/>
      <c r="J51" s="376"/>
      <c r="K51" s="376"/>
      <c r="L51" s="376">
        <v>0</v>
      </c>
      <c r="M51" s="376"/>
      <c r="N51" s="376">
        <v>-240000</v>
      </c>
      <c r="O51" s="577">
        <f t="shared" si="2"/>
        <v>41260000</v>
      </c>
      <c r="P51" s="376">
        <v>6293697</v>
      </c>
      <c r="Q51" s="376">
        <v>9502789</v>
      </c>
      <c r="R51" s="376">
        <v>13759601</v>
      </c>
      <c r="S51" s="617">
        <v>11675885</v>
      </c>
      <c r="T51" s="376">
        <f t="shared" si="3"/>
        <v>41231972</v>
      </c>
      <c r="U51" s="578">
        <f t="shared" si="4"/>
        <v>0.999320698012603</v>
      </c>
      <c r="V51" s="520"/>
      <c r="W51" s="509"/>
    </row>
    <row r="52" spans="1:23" s="521" customFormat="1" ht="15">
      <c r="A52" s="519" t="s">
        <v>88</v>
      </c>
      <c r="B52" s="581">
        <f>+B53+B54+B55+B56</f>
        <v>106635767.4</v>
      </c>
      <c r="C52" s="584"/>
      <c r="D52" s="584"/>
      <c r="E52" s="584"/>
      <c r="F52" s="581">
        <f t="shared" si="10"/>
        <v>106635767.4</v>
      </c>
      <c r="G52" s="584"/>
      <c r="H52" s="581">
        <f t="shared" si="11"/>
        <v>106635767.4</v>
      </c>
      <c r="I52" s="581">
        <f>+I53+I54+I55+I56</f>
        <v>0</v>
      </c>
      <c r="J52" s="581">
        <f>+J53+J54+J55+J56</f>
        <v>0</v>
      </c>
      <c r="K52" s="581">
        <f>+K53+K54+K55+K56</f>
        <v>0</v>
      </c>
      <c r="L52" s="581">
        <f>+L53+L54+L55+L56</f>
        <v>15000000</v>
      </c>
      <c r="M52" s="581"/>
      <c r="N52" s="581"/>
      <c r="O52" s="574">
        <f>+H52+I52+J52+K52+L52+M52+N52</f>
        <v>121635767.4</v>
      </c>
      <c r="P52" s="581">
        <f>+P53+P54+P55+P56</f>
        <v>18017832</v>
      </c>
      <c r="Q52" s="581">
        <f>+Q53+Q54+Q55+Q56</f>
        <v>33584155</v>
      </c>
      <c r="R52" s="581">
        <f>+R53+R54+R55+R56</f>
        <v>22422811</v>
      </c>
      <c r="S52" s="581">
        <f>+S53+S54+S55+S56</f>
        <v>47610968.95</v>
      </c>
      <c r="T52" s="581">
        <f>+P52+Q52+R52+S52</f>
        <v>121635766.95</v>
      </c>
      <c r="U52" s="575">
        <f t="shared" si="4"/>
        <v>0.9999999963004302</v>
      </c>
      <c r="V52" s="520"/>
      <c r="W52" s="509"/>
    </row>
    <row r="53" spans="1:23" s="521" customFormat="1" ht="15" customHeight="1" outlineLevel="2">
      <c r="A53" s="523" t="s">
        <v>89</v>
      </c>
      <c r="B53" s="577">
        <f>+'[15]Agregado'!$B$26</f>
        <v>35349600</v>
      </c>
      <c r="C53" s="584"/>
      <c r="D53" s="584"/>
      <c r="E53" s="584"/>
      <c r="F53" s="577">
        <f t="shared" si="10"/>
        <v>35349600</v>
      </c>
      <c r="G53" s="584"/>
      <c r="H53" s="577">
        <f t="shared" si="11"/>
        <v>35349600</v>
      </c>
      <c r="I53" s="376"/>
      <c r="J53" s="376"/>
      <c r="K53" s="376"/>
      <c r="L53" s="376"/>
      <c r="M53" s="376"/>
      <c r="N53" s="376"/>
      <c r="O53" s="577">
        <f t="shared" si="2"/>
        <v>35349600</v>
      </c>
      <c r="P53" s="577">
        <v>8837400</v>
      </c>
      <c r="Q53" s="577">
        <v>8837400</v>
      </c>
      <c r="R53" s="577">
        <v>5891600</v>
      </c>
      <c r="S53" s="615">
        <v>11783200</v>
      </c>
      <c r="T53" s="577">
        <f t="shared" si="3"/>
        <v>35349600</v>
      </c>
      <c r="U53" s="578">
        <f t="shared" si="4"/>
        <v>1</v>
      </c>
      <c r="V53" s="520"/>
      <c r="W53" s="509"/>
    </row>
    <row r="54" spans="1:23" s="521" customFormat="1" ht="15" customHeight="1" outlineLevel="2">
      <c r="A54" s="523" t="s">
        <v>90</v>
      </c>
      <c r="B54" s="577">
        <f>+'[15]Agregado'!$B$27</f>
        <v>15000000</v>
      </c>
      <c r="C54" s="584"/>
      <c r="D54" s="584"/>
      <c r="E54" s="584"/>
      <c r="F54" s="577">
        <f t="shared" si="10"/>
        <v>15000000</v>
      </c>
      <c r="G54" s="584"/>
      <c r="H54" s="577">
        <f t="shared" si="11"/>
        <v>15000000</v>
      </c>
      <c r="I54" s="376"/>
      <c r="J54" s="376"/>
      <c r="K54" s="376"/>
      <c r="L54" s="376">
        <v>15000000</v>
      </c>
      <c r="M54" s="376"/>
      <c r="N54" s="376"/>
      <c r="O54" s="577">
        <f t="shared" si="2"/>
        <v>30000000</v>
      </c>
      <c r="P54" s="577">
        <v>0</v>
      </c>
      <c r="Q54" s="577">
        <v>10409784</v>
      </c>
      <c r="R54" s="577">
        <v>1322657</v>
      </c>
      <c r="S54" s="615">
        <v>18267558.95</v>
      </c>
      <c r="T54" s="577">
        <f>+P54+Q54+R54+S54</f>
        <v>29999999.95</v>
      </c>
      <c r="U54" s="578">
        <f t="shared" si="4"/>
        <v>0.9999999983333333</v>
      </c>
      <c r="V54" s="520"/>
      <c r="W54" s="509"/>
    </row>
    <row r="55" spans="1:23" s="521" customFormat="1" ht="15" customHeight="1" outlineLevel="2">
      <c r="A55" s="523" t="s">
        <v>188</v>
      </c>
      <c r="B55" s="577">
        <f>+'[15]Agregado'!$B$28</f>
        <v>56286167.400000006</v>
      </c>
      <c r="C55" s="584"/>
      <c r="D55" s="584"/>
      <c r="E55" s="584"/>
      <c r="F55" s="577">
        <f t="shared" si="10"/>
        <v>56286167.400000006</v>
      </c>
      <c r="G55" s="584"/>
      <c r="H55" s="577">
        <f t="shared" si="11"/>
        <v>56286167.400000006</v>
      </c>
      <c r="I55" s="376"/>
      <c r="J55" s="376"/>
      <c r="K55" s="376"/>
      <c r="L55" s="376"/>
      <c r="M55" s="376"/>
      <c r="N55" s="376"/>
      <c r="O55" s="577">
        <f t="shared" si="2"/>
        <v>56286167.400000006</v>
      </c>
      <c r="P55" s="577">
        <v>9180432</v>
      </c>
      <c r="Q55" s="577">
        <v>14336971</v>
      </c>
      <c r="R55" s="577">
        <v>15208554</v>
      </c>
      <c r="S55" s="615">
        <v>17560210</v>
      </c>
      <c r="T55" s="577">
        <f t="shared" si="3"/>
        <v>56286167</v>
      </c>
      <c r="U55" s="578">
        <f t="shared" si="4"/>
        <v>0.9999999928934581</v>
      </c>
      <c r="V55" s="520"/>
      <c r="W55" s="509"/>
    </row>
    <row r="56" spans="1:23" s="521" customFormat="1" ht="15" customHeight="1" outlineLevel="2">
      <c r="A56" s="523" t="s">
        <v>379</v>
      </c>
      <c r="B56" s="577">
        <f>+'[15]Agregado'!$B$29</f>
        <v>0</v>
      </c>
      <c r="C56" s="584"/>
      <c r="D56" s="584"/>
      <c r="E56" s="584"/>
      <c r="F56" s="577"/>
      <c r="G56" s="584"/>
      <c r="H56" s="577">
        <f t="shared" si="11"/>
        <v>0</v>
      </c>
      <c r="I56" s="376"/>
      <c r="J56" s="376"/>
      <c r="K56" s="376"/>
      <c r="L56" s="376"/>
      <c r="M56" s="376"/>
      <c r="N56" s="376"/>
      <c r="O56" s="577">
        <f t="shared" si="2"/>
        <v>0</v>
      </c>
      <c r="P56" s="577"/>
      <c r="Q56" s="577">
        <v>0</v>
      </c>
      <c r="R56" s="577"/>
      <c r="S56" s="615"/>
      <c r="T56" s="577">
        <f t="shared" si="3"/>
        <v>0</v>
      </c>
      <c r="U56" s="578">
        <v>0</v>
      </c>
      <c r="V56" s="520"/>
      <c r="W56" s="509"/>
    </row>
    <row r="57" spans="1:23" s="521" customFormat="1" ht="15" customHeight="1" outlineLevel="2">
      <c r="A57" s="523"/>
      <c r="B57" s="577"/>
      <c r="C57" s="584"/>
      <c r="D57" s="584"/>
      <c r="E57" s="584"/>
      <c r="F57" s="577"/>
      <c r="G57" s="584"/>
      <c r="H57" s="577"/>
      <c r="I57" s="376"/>
      <c r="J57" s="376"/>
      <c r="K57" s="376"/>
      <c r="L57" s="376"/>
      <c r="M57" s="376"/>
      <c r="N57" s="376"/>
      <c r="O57" s="577">
        <f t="shared" si="2"/>
        <v>0</v>
      </c>
      <c r="P57" s="577"/>
      <c r="Q57" s="577"/>
      <c r="R57" s="577"/>
      <c r="S57" s="615"/>
      <c r="T57" s="577"/>
      <c r="U57" s="575"/>
      <c r="V57" s="520"/>
      <c r="W57" s="509"/>
    </row>
    <row r="58" spans="1:23" s="521" customFormat="1" ht="15">
      <c r="A58" s="519" t="s">
        <v>91</v>
      </c>
      <c r="B58" s="581">
        <f>+B59+B60+B62</f>
        <v>184955619.13000003</v>
      </c>
      <c r="C58" s="594"/>
      <c r="D58" s="577"/>
      <c r="E58" s="581"/>
      <c r="F58" s="574">
        <f t="shared" si="10"/>
        <v>184955619.13000003</v>
      </c>
      <c r="G58" s="595"/>
      <c r="H58" s="574">
        <f t="shared" si="11"/>
        <v>184955619.13000003</v>
      </c>
      <c r="I58" s="581">
        <f>+I59+I60+I62</f>
        <v>0</v>
      </c>
      <c r="J58" s="581">
        <f>+J59+J60+J62</f>
        <v>0</v>
      </c>
      <c r="K58" s="581">
        <f>+K59+K60+K62</f>
        <v>20000000</v>
      </c>
      <c r="L58" s="581">
        <f>+L59+L60+L62</f>
        <v>6000000</v>
      </c>
      <c r="M58" s="581">
        <f>+M59+M60+M62</f>
        <v>0</v>
      </c>
      <c r="N58" s="581">
        <f>+N59+N60+N62+N61</f>
        <v>0</v>
      </c>
      <c r="O58" s="574">
        <f>+H58+I58+J58+K58+L58+M58+N58</f>
        <v>210955619.13000003</v>
      </c>
      <c r="P58" s="581">
        <f>+P59+P60+P62</f>
        <v>82098749</v>
      </c>
      <c r="Q58" s="581">
        <f>+Q59+Q60+Q62</f>
        <v>48708555</v>
      </c>
      <c r="R58" s="581">
        <f>+R59+R60+R62</f>
        <v>41970043</v>
      </c>
      <c r="S58" s="581">
        <f>+S59+S60+S62</f>
        <v>29815593</v>
      </c>
      <c r="T58" s="581">
        <f>+P58+Q58+R58+S58</f>
        <v>202592940</v>
      </c>
      <c r="U58" s="575">
        <f t="shared" si="4"/>
        <v>0.9603581115094803</v>
      </c>
      <c r="V58" s="520"/>
      <c r="W58" s="509"/>
    </row>
    <row r="59" spans="1:23" s="521" customFormat="1" ht="14.25" customHeight="1" outlineLevel="1">
      <c r="A59" s="524" t="s">
        <v>92</v>
      </c>
      <c r="B59" s="577">
        <f>+'[15]Agregado'!$B$32-3480103</f>
        <v>85157247.00000001</v>
      </c>
      <c r="C59" s="571"/>
      <c r="D59" s="571"/>
      <c r="E59" s="577"/>
      <c r="F59" s="577">
        <f t="shared" si="10"/>
        <v>85157247.00000001</v>
      </c>
      <c r="G59" s="571"/>
      <c r="H59" s="577">
        <f t="shared" si="11"/>
        <v>85157247.00000001</v>
      </c>
      <c r="I59" s="577"/>
      <c r="J59" s="577"/>
      <c r="K59" s="577"/>
      <c r="L59" s="577"/>
      <c r="M59" s="577"/>
      <c r="N59" s="577"/>
      <c r="O59" s="577">
        <f t="shared" si="2"/>
        <v>85157247.00000001</v>
      </c>
      <c r="P59" s="577">
        <v>27809470</v>
      </c>
      <c r="Q59" s="577">
        <v>19081652</v>
      </c>
      <c r="R59" s="577">
        <v>19028077</v>
      </c>
      <c r="S59" s="615">
        <v>18956867</v>
      </c>
      <c r="T59" s="577">
        <f t="shared" si="3"/>
        <v>84876066</v>
      </c>
      <c r="U59" s="578">
        <f t="shared" si="4"/>
        <v>0.9966980966399722</v>
      </c>
      <c r="V59" s="520"/>
      <c r="W59" s="509"/>
    </row>
    <row r="60" spans="1:23" s="521" customFormat="1" ht="14.25" customHeight="1" outlineLevel="1">
      <c r="A60" s="524" t="s">
        <v>93</v>
      </c>
      <c r="B60" s="577">
        <f>+'[15]Agregado'!$B$33-3450000</f>
        <v>31243269.130000003</v>
      </c>
      <c r="C60" s="571"/>
      <c r="D60" s="571"/>
      <c r="E60" s="577"/>
      <c r="F60" s="577">
        <f t="shared" si="10"/>
        <v>31243269.130000003</v>
      </c>
      <c r="G60" s="571"/>
      <c r="H60" s="577">
        <f t="shared" si="11"/>
        <v>31243269.130000003</v>
      </c>
      <c r="I60" s="577"/>
      <c r="J60" s="577"/>
      <c r="K60" s="577"/>
      <c r="L60" s="577"/>
      <c r="M60" s="577"/>
      <c r="N60" s="577">
        <v>-1300000</v>
      </c>
      <c r="O60" s="577">
        <f t="shared" si="2"/>
        <v>29943269.130000003</v>
      </c>
      <c r="P60" s="577">
        <v>10248372</v>
      </c>
      <c r="Q60" s="577">
        <v>4972289</v>
      </c>
      <c r="R60" s="577">
        <v>5949289</v>
      </c>
      <c r="S60" s="615">
        <v>8710303</v>
      </c>
      <c r="T60" s="577">
        <f>+P60+Q60+R60+S60</f>
        <v>29880253</v>
      </c>
      <c r="U60" s="578">
        <f t="shared" si="4"/>
        <v>0.9978954826299555</v>
      </c>
      <c r="V60" s="520"/>
      <c r="W60" s="509"/>
    </row>
    <row r="61" spans="1:23" s="521" customFormat="1" ht="14.25" customHeight="1" outlineLevel="1">
      <c r="A61" s="524" t="s">
        <v>305</v>
      </c>
      <c r="B61" s="577"/>
      <c r="C61" s="571"/>
      <c r="D61" s="571"/>
      <c r="E61" s="577"/>
      <c r="F61" s="577"/>
      <c r="G61" s="571"/>
      <c r="H61" s="577">
        <v>0</v>
      </c>
      <c r="I61" s="577"/>
      <c r="J61" s="577"/>
      <c r="K61" s="577"/>
      <c r="L61" s="577"/>
      <c r="M61" s="577"/>
      <c r="N61" s="577">
        <v>8000000</v>
      </c>
      <c r="O61" s="577">
        <f t="shared" si="2"/>
        <v>8000000</v>
      </c>
      <c r="P61" s="577"/>
      <c r="Q61" s="577"/>
      <c r="R61" s="577"/>
      <c r="S61" s="615"/>
      <c r="T61" s="577"/>
      <c r="U61" s="578"/>
      <c r="V61" s="520"/>
      <c r="W61" s="509"/>
    </row>
    <row r="62" spans="1:23" s="521" customFormat="1" ht="14.25" customHeight="1" outlineLevel="1">
      <c r="A62" s="524" t="s">
        <v>187</v>
      </c>
      <c r="B62" s="577">
        <f>+'[15]Agregado'!$B$34+3480103+3450000</f>
        <v>68555103</v>
      </c>
      <c r="C62" s="571"/>
      <c r="D62" s="571"/>
      <c r="E62" s="577"/>
      <c r="F62" s="577">
        <f t="shared" si="10"/>
        <v>68555103</v>
      </c>
      <c r="G62" s="571"/>
      <c r="H62" s="577">
        <f t="shared" si="11"/>
        <v>68555103</v>
      </c>
      <c r="I62" s="577"/>
      <c r="J62" s="577"/>
      <c r="K62" s="577">
        <v>20000000</v>
      </c>
      <c r="L62" s="577">
        <v>6000000</v>
      </c>
      <c r="M62" s="577"/>
      <c r="N62" s="577">
        <v>-6700000</v>
      </c>
      <c r="O62" s="577">
        <f t="shared" si="2"/>
        <v>87855103</v>
      </c>
      <c r="P62" s="577">
        <v>44040907</v>
      </c>
      <c r="Q62" s="577">
        <v>24654614</v>
      </c>
      <c r="R62" s="577">
        <v>16992677</v>
      </c>
      <c r="S62" s="615">
        <v>2148423</v>
      </c>
      <c r="T62" s="577">
        <f t="shared" si="3"/>
        <v>87836621</v>
      </c>
      <c r="U62" s="578">
        <f t="shared" si="4"/>
        <v>0.9997896308880316</v>
      </c>
      <c r="V62" s="520"/>
      <c r="W62" s="509"/>
    </row>
    <row r="63" spans="1:23" s="521" customFormat="1" ht="15">
      <c r="A63" s="519" t="s">
        <v>94</v>
      </c>
      <c r="B63" s="574">
        <f>+B64+B65+B66+B67</f>
        <v>230269042.8</v>
      </c>
      <c r="C63" s="595"/>
      <c r="D63" s="595"/>
      <c r="E63" s="595"/>
      <c r="F63" s="574">
        <f t="shared" si="10"/>
        <v>230269042.8</v>
      </c>
      <c r="G63" s="595"/>
      <c r="H63" s="574">
        <f t="shared" si="11"/>
        <v>230269042.8</v>
      </c>
      <c r="I63" s="574">
        <f aca="true" t="shared" si="12" ref="I63:N63">+I64+I65+I66+I67</f>
        <v>0</v>
      </c>
      <c r="J63" s="574">
        <f t="shared" si="12"/>
        <v>0</v>
      </c>
      <c r="K63" s="574">
        <f t="shared" si="12"/>
        <v>-7620000</v>
      </c>
      <c r="L63" s="574">
        <f t="shared" si="12"/>
        <v>0</v>
      </c>
      <c r="M63" s="574">
        <f t="shared" si="12"/>
        <v>0</v>
      </c>
      <c r="N63" s="574">
        <f t="shared" si="12"/>
        <v>0</v>
      </c>
      <c r="O63" s="574">
        <f t="shared" si="2"/>
        <v>222649042.8</v>
      </c>
      <c r="P63" s="574">
        <f>+P64+P65+P66+P67</f>
        <v>45954343</v>
      </c>
      <c r="Q63" s="574">
        <f>+Q64+Q65+Q66+Q67</f>
        <v>61217078</v>
      </c>
      <c r="R63" s="574">
        <f>+R64+R65+R66+R67</f>
        <v>49563612</v>
      </c>
      <c r="S63" s="574">
        <f>+S64+S65+S66+S67</f>
        <v>65098310</v>
      </c>
      <c r="T63" s="574">
        <f>+P63+Q63+R63+S63</f>
        <v>221833343</v>
      </c>
      <c r="U63" s="575">
        <f t="shared" si="4"/>
        <v>0.9963363875732772</v>
      </c>
      <c r="V63" s="525"/>
      <c r="W63" s="509"/>
    </row>
    <row r="64" spans="1:23" s="521" customFormat="1" ht="15" customHeight="1" outlineLevel="1">
      <c r="A64" s="524" t="s">
        <v>95</v>
      </c>
      <c r="B64" s="376">
        <f>+'[15]Agregado'!$B$36-622757</f>
        <v>107299885.80000001</v>
      </c>
      <c r="C64" s="595"/>
      <c r="D64" s="595"/>
      <c r="E64" s="595"/>
      <c r="F64" s="376">
        <f t="shared" si="10"/>
        <v>107299885.80000001</v>
      </c>
      <c r="G64" s="597"/>
      <c r="H64" s="376">
        <v>108384400</v>
      </c>
      <c r="I64" s="376"/>
      <c r="J64" s="376"/>
      <c r="K64" s="376">
        <v>-2750000</v>
      </c>
      <c r="L64" s="618"/>
      <c r="M64" s="618"/>
      <c r="N64" s="618">
        <v>-1665000</v>
      </c>
      <c r="O64" s="577">
        <f t="shared" si="2"/>
        <v>103969400</v>
      </c>
      <c r="P64" s="376">
        <v>17855537</v>
      </c>
      <c r="Q64" s="376">
        <v>30323996</v>
      </c>
      <c r="R64" s="376">
        <v>25608908</v>
      </c>
      <c r="S64" s="617">
        <v>29415553</v>
      </c>
      <c r="T64" s="376">
        <f>+P64+Q64+R64+S64</f>
        <v>103203994</v>
      </c>
      <c r="U64" s="578">
        <f t="shared" si="4"/>
        <v>0.992638160843479</v>
      </c>
      <c r="V64" s="520"/>
      <c r="W64" s="509"/>
    </row>
    <row r="65" spans="1:23" s="521" customFormat="1" ht="15" customHeight="1" outlineLevel="1">
      <c r="A65" s="524" t="s">
        <v>139</v>
      </c>
      <c r="B65" s="376">
        <f>+'[15]Agregado'!$B$37</f>
        <v>10507000</v>
      </c>
      <c r="C65" s="595"/>
      <c r="D65" s="595"/>
      <c r="E65" s="595"/>
      <c r="F65" s="376">
        <f t="shared" si="10"/>
        <v>10507000</v>
      </c>
      <c r="G65" s="597"/>
      <c r="H65" s="376">
        <v>10668000</v>
      </c>
      <c r="I65" s="376"/>
      <c r="J65" s="376"/>
      <c r="K65" s="376"/>
      <c r="L65" s="618"/>
      <c r="M65" s="618"/>
      <c r="N65" s="618"/>
      <c r="O65" s="577">
        <f t="shared" si="2"/>
        <v>10668000</v>
      </c>
      <c r="P65" s="376">
        <v>10650937</v>
      </c>
      <c r="Q65" s="376">
        <v>0</v>
      </c>
      <c r="R65" s="376">
        <v>0</v>
      </c>
      <c r="S65" s="617">
        <v>0</v>
      </c>
      <c r="T65" s="376">
        <f t="shared" si="3"/>
        <v>10650937</v>
      </c>
      <c r="U65" s="578">
        <f t="shared" si="4"/>
        <v>0.9984005436820398</v>
      </c>
      <c r="V65" s="520"/>
      <c r="W65" s="509"/>
    </row>
    <row r="66" spans="1:23" s="521" customFormat="1" ht="15" customHeight="1" outlineLevel="1">
      <c r="A66" s="526" t="s">
        <v>140</v>
      </c>
      <c r="B66" s="376">
        <f>+'[15]Agregado'!$B$38+622757</f>
        <v>29262157</v>
      </c>
      <c r="C66" s="595"/>
      <c r="D66" s="595"/>
      <c r="E66" s="595"/>
      <c r="F66" s="376">
        <f t="shared" si="10"/>
        <v>29262157</v>
      </c>
      <c r="G66" s="597"/>
      <c r="H66" s="376">
        <v>28016643</v>
      </c>
      <c r="I66" s="376"/>
      <c r="J66" s="376"/>
      <c r="K66" s="376"/>
      <c r="L66" s="618"/>
      <c r="M66" s="618"/>
      <c r="N66" s="618">
        <v>580000</v>
      </c>
      <c r="O66" s="577">
        <f t="shared" si="2"/>
        <v>28596643</v>
      </c>
      <c r="P66" s="376">
        <v>8117951</v>
      </c>
      <c r="Q66" s="376">
        <v>7733245</v>
      </c>
      <c r="R66" s="376">
        <v>6847303</v>
      </c>
      <c r="S66" s="617">
        <v>5867639</v>
      </c>
      <c r="T66" s="376">
        <f>+P66+Q66+R66+S66</f>
        <v>28566138</v>
      </c>
      <c r="U66" s="578">
        <f t="shared" si="4"/>
        <v>0.9989332663977377</v>
      </c>
      <c r="V66" s="520"/>
      <c r="W66" s="509"/>
    </row>
    <row r="67" spans="1:23" s="521" customFormat="1" ht="15" customHeight="1" outlineLevel="1">
      <c r="A67" s="527" t="s">
        <v>218</v>
      </c>
      <c r="B67" s="376">
        <f>+'[15]Agregado'!$B$39</f>
        <v>83200000</v>
      </c>
      <c r="C67" s="595"/>
      <c r="D67" s="595"/>
      <c r="E67" s="595"/>
      <c r="F67" s="376">
        <f t="shared" si="10"/>
        <v>83200000</v>
      </c>
      <c r="G67" s="597"/>
      <c r="H67" s="376">
        <f>+F67+G67</f>
        <v>83200000</v>
      </c>
      <c r="I67" s="376"/>
      <c r="J67" s="376"/>
      <c r="K67" s="376">
        <v>-4870000</v>
      </c>
      <c r="L67" s="618"/>
      <c r="M67" s="618"/>
      <c r="N67" s="618">
        <v>1085000</v>
      </c>
      <c r="O67" s="577">
        <f t="shared" si="2"/>
        <v>79415000</v>
      </c>
      <c r="P67" s="376">
        <v>9329918</v>
      </c>
      <c r="Q67" s="376">
        <v>23159837</v>
      </c>
      <c r="R67" s="376">
        <v>17107401</v>
      </c>
      <c r="S67" s="617">
        <v>29815118</v>
      </c>
      <c r="T67" s="376">
        <f t="shared" si="3"/>
        <v>79412274</v>
      </c>
      <c r="U67" s="578">
        <f t="shared" si="4"/>
        <v>0.9999656739910596</v>
      </c>
      <c r="V67" s="520"/>
      <c r="W67" s="509"/>
    </row>
    <row r="68" spans="1:23" s="521" customFormat="1" ht="15">
      <c r="A68" s="524"/>
      <c r="B68" s="577"/>
      <c r="C68" s="584"/>
      <c r="D68" s="584"/>
      <c r="E68" s="588"/>
      <c r="F68" s="577"/>
      <c r="G68" s="584"/>
      <c r="H68" s="577"/>
      <c r="I68" s="577"/>
      <c r="J68" s="577"/>
      <c r="K68" s="376"/>
      <c r="L68" s="577"/>
      <c r="M68" s="577"/>
      <c r="N68" s="577"/>
      <c r="O68" s="577">
        <f t="shared" si="2"/>
        <v>0</v>
      </c>
      <c r="P68" s="577"/>
      <c r="Q68" s="577"/>
      <c r="R68" s="577"/>
      <c r="S68" s="615"/>
      <c r="T68" s="577"/>
      <c r="U68" s="575"/>
      <c r="V68" s="520"/>
      <c r="W68" s="509"/>
    </row>
    <row r="69" spans="1:23" ht="15">
      <c r="A69" s="500" t="s">
        <v>106</v>
      </c>
      <c r="B69" s="585"/>
      <c r="C69" s="577"/>
      <c r="D69" s="577"/>
      <c r="E69" s="574">
        <f>+E70+E76+E82+E89+E100+E104+E106</f>
        <v>2419905480.5964</v>
      </c>
      <c r="F69" s="574">
        <f>+F70+F76+F82+F89+F100+F104+F106</f>
        <v>2419905480.5964</v>
      </c>
      <c r="G69" s="571"/>
      <c r="H69" s="574">
        <f aca="true" t="shared" si="13" ref="H69:H98">+F69+G69</f>
        <v>2419905480.5964</v>
      </c>
      <c r="I69" s="574">
        <f>+I70+I76+I82+I89+I100+I104+I106</f>
        <v>-154458505</v>
      </c>
      <c r="J69" s="574">
        <f>+J70+J76+J82+J89+J100+J104+J106</f>
        <v>309629945</v>
      </c>
      <c r="K69" s="376">
        <f>+K70+K76+K82+K89+K100+K104+K106</f>
        <v>0</v>
      </c>
      <c r="L69" s="574">
        <f>+L70+L76+L82+L89+L100+L104+L106</f>
        <v>-65898781</v>
      </c>
      <c r="M69" s="574"/>
      <c r="N69" s="574"/>
      <c r="O69" s="574">
        <f t="shared" si="2"/>
        <v>2509178139.5964</v>
      </c>
      <c r="P69" s="574">
        <f>+P70+P76+P82+P89+P100+P104+P106</f>
        <v>277596593</v>
      </c>
      <c r="Q69" s="574">
        <f>+Q70+Q76+Q82+Q89+Q100+Q104+Q106</f>
        <v>634398313</v>
      </c>
      <c r="R69" s="574">
        <f>+R70+R76+R82+R89+R100+R104+R106</f>
        <v>849105718.8000001</v>
      </c>
      <c r="S69" s="574">
        <f>+S70+S76+S82+S89+S100+S104+S106</f>
        <v>679948897</v>
      </c>
      <c r="T69" s="574">
        <f t="shared" si="3"/>
        <v>2441049521.8</v>
      </c>
      <c r="U69" s="575">
        <f t="shared" si="4"/>
        <v>0.9728482339610379</v>
      </c>
      <c r="V69" s="518"/>
      <c r="W69" s="509"/>
    </row>
    <row r="70" spans="1:23" ht="15">
      <c r="A70" s="519" t="s">
        <v>107</v>
      </c>
      <c r="B70" s="585"/>
      <c r="C70" s="577"/>
      <c r="D70" s="577"/>
      <c r="E70" s="574">
        <f>+E71+E72+E73+E74+E75</f>
        <v>102018368.388</v>
      </c>
      <c r="F70" s="581">
        <f>+F71+F72+F73+F74+F75</f>
        <v>102018368.388</v>
      </c>
      <c r="G70" s="571"/>
      <c r="H70" s="581">
        <f t="shared" si="13"/>
        <v>102018368.388</v>
      </c>
      <c r="I70" s="574">
        <f>+I71+I72+I73+I74+I75</f>
        <v>0</v>
      </c>
      <c r="J70" s="574">
        <f>+J71+J72+J73+J74+J75</f>
        <v>0</v>
      </c>
      <c r="K70" s="574">
        <f>+K71+K72+K73+K74+K75</f>
        <v>0</v>
      </c>
      <c r="L70" s="574">
        <f>+L71+L72+L73+L74+L75</f>
        <v>33000000</v>
      </c>
      <c r="M70" s="574"/>
      <c r="N70" s="574"/>
      <c r="O70" s="574">
        <f t="shared" si="2"/>
        <v>135018368.388</v>
      </c>
      <c r="P70" s="574">
        <f>+P71+P72+P73+P74+P75</f>
        <v>2150640</v>
      </c>
      <c r="Q70" s="574">
        <f>+Q71+Q72+Q73+Q74+Q75</f>
        <v>3225960</v>
      </c>
      <c r="R70" s="574">
        <f>+R71+R72+R73+R74+R75</f>
        <v>3225960</v>
      </c>
      <c r="S70" s="574">
        <f>+S71+S72+S73+S74+S75</f>
        <v>122074766</v>
      </c>
      <c r="T70" s="574">
        <f t="shared" si="3"/>
        <v>130677326</v>
      </c>
      <c r="U70" s="575">
        <f t="shared" si="4"/>
        <v>0.9678485050602506</v>
      </c>
      <c r="V70" s="495"/>
      <c r="W70" s="509"/>
    </row>
    <row r="71" spans="1:23" ht="15" customHeight="1" outlineLevel="1">
      <c r="A71" s="234" t="s">
        <v>195</v>
      </c>
      <c r="B71" s="585"/>
      <c r="C71" s="577"/>
      <c r="D71" s="577"/>
      <c r="E71" s="376">
        <f>+'[16]Version Final'!$G$6</f>
        <v>34507018.800000004</v>
      </c>
      <c r="F71" s="376">
        <f aca="true" t="shared" si="14" ref="F71:F105">+E71+D71+C71+B71</f>
        <v>34507018.800000004</v>
      </c>
      <c r="G71" s="571"/>
      <c r="H71" s="376">
        <f t="shared" si="13"/>
        <v>34507018.800000004</v>
      </c>
      <c r="I71" s="376"/>
      <c r="J71" s="376"/>
      <c r="K71" s="376"/>
      <c r="L71" s="376"/>
      <c r="M71" s="376"/>
      <c r="N71" s="376"/>
      <c r="O71" s="577">
        <f t="shared" si="2"/>
        <v>34507018.800000004</v>
      </c>
      <c r="P71" s="376">
        <v>0</v>
      </c>
      <c r="Q71" s="376">
        <v>0</v>
      </c>
      <c r="R71" s="376">
        <v>0</v>
      </c>
      <c r="S71" s="617">
        <v>34507019</v>
      </c>
      <c r="T71" s="376">
        <f t="shared" si="3"/>
        <v>34507019</v>
      </c>
      <c r="U71" s="578">
        <f t="shared" si="4"/>
        <v>1.0000000057959222</v>
      </c>
      <c r="V71" s="495"/>
      <c r="W71" s="509"/>
    </row>
    <row r="72" spans="1:23" ht="15" customHeight="1" outlineLevel="1">
      <c r="A72" s="234" t="s">
        <v>196</v>
      </c>
      <c r="B72" s="585"/>
      <c r="C72" s="577"/>
      <c r="D72" s="577"/>
      <c r="E72" s="376">
        <f>+'[16]Version Final'!$G$7</f>
        <v>56758149.58799999</v>
      </c>
      <c r="F72" s="376">
        <f t="shared" si="14"/>
        <v>56758149.58799999</v>
      </c>
      <c r="G72" s="571"/>
      <c r="H72" s="376">
        <f t="shared" si="13"/>
        <v>56758149.58799999</v>
      </c>
      <c r="I72" s="376"/>
      <c r="J72" s="376"/>
      <c r="K72" s="376"/>
      <c r="L72" s="376"/>
      <c r="M72" s="376"/>
      <c r="N72" s="376"/>
      <c r="O72" s="577">
        <f t="shared" si="2"/>
        <v>56758149.58799999</v>
      </c>
      <c r="P72" s="376">
        <v>0</v>
      </c>
      <c r="Q72" s="376">
        <v>0</v>
      </c>
      <c r="R72" s="376">
        <v>0</v>
      </c>
      <c r="S72" s="617">
        <v>56758150</v>
      </c>
      <c r="T72" s="376">
        <f t="shared" si="3"/>
        <v>56758150</v>
      </c>
      <c r="U72" s="578">
        <f t="shared" si="4"/>
        <v>1.0000000072588697</v>
      </c>
      <c r="V72" s="495"/>
      <c r="W72" s="509"/>
    </row>
    <row r="73" spans="1:23" ht="15" customHeight="1" outlineLevel="1">
      <c r="A73" s="234" t="s">
        <v>197</v>
      </c>
      <c r="B73" s="585"/>
      <c r="C73" s="577"/>
      <c r="D73" s="577"/>
      <c r="E73" s="376">
        <v>0</v>
      </c>
      <c r="F73" s="376">
        <f t="shared" si="14"/>
        <v>0</v>
      </c>
      <c r="G73" s="571"/>
      <c r="H73" s="376">
        <f t="shared" si="13"/>
        <v>0</v>
      </c>
      <c r="I73" s="376"/>
      <c r="J73" s="376"/>
      <c r="K73" s="376"/>
      <c r="L73" s="376"/>
      <c r="M73" s="376"/>
      <c r="N73" s="376"/>
      <c r="O73" s="577">
        <f t="shared" si="2"/>
        <v>0</v>
      </c>
      <c r="P73" s="376">
        <v>0</v>
      </c>
      <c r="Q73" s="376">
        <v>0</v>
      </c>
      <c r="R73" s="376">
        <v>0</v>
      </c>
      <c r="S73" s="617">
        <v>0</v>
      </c>
      <c r="T73" s="376">
        <f t="shared" si="3"/>
        <v>0</v>
      </c>
      <c r="U73" s="578">
        <v>0</v>
      </c>
      <c r="V73" s="495"/>
      <c r="W73" s="509"/>
    </row>
    <row r="74" spans="1:23" ht="15" customHeight="1" outlineLevel="1">
      <c r="A74" s="234" t="s">
        <v>198</v>
      </c>
      <c r="B74" s="585"/>
      <c r="C74" s="577"/>
      <c r="D74" s="577"/>
      <c r="E74" s="376">
        <f>+'[16]Version Final'!$G$9</f>
        <v>10753200</v>
      </c>
      <c r="F74" s="376">
        <f t="shared" si="14"/>
        <v>10753200</v>
      </c>
      <c r="G74" s="571"/>
      <c r="H74" s="376">
        <f t="shared" si="13"/>
        <v>10753200</v>
      </c>
      <c r="I74" s="376"/>
      <c r="J74" s="376"/>
      <c r="K74" s="376"/>
      <c r="L74" s="376"/>
      <c r="M74" s="376"/>
      <c r="N74" s="376"/>
      <c r="O74" s="577">
        <f aca="true" t="shared" si="15" ref="O74:O137">+H74+I74+J74+K74+L74+M74+N74</f>
        <v>10753200</v>
      </c>
      <c r="P74" s="376">
        <v>2150640</v>
      </c>
      <c r="Q74" s="376">
        <v>3225960</v>
      </c>
      <c r="R74" s="376">
        <v>3225960</v>
      </c>
      <c r="S74" s="617">
        <v>2150640</v>
      </c>
      <c r="T74" s="376">
        <f aca="true" t="shared" si="16" ref="T74:T137">+P74+Q74+R74+S74</f>
        <v>10753200</v>
      </c>
      <c r="U74" s="578">
        <f aca="true" t="shared" si="17" ref="U74:U137">+T74/O74</f>
        <v>1</v>
      </c>
      <c r="V74" s="495"/>
      <c r="W74" s="509"/>
    </row>
    <row r="75" spans="1:23" ht="15" customHeight="1" outlineLevel="1">
      <c r="A75" s="234" t="s">
        <v>285</v>
      </c>
      <c r="B75" s="585"/>
      <c r="C75" s="577"/>
      <c r="D75" s="577"/>
      <c r="E75" s="376">
        <v>0</v>
      </c>
      <c r="F75" s="376">
        <f t="shared" si="14"/>
        <v>0</v>
      </c>
      <c r="G75" s="571"/>
      <c r="H75" s="376">
        <f t="shared" si="13"/>
        <v>0</v>
      </c>
      <c r="I75" s="376"/>
      <c r="J75" s="376"/>
      <c r="K75" s="376"/>
      <c r="L75" s="376">
        <v>33000000</v>
      </c>
      <c r="M75" s="376"/>
      <c r="N75" s="376"/>
      <c r="O75" s="577">
        <f t="shared" si="15"/>
        <v>33000000</v>
      </c>
      <c r="P75" s="376">
        <v>0</v>
      </c>
      <c r="Q75" s="376">
        <v>0</v>
      </c>
      <c r="R75" s="376">
        <v>0</v>
      </c>
      <c r="S75" s="617">
        <v>28658957</v>
      </c>
      <c r="T75" s="376">
        <f t="shared" si="16"/>
        <v>28658957</v>
      </c>
      <c r="U75" s="578">
        <v>0</v>
      </c>
      <c r="V75" s="495"/>
      <c r="W75" s="509"/>
    </row>
    <row r="76" spans="1:23" ht="17.25" customHeight="1">
      <c r="A76" s="528" t="s">
        <v>199</v>
      </c>
      <c r="B76" s="585"/>
      <c r="C76" s="577"/>
      <c r="D76" s="577"/>
      <c r="E76" s="574">
        <f>SUM(E77:E81)</f>
        <v>273410413</v>
      </c>
      <c r="F76" s="574">
        <f>SUM(F77:F81)</f>
        <v>273410413</v>
      </c>
      <c r="G76" s="571"/>
      <c r="H76" s="574">
        <f t="shared" si="13"/>
        <v>273410413</v>
      </c>
      <c r="I76" s="574">
        <f>SUM(I77:I81)</f>
        <v>0</v>
      </c>
      <c r="J76" s="574">
        <f>SUM(J77:J81)</f>
        <v>0</v>
      </c>
      <c r="K76" s="574">
        <f>SUM(K77:K81)</f>
        <v>0</v>
      </c>
      <c r="L76" s="574"/>
      <c r="M76" s="574"/>
      <c r="N76" s="574"/>
      <c r="O76" s="574">
        <f t="shared" si="15"/>
        <v>273410413</v>
      </c>
      <c r="P76" s="574">
        <f>SUM(P77:P81)</f>
        <v>63839369</v>
      </c>
      <c r="Q76" s="574">
        <f>SUM(Q77:Q81)</f>
        <v>85777633</v>
      </c>
      <c r="R76" s="574">
        <f>SUM(R77:R81)</f>
        <v>72657938</v>
      </c>
      <c r="S76" s="574">
        <f>SUM(S77:S81)</f>
        <v>50862112</v>
      </c>
      <c r="T76" s="574">
        <f t="shared" si="16"/>
        <v>273137052</v>
      </c>
      <c r="U76" s="575">
        <f t="shared" si="17"/>
        <v>0.9990001807283031</v>
      </c>
      <c r="V76" s="495"/>
      <c r="W76" s="509"/>
    </row>
    <row r="77" spans="1:23" ht="15" customHeight="1" outlineLevel="1">
      <c r="A77" s="234" t="s">
        <v>200</v>
      </c>
      <c r="B77" s="585"/>
      <c r="C77" s="577"/>
      <c r="D77" s="577"/>
      <c r="E77" s="376">
        <f>+'[16]Version Final'!$G$13</f>
        <v>65836620</v>
      </c>
      <c r="F77" s="376">
        <f t="shared" si="14"/>
        <v>65836620</v>
      </c>
      <c r="G77" s="571"/>
      <c r="H77" s="376">
        <f t="shared" si="13"/>
        <v>65836620</v>
      </c>
      <c r="I77" s="376"/>
      <c r="J77" s="376"/>
      <c r="K77" s="376"/>
      <c r="L77" s="376"/>
      <c r="M77" s="376"/>
      <c r="N77" s="376"/>
      <c r="O77" s="577">
        <f t="shared" si="15"/>
        <v>65836620</v>
      </c>
      <c r="P77" s="376">
        <v>13134148</v>
      </c>
      <c r="Q77" s="376">
        <v>19706114</v>
      </c>
      <c r="R77" s="376">
        <v>19701222</v>
      </c>
      <c r="S77" s="617">
        <v>13134148</v>
      </c>
      <c r="T77" s="376">
        <f t="shared" si="16"/>
        <v>65675632</v>
      </c>
      <c r="U77" s="578">
        <f t="shared" si="17"/>
        <v>0.9975547347357747</v>
      </c>
      <c r="V77" s="495"/>
      <c r="W77" s="509"/>
    </row>
    <row r="78" spans="1:23" ht="15" customHeight="1" outlineLevel="1">
      <c r="A78" s="234" t="s">
        <v>148</v>
      </c>
      <c r="B78" s="585"/>
      <c r="C78" s="577"/>
      <c r="D78" s="577"/>
      <c r="E78" s="376">
        <f>+'[16]Version Final'!$G$14</f>
        <v>10000000</v>
      </c>
      <c r="F78" s="376">
        <f t="shared" si="14"/>
        <v>10000000</v>
      </c>
      <c r="G78" s="571"/>
      <c r="H78" s="376">
        <f t="shared" si="13"/>
        <v>10000000</v>
      </c>
      <c r="I78" s="376"/>
      <c r="J78" s="376"/>
      <c r="K78" s="376"/>
      <c r="L78" s="376"/>
      <c r="M78" s="376"/>
      <c r="N78" s="376"/>
      <c r="O78" s="577">
        <f t="shared" si="15"/>
        <v>10000000</v>
      </c>
      <c r="P78" s="376">
        <v>1962963</v>
      </c>
      <c r="Q78" s="376">
        <v>2979426</v>
      </c>
      <c r="R78" s="376">
        <v>2565186</v>
      </c>
      <c r="S78" s="617">
        <v>2432853</v>
      </c>
      <c r="T78" s="376">
        <f t="shared" si="16"/>
        <v>9940428</v>
      </c>
      <c r="U78" s="578">
        <f t="shared" si="17"/>
        <v>0.9940428</v>
      </c>
      <c r="V78" s="495"/>
      <c r="W78" s="509"/>
    </row>
    <row r="79" spans="1:23" ht="15" customHeight="1" outlineLevel="1">
      <c r="A79" s="234" t="s">
        <v>149</v>
      </c>
      <c r="B79" s="585"/>
      <c r="C79" s="577"/>
      <c r="D79" s="577"/>
      <c r="E79" s="376">
        <f>+'[16]Version Final'!$G$15</f>
        <v>10500000</v>
      </c>
      <c r="F79" s="376">
        <f t="shared" si="14"/>
        <v>10500000</v>
      </c>
      <c r="G79" s="571"/>
      <c r="H79" s="376">
        <f t="shared" si="13"/>
        <v>10500000</v>
      </c>
      <c r="I79" s="376"/>
      <c r="J79" s="376"/>
      <c r="K79" s="376"/>
      <c r="L79" s="376"/>
      <c r="M79" s="376"/>
      <c r="N79" s="376">
        <v>-7554107</v>
      </c>
      <c r="O79" s="577">
        <f t="shared" si="15"/>
        <v>2945893</v>
      </c>
      <c r="P79" s="376">
        <v>0</v>
      </c>
      <c r="Q79" s="376">
        <v>2574693</v>
      </c>
      <c r="R79" s="376">
        <v>371200</v>
      </c>
      <c r="S79" s="617">
        <v>0</v>
      </c>
      <c r="T79" s="376">
        <f t="shared" si="16"/>
        <v>2945893</v>
      </c>
      <c r="U79" s="578">
        <f t="shared" si="17"/>
        <v>1</v>
      </c>
      <c r="V79" s="495"/>
      <c r="W79" s="509"/>
    </row>
    <row r="80" spans="1:23" ht="15" customHeight="1" outlineLevel="1">
      <c r="A80" s="234" t="s">
        <v>201</v>
      </c>
      <c r="B80" s="585"/>
      <c r="C80" s="577"/>
      <c r="D80" s="577"/>
      <c r="E80" s="376">
        <f>+'[16]Version Final'!$G$16</f>
        <v>15000000</v>
      </c>
      <c r="F80" s="376">
        <f t="shared" si="14"/>
        <v>15000000</v>
      </c>
      <c r="G80" s="571"/>
      <c r="H80" s="376">
        <f t="shared" si="13"/>
        <v>15000000</v>
      </c>
      <c r="I80" s="376"/>
      <c r="J80" s="376"/>
      <c r="K80" s="376"/>
      <c r="L80" s="376"/>
      <c r="M80" s="376"/>
      <c r="N80" s="376"/>
      <c r="O80" s="577">
        <f t="shared" si="15"/>
        <v>15000000</v>
      </c>
      <c r="P80" s="376">
        <v>7997962</v>
      </c>
      <c r="Q80" s="376">
        <v>7000000</v>
      </c>
      <c r="R80" s="376">
        <v>0</v>
      </c>
      <c r="S80" s="617">
        <v>0</v>
      </c>
      <c r="T80" s="376">
        <f t="shared" si="16"/>
        <v>14997962</v>
      </c>
      <c r="U80" s="578">
        <f t="shared" si="17"/>
        <v>0.9998641333333333</v>
      </c>
      <c r="V80" s="495"/>
      <c r="W80" s="509"/>
    </row>
    <row r="81" spans="1:23" s="529" customFormat="1" ht="14.25" customHeight="1" outlineLevel="1">
      <c r="A81" s="234" t="s">
        <v>202</v>
      </c>
      <c r="B81" s="583"/>
      <c r="C81" s="577"/>
      <c r="D81" s="577"/>
      <c r="E81" s="376">
        <f>+'[16]Version Final'!$G$17</f>
        <v>172073793</v>
      </c>
      <c r="F81" s="376">
        <f t="shared" si="14"/>
        <v>172073793</v>
      </c>
      <c r="G81" s="571"/>
      <c r="H81" s="376">
        <f t="shared" si="13"/>
        <v>172073793</v>
      </c>
      <c r="I81" s="376"/>
      <c r="J81" s="376"/>
      <c r="K81" s="376"/>
      <c r="L81" s="376"/>
      <c r="M81" s="376"/>
      <c r="N81" s="376">
        <v>7554107</v>
      </c>
      <c r="O81" s="577">
        <f t="shared" si="15"/>
        <v>179627900</v>
      </c>
      <c r="P81" s="376">
        <v>40744296</v>
      </c>
      <c r="Q81" s="376">
        <v>53517400</v>
      </c>
      <c r="R81" s="376">
        <v>50020330</v>
      </c>
      <c r="S81" s="617">
        <v>35295111</v>
      </c>
      <c r="T81" s="376">
        <f t="shared" si="16"/>
        <v>179577137</v>
      </c>
      <c r="U81" s="578">
        <f t="shared" si="17"/>
        <v>0.9997173991345443</v>
      </c>
      <c r="V81" s="495"/>
      <c r="W81" s="509"/>
    </row>
    <row r="82" spans="1:23" ht="15">
      <c r="A82" s="530" t="s">
        <v>203</v>
      </c>
      <c r="B82" s="585"/>
      <c r="C82" s="577"/>
      <c r="D82" s="577"/>
      <c r="E82" s="574">
        <f>SUM(E83:E88)</f>
        <v>422560367.85</v>
      </c>
      <c r="F82" s="581">
        <f>+F83+F84+F85+F87+F88+F86</f>
        <v>422560367.85</v>
      </c>
      <c r="G82" s="571"/>
      <c r="H82" s="581">
        <f t="shared" si="13"/>
        <v>422560367.85</v>
      </c>
      <c r="I82" s="574">
        <f>SUM(I83:I88)</f>
        <v>0</v>
      </c>
      <c r="J82" s="574">
        <f>SUM(J83:J88)</f>
        <v>0</v>
      </c>
      <c r="K82" s="574">
        <f>SUM(K83:K88)</f>
        <v>0</v>
      </c>
      <c r="L82" s="574"/>
      <c r="M82" s="574"/>
      <c r="N82" s="574"/>
      <c r="O82" s="574">
        <f t="shared" si="15"/>
        <v>422560367.85</v>
      </c>
      <c r="P82" s="574">
        <f>SUM(P83:P88)</f>
        <v>104634909</v>
      </c>
      <c r="Q82" s="574">
        <f>SUM(Q83:Q88)</f>
        <v>113419170</v>
      </c>
      <c r="R82" s="574">
        <f>SUM(R83:R88)</f>
        <v>103630812</v>
      </c>
      <c r="S82" s="574">
        <f>SUM(S83:S88)</f>
        <v>98714633</v>
      </c>
      <c r="T82" s="574">
        <f t="shared" si="16"/>
        <v>420399524</v>
      </c>
      <c r="U82" s="575">
        <f t="shared" si="17"/>
        <v>0.9948863073435058</v>
      </c>
      <c r="V82" s="495"/>
      <c r="W82" s="509"/>
    </row>
    <row r="83" spans="1:23" ht="15" customHeight="1" outlineLevel="1">
      <c r="A83" s="234" t="s">
        <v>151</v>
      </c>
      <c r="B83" s="585"/>
      <c r="C83" s="577"/>
      <c r="D83" s="577"/>
      <c r="E83" s="376">
        <f>+'[16]Version Final'!$G$23</f>
        <v>162766578</v>
      </c>
      <c r="F83" s="376">
        <f t="shared" si="14"/>
        <v>162766578</v>
      </c>
      <c r="G83" s="571"/>
      <c r="H83" s="376">
        <f t="shared" si="13"/>
        <v>162766578</v>
      </c>
      <c r="I83" s="376"/>
      <c r="J83" s="376"/>
      <c r="K83" s="376"/>
      <c r="L83" s="376"/>
      <c r="M83" s="376"/>
      <c r="N83" s="376"/>
      <c r="O83" s="577">
        <f t="shared" si="15"/>
        <v>162766578</v>
      </c>
      <c r="P83" s="376">
        <v>31302158</v>
      </c>
      <c r="Q83" s="376">
        <v>44958070</v>
      </c>
      <c r="R83" s="376">
        <v>46659308</v>
      </c>
      <c r="S83" s="617">
        <v>39817328</v>
      </c>
      <c r="T83" s="376">
        <f t="shared" si="16"/>
        <v>162736864</v>
      </c>
      <c r="U83" s="578">
        <f t="shared" si="17"/>
        <v>0.9998174440946962</v>
      </c>
      <c r="V83" s="495"/>
      <c r="W83" s="509"/>
    </row>
    <row r="84" spans="1:23" ht="15" customHeight="1" outlineLevel="1">
      <c r="A84" s="234" t="s">
        <v>152</v>
      </c>
      <c r="B84" s="585"/>
      <c r="C84" s="577"/>
      <c r="D84" s="577"/>
      <c r="E84" s="376">
        <f>+'[16]Version Final'!$G$26</f>
        <v>111062789.85</v>
      </c>
      <c r="F84" s="376">
        <f t="shared" si="14"/>
        <v>111062789.85</v>
      </c>
      <c r="G84" s="571"/>
      <c r="H84" s="376">
        <f t="shared" si="13"/>
        <v>111062789.85</v>
      </c>
      <c r="I84" s="376"/>
      <c r="J84" s="376"/>
      <c r="K84" s="376"/>
      <c r="L84" s="376"/>
      <c r="M84" s="376"/>
      <c r="N84" s="376"/>
      <c r="O84" s="577">
        <f t="shared" si="15"/>
        <v>111062789.85</v>
      </c>
      <c r="P84" s="376">
        <v>20412261</v>
      </c>
      <c r="Q84" s="376">
        <v>29979401</v>
      </c>
      <c r="R84" s="376">
        <v>31546764</v>
      </c>
      <c r="S84" s="617">
        <v>27403995</v>
      </c>
      <c r="T84" s="376">
        <f t="shared" si="16"/>
        <v>109342421</v>
      </c>
      <c r="U84" s="578">
        <f t="shared" si="17"/>
        <v>0.9845099438585732</v>
      </c>
      <c r="V84" s="495"/>
      <c r="W84" s="509"/>
    </row>
    <row r="85" spans="1:23" ht="15" customHeight="1" outlineLevel="1">
      <c r="A85" s="234" t="s">
        <v>204</v>
      </c>
      <c r="B85" s="585"/>
      <c r="C85" s="577"/>
      <c r="D85" s="577"/>
      <c r="E85" s="376">
        <f>+'[16]Version Final'!$G$29</f>
        <v>92481000</v>
      </c>
      <c r="F85" s="376">
        <f t="shared" si="14"/>
        <v>92481000</v>
      </c>
      <c r="G85" s="571"/>
      <c r="H85" s="376">
        <f t="shared" si="13"/>
        <v>92481000</v>
      </c>
      <c r="I85" s="376"/>
      <c r="J85" s="376"/>
      <c r="K85" s="376"/>
      <c r="L85" s="376"/>
      <c r="M85" s="376"/>
      <c r="N85" s="376">
        <v>-1535555</v>
      </c>
      <c r="O85" s="577">
        <f t="shared" si="15"/>
        <v>90945445</v>
      </c>
      <c r="P85" s="376">
        <v>48038804</v>
      </c>
      <c r="Q85" s="376">
        <v>9198009</v>
      </c>
      <c r="R85" s="376">
        <v>12977386</v>
      </c>
      <c r="S85" s="617">
        <v>20330470</v>
      </c>
      <c r="T85" s="376">
        <f t="shared" si="16"/>
        <v>90544669</v>
      </c>
      <c r="U85" s="578">
        <f t="shared" si="17"/>
        <v>0.99559322624679</v>
      </c>
      <c r="V85" s="495"/>
      <c r="W85" s="509"/>
    </row>
    <row r="86" spans="1:23" ht="15" customHeight="1" outlineLevel="1">
      <c r="A86" s="234" t="s">
        <v>381</v>
      </c>
      <c r="B86" s="585"/>
      <c r="C86" s="577"/>
      <c r="D86" s="577"/>
      <c r="E86" s="376">
        <f>+'[16]Version Final'!$G$37</f>
        <v>31000000</v>
      </c>
      <c r="F86" s="376">
        <f t="shared" si="14"/>
        <v>31000000</v>
      </c>
      <c r="G86" s="571"/>
      <c r="H86" s="376">
        <f t="shared" si="13"/>
        <v>31000000</v>
      </c>
      <c r="I86" s="376"/>
      <c r="J86" s="376"/>
      <c r="K86" s="376"/>
      <c r="L86" s="376"/>
      <c r="M86" s="376"/>
      <c r="N86" s="376">
        <v>-3330000</v>
      </c>
      <c r="O86" s="577">
        <f t="shared" si="15"/>
        <v>27670000</v>
      </c>
      <c r="P86" s="376">
        <v>0</v>
      </c>
      <c r="Q86" s="376">
        <v>13664360</v>
      </c>
      <c r="R86" s="376">
        <v>10751954</v>
      </c>
      <c r="S86" s="617">
        <v>3244054</v>
      </c>
      <c r="T86" s="376">
        <f t="shared" si="16"/>
        <v>27660368</v>
      </c>
      <c r="U86" s="578">
        <f t="shared" si="17"/>
        <v>0.9996518973617636</v>
      </c>
      <c r="V86" s="495"/>
      <c r="W86" s="509"/>
    </row>
    <row r="87" spans="1:23" ht="15" customHeight="1" outlineLevel="1">
      <c r="A87" s="234" t="s">
        <v>150</v>
      </c>
      <c r="B87" s="585"/>
      <c r="C87" s="577"/>
      <c r="D87" s="577"/>
      <c r="E87" s="376">
        <f>+'[16]Version Final'!$G$38</f>
        <v>5250000</v>
      </c>
      <c r="F87" s="376">
        <f t="shared" si="14"/>
        <v>5250000</v>
      </c>
      <c r="G87" s="571"/>
      <c r="H87" s="376">
        <f t="shared" si="13"/>
        <v>5250000</v>
      </c>
      <c r="I87" s="376"/>
      <c r="J87" s="376"/>
      <c r="K87" s="376"/>
      <c r="L87" s="376"/>
      <c r="M87" s="376"/>
      <c r="N87" s="376">
        <v>4865555</v>
      </c>
      <c r="O87" s="577">
        <f t="shared" si="15"/>
        <v>10115555</v>
      </c>
      <c r="P87" s="376">
        <v>990640</v>
      </c>
      <c r="Q87" s="376">
        <v>741240</v>
      </c>
      <c r="R87" s="376">
        <v>1695400</v>
      </c>
      <c r="S87" s="617">
        <v>6687922</v>
      </c>
      <c r="T87" s="376">
        <f t="shared" si="16"/>
        <v>10115202</v>
      </c>
      <c r="U87" s="578">
        <f t="shared" si="17"/>
        <v>0.9999651032494016</v>
      </c>
      <c r="V87" s="495"/>
      <c r="W87" s="509"/>
    </row>
    <row r="88" spans="1:23" ht="15" customHeight="1" outlineLevel="1">
      <c r="A88" s="234" t="s">
        <v>153</v>
      </c>
      <c r="B88" s="585"/>
      <c r="C88" s="577"/>
      <c r="D88" s="577"/>
      <c r="E88" s="376">
        <f>+'[16]Version Final'!$G$42</f>
        <v>20000000</v>
      </c>
      <c r="F88" s="376">
        <f t="shared" si="14"/>
        <v>20000000</v>
      </c>
      <c r="G88" s="571"/>
      <c r="H88" s="376">
        <f t="shared" si="13"/>
        <v>20000000</v>
      </c>
      <c r="I88" s="376"/>
      <c r="J88" s="376"/>
      <c r="K88" s="376"/>
      <c r="L88" s="376"/>
      <c r="M88" s="376"/>
      <c r="N88" s="376"/>
      <c r="O88" s="577">
        <f t="shared" si="15"/>
        <v>20000000</v>
      </c>
      <c r="P88" s="376">
        <v>3891046</v>
      </c>
      <c r="Q88" s="376">
        <v>14878090</v>
      </c>
      <c r="R88" s="376">
        <v>0</v>
      </c>
      <c r="S88" s="617">
        <v>1230864</v>
      </c>
      <c r="T88" s="376">
        <f t="shared" si="16"/>
        <v>20000000</v>
      </c>
      <c r="U88" s="578">
        <f t="shared" si="17"/>
        <v>1</v>
      </c>
      <c r="V88" s="495"/>
      <c r="W88" s="509"/>
    </row>
    <row r="89" spans="1:23" ht="15">
      <c r="A89" s="528" t="s">
        <v>119</v>
      </c>
      <c r="B89" s="585"/>
      <c r="C89" s="577"/>
      <c r="D89" s="577"/>
      <c r="E89" s="574">
        <f>+E90+E91+E92+E93+E94+E95+E98+E96+E97</f>
        <v>1170049200</v>
      </c>
      <c r="F89" s="581">
        <f>+F90+F91+F92+F93+F94+F95+F96+F97+F98</f>
        <v>1170049200</v>
      </c>
      <c r="G89" s="571"/>
      <c r="H89" s="581">
        <f t="shared" si="13"/>
        <v>1170049200</v>
      </c>
      <c r="I89" s="574">
        <f>+I90+I91+I92+I93+I94+I95+I98+I96+I97</f>
        <v>-154458505</v>
      </c>
      <c r="J89" s="574">
        <f>+J90+J91+J92+J93+J94+J95+J98+J96+J97</f>
        <v>-25326493</v>
      </c>
      <c r="K89" s="574">
        <f>+K90+K91+K92+K93+K94+K95+K98+K96+K97</f>
        <v>0</v>
      </c>
      <c r="L89" s="574">
        <f>+L90+L91+L92+L93+L94+L95+L98+L96+L97</f>
        <v>196057657</v>
      </c>
      <c r="M89" s="574"/>
      <c r="N89" s="574"/>
      <c r="O89" s="574">
        <f t="shared" si="15"/>
        <v>1186321859</v>
      </c>
      <c r="P89" s="574">
        <f>+P90+P91+P92+P93+P94+P95+P98+P96+P97</f>
        <v>79159719</v>
      </c>
      <c r="Q89" s="574">
        <f>+Q90+Q91+Q92+Q93+Q94+Q95+Q98+Q96+Q97</f>
        <v>325554966</v>
      </c>
      <c r="R89" s="574">
        <f>+R90+R91+R92+R93+R94+R95+R98+R96+R97</f>
        <v>394448686.6</v>
      </c>
      <c r="S89" s="574">
        <f>+S90+S91+S92+S93+S94+S95+S98+S96+S97</f>
        <v>331831094</v>
      </c>
      <c r="T89" s="574">
        <f t="shared" si="16"/>
        <v>1130994465.6</v>
      </c>
      <c r="U89" s="575">
        <f t="shared" si="17"/>
        <v>0.9533622406261334</v>
      </c>
      <c r="V89" s="495"/>
      <c r="W89" s="509"/>
    </row>
    <row r="90" spans="1:23" ht="15" customHeight="1" outlineLevel="1">
      <c r="A90" s="531" t="s">
        <v>205</v>
      </c>
      <c r="B90" s="585"/>
      <c r="C90" s="577"/>
      <c r="D90" s="577"/>
      <c r="E90" s="376">
        <f>+'[16]Version Final'!$G$46</f>
        <v>100000000</v>
      </c>
      <c r="F90" s="376">
        <f t="shared" si="14"/>
        <v>100000000</v>
      </c>
      <c r="G90" s="571"/>
      <c r="H90" s="376">
        <f t="shared" si="13"/>
        <v>100000000</v>
      </c>
      <c r="I90" s="376"/>
      <c r="J90" s="376"/>
      <c r="K90" s="376"/>
      <c r="L90" s="376">
        <v>25000000</v>
      </c>
      <c r="M90" s="376"/>
      <c r="N90" s="376">
        <v>-1497819</v>
      </c>
      <c r="O90" s="577">
        <f t="shared" si="15"/>
        <v>123502181</v>
      </c>
      <c r="P90" s="376">
        <v>2857142</v>
      </c>
      <c r="Q90" s="376">
        <v>53847650</v>
      </c>
      <c r="R90" s="376">
        <v>46781253</v>
      </c>
      <c r="S90" s="617">
        <v>20016136</v>
      </c>
      <c r="T90" s="376">
        <f t="shared" si="16"/>
        <v>123502181</v>
      </c>
      <c r="U90" s="578">
        <f t="shared" si="17"/>
        <v>1</v>
      </c>
      <c r="V90" s="495"/>
      <c r="W90" s="509"/>
    </row>
    <row r="91" spans="1:23" ht="15" customHeight="1" outlineLevel="1">
      <c r="A91" s="531" t="s">
        <v>206</v>
      </c>
      <c r="B91" s="585"/>
      <c r="C91" s="577"/>
      <c r="D91" s="577"/>
      <c r="E91" s="376">
        <f>+'[16]Version Final'!$G$48</f>
        <v>900000000</v>
      </c>
      <c r="F91" s="376">
        <f t="shared" si="14"/>
        <v>900000000</v>
      </c>
      <c r="G91" s="571"/>
      <c r="H91" s="376">
        <f t="shared" si="13"/>
        <v>900000000</v>
      </c>
      <c r="I91" s="376">
        <v>-154458505</v>
      </c>
      <c r="J91" s="376">
        <f>-15000000-10326493</f>
        <v>-25326493</v>
      </c>
      <c r="K91" s="376"/>
      <c r="L91" s="376">
        <v>151057657</v>
      </c>
      <c r="M91" s="376"/>
      <c r="N91" s="376"/>
      <c r="O91" s="577">
        <f t="shared" si="15"/>
        <v>871272659</v>
      </c>
      <c r="P91" s="376">
        <v>48342505</v>
      </c>
      <c r="Q91" s="376">
        <v>246846849</v>
      </c>
      <c r="R91" s="376">
        <v>319909290</v>
      </c>
      <c r="S91" s="617">
        <v>203837511</v>
      </c>
      <c r="T91" s="376">
        <f t="shared" si="16"/>
        <v>818936155</v>
      </c>
      <c r="U91" s="578">
        <f t="shared" si="17"/>
        <v>0.9399309694165441</v>
      </c>
      <c r="V91" s="495"/>
      <c r="W91" s="509"/>
    </row>
    <row r="92" spans="1:23" ht="15" customHeight="1" outlineLevel="1">
      <c r="A92" s="234" t="s">
        <v>207</v>
      </c>
      <c r="B92" s="585"/>
      <c r="C92" s="577"/>
      <c r="D92" s="577"/>
      <c r="E92" s="376">
        <f>+'[16]Version Final'!$G$51</f>
        <v>0</v>
      </c>
      <c r="F92" s="376">
        <f t="shared" si="14"/>
        <v>0</v>
      </c>
      <c r="G92" s="571"/>
      <c r="H92" s="376">
        <f t="shared" si="13"/>
        <v>0</v>
      </c>
      <c r="I92" s="376"/>
      <c r="J92" s="376"/>
      <c r="K92" s="376"/>
      <c r="L92" s="376"/>
      <c r="M92" s="376"/>
      <c r="N92" s="376"/>
      <c r="O92" s="577">
        <f t="shared" si="15"/>
        <v>0</v>
      </c>
      <c r="P92" s="376">
        <v>0</v>
      </c>
      <c r="Q92" s="376">
        <v>0</v>
      </c>
      <c r="R92" s="376">
        <v>0</v>
      </c>
      <c r="S92" s="617">
        <v>0</v>
      </c>
      <c r="T92" s="376">
        <f t="shared" si="16"/>
        <v>0</v>
      </c>
      <c r="U92" s="578">
        <v>0</v>
      </c>
      <c r="V92" s="495"/>
      <c r="W92" s="509"/>
    </row>
    <row r="93" spans="1:23" ht="15" customHeight="1" outlineLevel="1">
      <c r="A93" s="531" t="s">
        <v>208</v>
      </c>
      <c r="B93" s="585"/>
      <c r="C93" s="577"/>
      <c r="D93" s="577"/>
      <c r="E93" s="376">
        <f>+'[16]Version Final'!$G$52</f>
        <v>15000000</v>
      </c>
      <c r="F93" s="376">
        <f t="shared" si="14"/>
        <v>15000000</v>
      </c>
      <c r="G93" s="571"/>
      <c r="H93" s="376">
        <f t="shared" si="13"/>
        <v>15000000</v>
      </c>
      <c r="I93" s="376"/>
      <c r="J93" s="376"/>
      <c r="K93" s="376"/>
      <c r="L93" s="376"/>
      <c r="M93" s="376"/>
      <c r="N93" s="376">
        <v>-943932</v>
      </c>
      <c r="O93" s="577">
        <f t="shared" si="15"/>
        <v>14056068</v>
      </c>
      <c r="P93" s="376">
        <v>0</v>
      </c>
      <c r="Q93" s="376">
        <v>0</v>
      </c>
      <c r="R93" s="376">
        <v>0</v>
      </c>
      <c r="S93" s="617">
        <v>14056068</v>
      </c>
      <c r="T93" s="376">
        <f t="shared" si="16"/>
        <v>14056068</v>
      </c>
      <c r="U93" s="578">
        <f t="shared" si="17"/>
        <v>1</v>
      </c>
      <c r="V93" s="495"/>
      <c r="W93" s="509"/>
    </row>
    <row r="94" spans="1:23" ht="15" customHeight="1" outlineLevel="1">
      <c r="A94" s="234" t="s">
        <v>209</v>
      </c>
      <c r="B94" s="585"/>
      <c r="C94" s="577"/>
      <c r="D94" s="577"/>
      <c r="E94" s="376">
        <f>+'[16]Version Final'!$G$55</f>
        <v>43400000</v>
      </c>
      <c r="F94" s="376">
        <f t="shared" si="14"/>
        <v>43400000</v>
      </c>
      <c r="G94" s="571"/>
      <c r="H94" s="376">
        <f t="shared" si="13"/>
        <v>43400000</v>
      </c>
      <c r="I94" s="376"/>
      <c r="J94" s="376"/>
      <c r="K94" s="376"/>
      <c r="L94" s="376"/>
      <c r="M94" s="376"/>
      <c r="N94" s="376">
        <v>2441751</v>
      </c>
      <c r="O94" s="577">
        <f t="shared" si="15"/>
        <v>45841751</v>
      </c>
      <c r="P94" s="376">
        <v>18487442</v>
      </c>
      <c r="Q94" s="376">
        <v>8020472</v>
      </c>
      <c r="R94" s="376">
        <v>9651199.6</v>
      </c>
      <c r="S94" s="617">
        <v>9643998</v>
      </c>
      <c r="T94" s="376">
        <f t="shared" si="16"/>
        <v>45803111.6</v>
      </c>
      <c r="U94" s="578">
        <f t="shared" si="17"/>
        <v>0.9991571133484844</v>
      </c>
      <c r="V94" s="495"/>
      <c r="W94" s="509"/>
    </row>
    <row r="95" spans="1:23" ht="15" customHeight="1" outlineLevel="1">
      <c r="A95" s="234" t="s">
        <v>210</v>
      </c>
      <c r="B95" s="585"/>
      <c r="C95" s="577"/>
      <c r="D95" s="577"/>
      <c r="E95" s="376">
        <f>+'[16]Version Final'!$G$61</f>
        <v>5000000</v>
      </c>
      <c r="F95" s="376">
        <f t="shared" si="14"/>
        <v>5000000</v>
      </c>
      <c r="G95" s="571"/>
      <c r="H95" s="376">
        <f t="shared" si="13"/>
        <v>5000000</v>
      </c>
      <c r="I95" s="376"/>
      <c r="J95" s="376"/>
      <c r="K95" s="376"/>
      <c r="L95" s="376"/>
      <c r="M95" s="376"/>
      <c r="N95" s="376">
        <v>-300000</v>
      </c>
      <c r="O95" s="577">
        <f t="shared" si="15"/>
        <v>4700000</v>
      </c>
      <c r="P95" s="376">
        <v>530000</v>
      </c>
      <c r="Q95" s="376">
        <v>1464250</v>
      </c>
      <c r="R95" s="376">
        <v>2000000</v>
      </c>
      <c r="S95" s="617">
        <v>350000</v>
      </c>
      <c r="T95" s="376">
        <f t="shared" si="16"/>
        <v>4344250</v>
      </c>
      <c r="U95" s="578">
        <f t="shared" si="17"/>
        <v>0.9243085106382979</v>
      </c>
      <c r="V95" s="495"/>
      <c r="W95" s="509"/>
    </row>
    <row r="96" spans="1:23" ht="15" customHeight="1" outlineLevel="1">
      <c r="A96" s="234" t="s">
        <v>211</v>
      </c>
      <c r="B96" s="585"/>
      <c r="C96" s="577"/>
      <c r="D96" s="577"/>
      <c r="E96" s="376">
        <f>+'[16]Version Final'!$G$65</f>
        <v>15000000</v>
      </c>
      <c r="F96" s="376">
        <f t="shared" si="14"/>
        <v>15000000</v>
      </c>
      <c r="G96" s="571"/>
      <c r="H96" s="376">
        <f t="shared" si="13"/>
        <v>15000000</v>
      </c>
      <c r="I96" s="376"/>
      <c r="J96" s="376"/>
      <c r="K96" s="376"/>
      <c r="L96" s="376"/>
      <c r="M96" s="376"/>
      <c r="N96" s="376">
        <v>300000</v>
      </c>
      <c r="O96" s="577">
        <f t="shared" si="15"/>
        <v>15300000</v>
      </c>
      <c r="P96" s="376">
        <v>4014064</v>
      </c>
      <c r="Q96" s="376">
        <v>4984363</v>
      </c>
      <c r="R96" s="376">
        <v>4588888</v>
      </c>
      <c r="S96" s="617">
        <v>1423356</v>
      </c>
      <c r="T96" s="376">
        <f t="shared" si="16"/>
        <v>15010671</v>
      </c>
      <c r="U96" s="578">
        <f t="shared" si="17"/>
        <v>0.9810896078431373</v>
      </c>
      <c r="V96" s="495"/>
      <c r="W96" s="509"/>
    </row>
    <row r="97" spans="1:23" ht="15" customHeight="1" outlineLevel="1">
      <c r="A97" s="234" t="s">
        <v>212</v>
      </c>
      <c r="B97" s="585"/>
      <c r="C97" s="577"/>
      <c r="D97" s="577"/>
      <c r="E97" s="376">
        <f>+'[16]Version Final'!$G$69</f>
        <v>41649200</v>
      </c>
      <c r="F97" s="376">
        <f t="shared" si="14"/>
        <v>41649200</v>
      </c>
      <c r="G97" s="571"/>
      <c r="H97" s="376">
        <f t="shared" si="13"/>
        <v>41649200</v>
      </c>
      <c r="I97" s="376"/>
      <c r="J97" s="376"/>
      <c r="K97" s="376"/>
      <c r="L97" s="376"/>
      <c r="M97" s="376"/>
      <c r="N97" s="376"/>
      <c r="O97" s="577">
        <f t="shared" si="15"/>
        <v>41649200</v>
      </c>
      <c r="P97" s="376">
        <v>4928566</v>
      </c>
      <c r="Q97" s="376">
        <v>10391382</v>
      </c>
      <c r="R97" s="376">
        <v>11518056</v>
      </c>
      <c r="S97" s="617">
        <v>12505169</v>
      </c>
      <c r="T97" s="376">
        <f t="shared" si="16"/>
        <v>39343173</v>
      </c>
      <c r="U97" s="578">
        <f t="shared" si="17"/>
        <v>0.94463214179384</v>
      </c>
      <c r="V97" s="495"/>
      <c r="W97" s="509"/>
    </row>
    <row r="98" spans="1:23" ht="15" customHeight="1" outlineLevel="1">
      <c r="A98" s="234" t="s">
        <v>213</v>
      </c>
      <c r="B98" s="585"/>
      <c r="C98" s="577"/>
      <c r="D98" s="577"/>
      <c r="E98" s="376">
        <f>+'[16]Version Final'!$G$75</f>
        <v>50000000</v>
      </c>
      <c r="F98" s="376">
        <f t="shared" si="14"/>
        <v>50000000</v>
      </c>
      <c r="G98" s="571"/>
      <c r="H98" s="376">
        <f t="shared" si="13"/>
        <v>50000000</v>
      </c>
      <c r="I98" s="376"/>
      <c r="J98" s="376"/>
      <c r="K98" s="376"/>
      <c r="L98" s="376">
        <v>20000000</v>
      </c>
      <c r="M98" s="376"/>
      <c r="N98" s="376"/>
      <c r="O98" s="577">
        <f t="shared" si="15"/>
        <v>70000000</v>
      </c>
      <c r="P98" s="376">
        <v>0</v>
      </c>
      <c r="Q98" s="376"/>
      <c r="R98" s="376">
        <v>0</v>
      </c>
      <c r="S98" s="617">
        <v>69998856</v>
      </c>
      <c r="T98" s="376">
        <f t="shared" si="16"/>
        <v>69998856</v>
      </c>
      <c r="U98" s="578">
        <f t="shared" si="17"/>
        <v>0.9999836571428572</v>
      </c>
      <c r="V98" s="495"/>
      <c r="W98" s="509"/>
    </row>
    <row r="99" spans="1:23" ht="15" customHeight="1" outlineLevel="1">
      <c r="A99" s="234"/>
      <c r="B99" s="585"/>
      <c r="C99" s="577"/>
      <c r="D99" s="577"/>
      <c r="E99" s="376"/>
      <c r="F99" s="581"/>
      <c r="G99" s="571"/>
      <c r="H99" s="581"/>
      <c r="I99" s="581"/>
      <c r="J99" s="581"/>
      <c r="K99" s="581"/>
      <c r="L99" s="581"/>
      <c r="M99" s="581"/>
      <c r="N99" s="581"/>
      <c r="O99" s="581">
        <f t="shared" si="15"/>
        <v>0</v>
      </c>
      <c r="P99" s="581"/>
      <c r="Q99" s="376"/>
      <c r="R99" s="376"/>
      <c r="S99" s="617"/>
      <c r="T99" s="376">
        <f t="shared" si="16"/>
        <v>0</v>
      </c>
      <c r="U99" s="578">
        <v>0</v>
      </c>
      <c r="V99" s="495"/>
      <c r="W99" s="509"/>
    </row>
    <row r="100" spans="1:23" ht="15">
      <c r="A100" s="528" t="s">
        <v>120</v>
      </c>
      <c r="B100" s="585"/>
      <c r="C100" s="577"/>
      <c r="D100" s="577"/>
      <c r="E100" s="574">
        <f>+E101+E102+E103</f>
        <v>356139131.3584</v>
      </c>
      <c r="F100" s="581">
        <f>+F101+F102+F103</f>
        <v>356139131.3584</v>
      </c>
      <c r="G100" s="571"/>
      <c r="H100" s="581">
        <f>+H101+H102+H103</f>
        <v>356139131.3584</v>
      </c>
      <c r="I100" s="574">
        <f>+I101+I102+I103</f>
        <v>0</v>
      </c>
      <c r="J100" s="574">
        <f>+J101+J102+J103</f>
        <v>0</v>
      </c>
      <c r="K100" s="574">
        <f>+K101+K102+K103</f>
        <v>0</v>
      </c>
      <c r="L100" s="574">
        <f>+L101+L102+L103</f>
        <v>20000000</v>
      </c>
      <c r="M100" s="574"/>
      <c r="N100" s="574"/>
      <c r="O100" s="574">
        <f t="shared" si="15"/>
        <v>376139131.3584</v>
      </c>
      <c r="P100" s="574">
        <f>+P101+P102+P103</f>
        <v>16339604</v>
      </c>
      <c r="Q100" s="574">
        <f>+Q101+Q102+Q103</f>
        <v>64475036</v>
      </c>
      <c r="R100" s="574">
        <f>+R101+R102+R103</f>
        <v>237920267</v>
      </c>
      <c r="S100" s="574">
        <f>+S101+S102+S103</f>
        <v>54489003</v>
      </c>
      <c r="T100" s="574">
        <f t="shared" si="16"/>
        <v>373223910</v>
      </c>
      <c r="U100" s="575">
        <f t="shared" si="17"/>
        <v>0.9922496195812653</v>
      </c>
      <c r="V100" s="495"/>
      <c r="W100" s="509"/>
    </row>
    <row r="101" spans="1:23" ht="15" customHeight="1" outlineLevel="1">
      <c r="A101" s="531" t="s">
        <v>214</v>
      </c>
      <c r="B101" s="585"/>
      <c r="C101" s="577"/>
      <c r="D101" s="577"/>
      <c r="E101" s="376">
        <f>+'[16]Version Final'!$G$77</f>
        <v>73739131.3584</v>
      </c>
      <c r="F101" s="376">
        <f t="shared" si="14"/>
        <v>73739131.3584</v>
      </c>
      <c r="G101" s="571"/>
      <c r="H101" s="376">
        <f>+G101+F101</f>
        <v>73739131.3584</v>
      </c>
      <c r="I101" s="376"/>
      <c r="J101" s="376"/>
      <c r="K101" s="376"/>
      <c r="L101" s="376"/>
      <c r="M101" s="376"/>
      <c r="N101" s="376">
        <v>4153880</v>
      </c>
      <c r="O101" s="577">
        <f t="shared" si="15"/>
        <v>77893011.3584</v>
      </c>
      <c r="P101" s="376">
        <v>11577700</v>
      </c>
      <c r="Q101" s="376">
        <v>27772780</v>
      </c>
      <c r="R101" s="376">
        <v>17956908</v>
      </c>
      <c r="S101" s="617">
        <v>20135623</v>
      </c>
      <c r="T101" s="376">
        <f t="shared" si="16"/>
        <v>77443011</v>
      </c>
      <c r="U101" s="578">
        <f t="shared" si="17"/>
        <v>0.9942228403992565</v>
      </c>
      <c r="V101" s="495"/>
      <c r="W101" s="509"/>
    </row>
    <row r="102" spans="1:23" ht="15" customHeight="1" outlineLevel="1">
      <c r="A102" s="531" t="s">
        <v>215</v>
      </c>
      <c r="B102" s="585"/>
      <c r="C102" s="577"/>
      <c r="D102" s="577"/>
      <c r="E102" s="376">
        <f>+'[16]Version Final'!$G$80</f>
        <v>12400000</v>
      </c>
      <c r="F102" s="376">
        <f t="shared" si="14"/>
        <v>12400000</v>
      </c>
      <c r="G102" s="571"/>
      <c r="H102" s="376">
        <f>+G102+F102</f>
        <v>12400000</v>
      </c>
      <c r="I102" s="376"/>
      <c r="J102" s="376"/>
      <c r="K102" s="376"/>
      <c r="L102" s="376">
        <v>20000000</v>
      </c>
      <c r="M102" s="376"/>
      <c r="N102" s="376">
        <v>-4000000</v>
      </c>
      <c r="O102" s="577">
        <f t="shared" si="15"/>
        <v>28400000</v>
      </c>
      <c r="P102" s="376">
        <v>0</v>
      </c>
      <c r="Q102" s="376">
        <v>0</v>
      </c>
      <c r="R102" s="376">
        <v>0</v>
      </c>
      <c r="S102" s="617">
        <v>28400000</v>
      </c>
      <c r="T102" s="376">
        <f t="shared" si="16"/>
        <v>28400000</v>
      </c>
      <c r="U102" s="578">
        <f t="shared" si="17"/>
        <v>1</v>
      </c>
      <c r="V102" s="495"/>
      <c r="W102" s="509"/>
    </row>
    <row r="103" spans="1:23" ht="15" customHeight="1" outlineLevel="1">
      <c r="A103" s="531" t="s">
        <v>216</v>
      </c>
      <c r="B103" s="585"/>
      <c r="C103" s="577"/>
      <c r="D103" s="577"/>
      <c r="E103" s="376">
        <f>+'[16]Version Final'!$G$84</f>
        <v>270000000</v>
      </c>
      <c r="F103" s="376">
        <f t="shared" si="14"/>
        <v>270000000</v>
      </c>
      <c r="G103" s="571"/>
      <c r="H103" s="376">
        <f>+G103+F103</f>
        <v>270000000</v>
      </c>
      <c r="I103" s="376"/>
      <c r="J103" s="376"/>
      <c r="K103" s="376"/>
      <c r="L103" s="376"/>
      <c r="M103" s="376"/>
      <c r="N103" s="376">
        <v>-153880</v>
      </c>
      <c r="O103" s="577">
        <f t="shared" si="15"/>
        <v>269846120</v>
      </c>
      <c r="P103" s="376">
        <v>4761904</v>
      </c>
      <c r="Q103" s="376">
        <v>36702256</v>
      </c>
      <c r="R103" s="376">
        <v>219963359</v>
      </c>
      <c r="S103" s="617">
        <v>5953380</v>
      </c>
      <c r="T103" s="376">
        <f t="shared" si="16"/>
        <v>267380899</v>
      </c>
      <c r="U103" s="578">
        <f t="shared" si="17"/>
        <v>0.9908643452053341</v>
      </c>
      <c r="V103" s="495"/>
      <c r="W103" s="509"/>
    </row>
    <row r="104" spans="1:23" ht="15">
      <c r="A104" s="528" t="s">
        <v>154</v>
      </c>
      <c r="B104" s="585"/>
      <c r="C104" s="577"/>
      <c r="D104" s="577"/>
      <c r="E104" s="574">
        <f>+E105</f>
        <v>95728000</v>
      </c>
      <c r="F104" s="581">
        <f>+F105</f>
        <v>95728000</v>
      </c>
      <c r="G104" s="571"/>
      <c r="H104" s="581">
        <f>+H105</f>
        <v>95728000</v>
      </c>
      <c r="I104" s="574">
        <f>+I105</f>
        <v>0</v>
      </c>
      <c r="J104" s="574">
        <f>+J105</f>
        <v>0</v>
      </c>
      <c r="K104" s="574">
        <f>+K105</f>
        <v>0</v>
      </c>
      <c r="L104" s="574">
        <f>+L105</f>
        <v>20000000</v>
      </c>
      <c r="M104" s="574"/>
      <c r="N104" s="574"/>
      <c r="O104" s="574">
        <f t="shared" si="15"/>
        <v>115728000</v>
      </c>
      <c r="P104" s="574">
        <f>+P105</f>
        <v>11472352</v>
      </c>
      <c r="Q104" s="574">
        <f>+Q105</f>
        <v>41945548</v>
      </c>
      <c r="R104" s="574">
        <f>+R105</f>
        <v>37222055.2</v>
      </c>
      <c r="S104" s="574">
        <f>+S105</f>
        <v>21977289</v>
      </c>
      <c r="T104" s="574">
        <f t="shared" si="16"/>
        <v>112617244.2</v>
      </c>
      <c r="U104" s="575">
        <f t="shared" si="17"/>
        <v>0.9731201109498134</v>
      </c>
      <c r="V104" s="495"/>
      <c r="W104" s="509"/>
    </row>
    <row r="105" spans="1:23" ht="20.25" customHeight="1" outlineLevel="1">
      <c r="A105" s="234" t="s">
        <v>382</v>
      </c>
      <c r="B105" s="585"/>
      <c r="C105" s="577"/>
      <c r="D105" s="577"/>
      <c r="E105" s="376">
        <f>+'[16]Version Final'!$G$88</f>
        <v>95728000</v>
      </c>
      <c r="F105" s="376">
        <f t="shared" si="14"/>
        <v>95728000</v>
      </c>
      <c r="G105" s="571"/>
      <c r="H105" s="376">
        <f>+G105+F105</f>
        <v>95728000</v>
      </c>
      <c r="I105" s="376"/>
      <c r="J105" s="376"/>
      <c r="K105" s="376"/>
      <c r="L105" s="376">
        <v>20000000</v>
      </c>
      <c r="M105" s="376"/>
      <c r="N105" s="376"/>
      <c r="O105" s="577">
        <f t="shared" si="15"/>
        <v>115728000</v>
      </c>
      <c r="P105" s="376">
        <v>11472352</v>
      </c>
      <c r="Q105" s="376">
        <v>41945548</v>
      </c>
      <c r="R105" s="376">
        <v>37222055.2</v>
      </c>
      <c r="S105" s="617">
        <v>21977289</v>
      </c>
      <c r="T105" s="376">
        <f t="shared" si="16"/>
        <v>112617244.2</v>
      </c>
      <c r="U105" s="578">
        <f t="shared" si="17"/>
        <v>0.9731201109498134</v>
      </c>
      <c r="V105" s="495"/>
      <c r="W105" s="509"/>
    </row>
    <row r="106" spans="1:23" ht="16.5" customHeight="1" hidden="1">
      <c r="A106" s="528" t="s">
        <v>383</v>
      </c>
      <c r="B106" s="585"/>
      <c r="C106" s="577"/>
      <c r="D106" s="577"/>
      <c r="E106" s="574">
        <f>+E107</f>
        <v>0</v>
      </c>
      <c r="F106" s="581">
        <f>+F107</f>
        <v>0</v>
      </c>
      <c r="G106" s="571"/>
      <c r="H106" s="581">
        <f>+H107</f>
        <v>0</v>
      </c>
      <c r="I106" s="574">
        <f>+I107</f>
        <v>0</v>
      </c>
      <c r="J106" s="574">
        <f>+J107</f>
        <v>334956438</v>
      </c>
      <c r="K106" s="574">
        <f>+K107</f>
        <v>0</v>
      </c>
      <c r="L106" s="574">
        <f>+L107</f>
        <v>-334956438</v>
      </c>
      <c r="M106" s="574"/>
      <c r="N106" s="574"/>
      <c r="O106" s="574">
        <f t="shared" si="15"/>
        <v>0</v>
      </c>
      <c r="P106" s="581">
        <f>+P107</f>
        <v>0</v>
      </c>
      <c r="Q106" s="574">
        <f>+Q107</f>
        <v>0</v>
      </c>
      <c r="R106" s="574">
        <f>+R107</f>
        <v>0</v>
      </c>
      <c r="S106" s="574">
        <f>+S107</f>
        <v>0</v>
      </c>
      <c r="T106" s="574">
        <f t="shared" si="16"/>
        <v>0</v>
      </c>
      <c r="U106" s="575">
        <v>0</v>
      </c>
      <c r="V106" s="495"/>
      <c r="W106" s="509"/>
    </row>
    <row r="107" spans="1:23" ht="13.5" customHeight="1" outlineLevel="1">
      <c r="A107" s="603" t="s">
        <v>384</v>
      </c>
      <c r="B107" s="585"/>
      <c r="C107" s="577"/>
      <c r="D107" s="577"/>
      <c r="E107" s="376">
        <v>0</v>
      </c>
      <c r="F107" s="376">
        <f>+E107+D107+C107+B107</f>
        <v>0</v>
      </c>
      <c r="G107" s="571"/>
      <c r="H107" s="376">
        <f>+G107+F107</f>
        <v>0</v>
      </c>
      <c r="I107" s="376">
        <v>0</v>
      </c>
      <c r="J107" s="376">
        <v>334956438</v>
      </c>
      <c r="K107" s="376"/>
      <c r="L107" s="376">
        <v>-334956438</v>
      </c>
      <c r="M107" s="376"/>
      <c r="N107" s="376"/>
      <c r="O107" s="577">
        <f t="shared" si="15"/>
        <v>0</v>
      </c>
      <c r="P107" s="376">
        <v>0</v>
      </c>
      <c r="Q107" s="376">
        <v>0</v>
      </c>
      <c r="R107" s="376">
        <v>0</v>
      </c>
      <c r="S107" s="617">
        <v>0</v>
      </c>
      <c r="T107" s="376">
        <f t="shared" si="16"/>
        <v>0</v>
      </c>
      <c r="U107" s="578">
        <v>0</v>
      </c>
      <c r="V107" s="495"/>
      <c r="W107" s="509"/>
    </row>
    <row r="108" spans="1:23" ht="15">
      <c r="A108" s="603"/>
      <c r="B108" s="585"/>
      <c r="C108" s="577"/>
      <c r="D108" s="577"/>
      <c r="E108" s="376"/>
      <c r="F108" s="376"/>
      <c r="G108" s="571"/>
      <c r="H108" s="581"/>
      <c r="I108" s="581"/>
      <c r="J108" s="581"/>
      <c r="K108" s="581"/>
      <c r="L108" s="581"/>
      <c r="M108" s="581"/>
      <c r="N108" s="581"/>
      <c r="O108" s="376"/>
      <c r="P108" s="376"/>
      <c r="Q108" s="376"/>
      <c r="R108" s="376"/>
      <c r="S108" s="617"/>
      <c r="T108" s="376"/>
      <c r="U108" s="578"/>
      <c r="V108" s="495"/>
      <c r="W108" s="509"/>
    </row>
    <row r="109" spans="1:23" s="521" customFormat="1" ht="15.75" customHeight="1">
      <c r="A109" s="570" t="s">
        <v>98</v>
      </c>
      <c r="B109" s="585"/>
      <c r="C109" s="581">
        <f>+C110+C117+C128+C132</f>
        <v>1110781737</v>
      </c>
      <c r="D109" s="577"/>
      <c r="E109" s="571"/>
      <c r="F109" s="581">
        <f>+F110+F117+F128+F132</f>
        <v>1110781737</v>
      </c>
      <c r="G109" s="577"/>
      <c r="H109" s="581">
        <f>+H110+H117+H128+H132</f>
        <v>1110781737</v>
      </c>
      <c r="I109" s="581">
        <f>+I110+I117+I128+I132</f>
        <v>0</v>
      </c>
      <c r="J109" s="581">
        <f>+J110+J117+J128+J132</f>
        <v>0</v>
      </c>
      <c r="K109" s="581">
        <f>+K110+K117+K128+K132</f>
        <v>0</v>
      </c>
      <c r="L109" s="581">
        <f>+L110+L117+L128+L132</f>
        <v>-387000000</v>
      </c>
      <c r="M109" s="581"/>
      <c r="N109" s="581"/>
      <c r="O109" s="574">
        <f t="shared" si="15"/>
        <v>723781737</v>
      </c>
      <c r="P109" s="581">
        <f>+P110+P117+P128+P132</f>
        <v>80325359.2</v>
      </c>
      <c r="Q109" s="581">
        <f>+Q110+Q117+Q128+Q132</f>
        <v>143216407</v>
      </c>
      <c r="R109" s="581">
        <f>+R110+R117+R128+R132</f>
        <v>187791332</v>
      </c>
      <c r="S109" s="581">
        <f>+S110+S117+S128+S132</f>
        <v>264190471</v>
      </c>
      <c r="T109" s="581">
        <f t="shared" si="16"/>
        <v>675523569.2</v>
      </c>
      <c r="U109" s="575">
        <f t="shared" si="17"/>
        <v>0.9333249716965435</v>
      </c>
      <c r="V109" s="518"/>
      <c r="W109" s="509"/>
    </row>
    <row r="110" spans="1:23" s="521" customFormat="1" ht="15">
      <c r="A110" s="586" t="s">
        <v>99</v>
      </c>
      <c r="B110" s="585"/>
      <c r="C110" s="585">
        <f>+C111+C112+C113+C114+C115</f>
        <v>129792321</v>
      </c>
      <c r="D110" s="577"/>
      <c r="E110" s="571"/>
      <c r="F110" s="581">
        <f>+F111+F112+F113+F114+F115</f>
        <v>129792321</v>
      </c>
      <c r="G110" s="571"/>
      <c r="H110" s="581">
        <f>+H111+H112+H113+H114+H115</f>
        <v>129792321</v>
      </c>
      <c r="I110" s="585">
        <f>+I111+I112+I113+I114+I115</f>
        <v>0</v>
      </c>
      <c r="J110" s="585">
        <f>+J111+J112+J113+J114+J115</f>
        <v>0</v>
      </c>
      <c r="K110" s="585">
        <f>+K111+K112+K113+K114+K115</f>
        <v>0</v>
      </c>
      <c r="L110" s="585">
        <f>+L111+L112+L113+L114+L115</f>
        <v>-50000000</v>
      </c>
      <c r="M110" s="585"/>
      <c r="N110" s="585"/>
      <c r="O110" s="574">
        <f t="shared" si="15"/>
        <v>79792321</v>
      </c>
      <c r="P110" s="585">
        <f>+P111+P112+P113+P114+P115</f>
        <v>0</v>
      </c>
      <c r="Q110" s="585">
        <f>+Q111+Q112+Q113+Q114+Q115</f>
        <v>2053200</v>
      </c>
      <c r="R110" s="585">
        <f>+R111+R112+R113+R114+R115</f>
        <v>57805321</v>
      </c>
      <c r="S110" s="585">
        <f>+S111+S112+S113+S114+S115</f>
        <v>9899403</v>
      </c>
      <c r="T110" s="585">
        <f t="shared" si="16"/>
        <v>69757924</v>
      </c>
      <c r="U110" s="575">
        <f t="shared" si="17"/>
        <v>0.8742435753936773</v>
      </c>
      <c r="V110" s="520"/>
      <c r="W110" s="509"/>
    </row>
    <row r="111" spans="1:23" s="521" customFormat="1" ht="15" customHeight="1" outlineLevel="1">
      <c r="A111" s="604" t="s">
        <v>385</v>
      </c>
      <c r="B111" s="585"/>
      <c r="C111" s="583">
        <f>+'[17]PRESUPUESTO TECNICA 2011-Final'!$E$9</f>
        <v>57792321</v>
      </c>
      <c r="D111" s="577"/>
      <c r="E111" s="597"/>
      <c r="F111" s="577">
        <f aca="true" t="shared" si="18" ref="F111:F166">+E111+D111+C111+B111</f>
        <v>57792321</v>
      </c>
      <c r="G111" s="597"/>
      <c r="H111" s="376">
        <f aca="true" t="shared" si="19" ref="H111:H156">+G111+F111</f>
        <v>57792321</v>
      </c>
      <c r="I111" s="376"/>
      <c r="J111" s="376"/>
      <c r="K111" s="376"/>
      <c r="L111" s="376"/>
      <c r="M111" s="376"/>
      <c r="N111" s="376"/>
      <c r="O111" s="577">
        <f t="shared" si="15"/>
        <v>57792321</v>
      </c>
      <c r="P111" s="577">
        <v>0</v>
      </c>
      <c r="Q111" s="583">
        <v>0</v>
      </c>
      <c r="R111" s="583">
        <v>57792321</v>
      </c>
      <c r="S111" s="616">
        <v>0</v>
      </c>
      <c r="T111" s="583">
        <f t="shared" si="16"/>
        <v>57792321</v>
      </c>
      <c r="U111" s="578">
        <f t="shared" si="17"/>
        <v>1</v>
      </c>
      <c r="V111" s="520"/>
      <c r="W111" s="509"/>
    </row>
    <row r="112" spans="1:23" s="521" customFormat="1" ht="15" customHeight="1" outlineLevel="1">
      <c r="A112" s="604" t="s">
        <v>386</v>
      </c>
      <c r="B112" s="585"/>
      <c r="C112" s="583">
        <f>+'[17]PRESUPUESTO TECNICA 2011-Final'!$E$12</f>
        <v>10000000</v>
      </c>
      <c r="D112" s="577"/>
      <c r="E112" s="597"/>
      <c r="F112" s="583">
        <f t="shared" si="18"/>
        <v>10000000</v>
      </c>
      <c r="G112" s="597"/>
      <c r="H112" s="583">
        <f t="shared" si="19"/>
        <v>10000000</v>
      </c>
      <c r="I112" s="583"/>
      <c r="J112" s="583"/>
      <c r="K112" s="583"/>
      <c r="L112" s="583"/>
      <c r="M112" s="583"/>
      <c r="N112" s="583"/>
      <c r="O112" s="577">
        <f t="shared" si="15"/>
        <v>10000000</v>
      </c>
      <c r="P112" s="583">
        <v>0</v>
      </c>
      <c r="Q112" s="583">
        <v>0</v>
      </c>
      <c r="R112" s="583">
        <v>0</v>
      </c>
      <c r="S112" s="616">
        <v>0</v>
      </c>
      <c r="T112" s="583">
        <f t="shared" si="16"/>
        <v>0</v>
      </c>
      <c r="U112" s="578">
        <f t="shared" si="17"/>
        <v>0</v>
      </c>
      <c r="V112" s="520"/>
      <c r="W112" s="509"/>
    </row>
    <row r="113" spans="1:23" s="521" customFormat="1" ht="15" customHeight="1" outlineLevel="1">
      <c r="A113" s="604" t="s">
        <v>387</v>
      </c>
      <c r="B113" s="585"/>
      <c r="C113" s="583">
        <f>+'[17]PRESUPUESTO TECNICA 2011-Final'!$E$14</f>
        <v>0</v>
      </c>
      <c r="D113" s="577"/>
      <c r="E113" s="597"/>
      <c r="F113" s="583">
        <f t="shared" si="18"/>
        <v>0</v>
      </c>
      <c r="G113" s="597"/>
      <c r="H113" s="583">
        <f t="shared" si="19"/>
        <v>0</v>
      </c>
      <c r="I113" s="583"/>
      <c r="J113" s="583"/>
      <c r="K113" s="583"/>
      <c r="L113" s="583"/>
      <c r="M113" s="583"/>
      <c r="N113" s="583"/>
      <c r="O113" s="577">
        <f t="shared" si="15"/>
        <v>0</v>
      </c>
      <c r="P113" s="583">
        <v>0</v>
      </c>
      <c r="Q113" s="583">
        <f>+'[17]PRESUPUESTO TECNICA 2011-Final'!$E$14</f>
        <v>0</v>
      </c>
      <c r="R113" s="583">
        <v>0</v>
      </c>
      <c r="S113" s="616"/>
      <c r="T113" s="583">
        <f t="shared" si="16"/>
        <v>0</v>
      </c>
      <c r="U113" s="578">
        <v>0</v>
      </c>
      <c r="V113" s="520"/>
      <c r="W113" s="509"/>
    </row>
    <row r="114" spans="1:23" s="521" customFormat="1" ht="15" customHeight="1" outlineLevel="1">
      <c r="A114" s="604" t="s">
        <v>388</v>
      </c>
      <c r="B114" s="585"/>
      <c r="C114" s="583">
        <f>+'[17]PRESUPUESTO TECNICA 2011-Final'!$E$16</f>
        <v>50000000</v>
      </c>
      <c r="D114" s="577"/>
      <c r="E114" s="597"/>
      <c r="F114" s="583">
        <f t="shared" si="18"/>
        <v>50000000</v>
      </c>
      <c r="G114" s="597"/>
      <c r="H114" s="583">
        <f t="shared" si="19"/>
        <v>50000000</v>
      </c>
      <c r="I114" s="583"/>
      <c r="J114" s="583"/>
      <c r="K114" s="583"/>
      <c r="L114" s="583">
        <v>-50000000</v>
      </c>
      <c r="M114" s="583"/>
      <c r="N114" s="583"/>
      <c r="O114" s="577">
        <f t="shared" si="15"/>
        <v>0</v>
      </c>
      <c r="P114" s="583">
        <v>0</v>
      </c>
      <c r="Q114" s="583">
        <v>0</v>
      </c>
      <c r="R114" s="583">
        <v>0</v>
      </c>
      <c r="S114" s="616">
        <v>0</v>
      </c>
      <c r="T114" s="583">
        <f t="shared" si="16"/>
        <v>0</v>
      </c>
      <c r="U114" s="578">
        <v>0</v>
      </c>
      <c r="V114" s="520"/>
      <c r="W114" s="509"/>
    </row>
    <row r="115" spans="1:23" s="521" customFormat="1" ht="15" customHeight="1" outlineLevel="1">
      <c r="A115" s="596" t="s">
        <v>389</v>
      </c>
      <c r="B115" s="585"/>
      <c r="C115" s="583">
        <f>+'[17]PRESUPUESTO TECNICA 2011-Final'!$E$18</f>
        <v>12000000</v>
      </c>
      <c r="D115" s="577"/>
      <c r="E115" s="597"/>
      <c r="F115" s="583">
        <f t="shared" si="18"/>
        <v>12000000</v>
      </c>
      <c r="G115" s="597"/>
      <c r="H115" s="583">
        <f t="shared" si="19"/>
        <v>12000000</v>
      </c>
      <c r="I115" s="583"/>
      <c r="J115" s="583"/>
      <c r="K115" s="583"/>
      <c r="L115" s="583"/>
      <c r="M115" s="583"/>
      <c r="N115" s="583"/>
      <c r="O115" s="577">
        <f t="shared" si="15"/>
        <v>12000000</v>
      </c>
      <c r="P115" s="583">
        <v>0</v>
      </c>
      <c r="Q115" s="583">
        <v>2053200</v>
      </c>
      <c r="R115" s="583">
        <v>13000</v>
      </c>
      <c r="S115" s="616">
        <v>9899403</v>
      </c>
      <c r="T115" s="583">
        <f t="shared" si="16"/>
        <v>11965603</v>
      </c>
      <c r="U115" s="578">
        <f t="shared" si="17"/>
        <v>0.9971335833333334</v>
      </c>
      <c r="V115" s="520"/>
      <c r="W115" s="509"/>
    </row>
    <row r="116" spans="1:23" s="521" customFormat="1" ht="15" customHeight="1" outlineLevel="1">
      <c r="A116" s="586"/>
      <c r="B116" s="585"/>
      <c r="C116" s="585"/>
      <c r="D116" s="577"/>
      <c r="E116" s="571"/>
      <c r="F116" s="581"/>
      <c r="G116" s="571"/>
      <c r="H116" s="581"/>
      <c r="I116" s="581"/>
      <c r="J116" s="581"/>
      <c r="K116" s="581"/>
      <c r="L116" s="581"/>
      <c r="M116" s="581"/>
      <c r="N116" s="581"/>
      <c r="O116" s="581"/>
      <c r="P116" s="581"/>
      <c r="Q116" s="585"/>
      <c r="R116" s="585"/>
      <c r="S116" s="619"/>
      <c r="T116" s="585"/>
      <c r="U116" s="575"/>
      <c r="V116" s="520"/>
      <c r="W116" s="509"/>
    </row>
    <row r="117" spans="1:23" s="521" customFormat="1" ht="15">
      <c r="A117" s="586" t="s">
        <v>100</v>
      </c>
      <c r="B117" s="581"/>
      <c r="C117" s="581">
        <f>+C118+C122</f>
        <v>536789416</v>
      </c>
      <c r="D117" s="571"/>
      <c r="E117" s="571"/>
      <c r="F117" s="581">
        <f>+F118+F122</f>
        <v>536789416</v>
      </c>
      <c r="G117" s="571"/>
      <c r="H117" s="581">
        <f aca="true" t="shared" si="20" ref="H117:N117">+H118+H122</f>
        <v>536789416</v>
      </c>
      <c r="I117" s="581">
        <f t="shared" si="20"/>
        <v>0</v>
      </c>
      <c r="J117" s="581">
        <f t="shared" si="20"/>
        <v>0</v>
      </c>
      <c r="K117" s="581">
        <f t="shared" si="20"/>
        <v>0</v>
      </c>
      <c r="L117" s="581">
        <f t="shared" si="20"/>
        <v>-387000000</v>
      </c>
      <c r="M117" s="581">
        <f t="shared" si="20"/>
        <v>0</v>
      </c>
      <c r="N117" s="581">
        <f t="shared" si="20"/>
        <v>0</v>
      </c>
      <c r="O117" s="574">
        <f t="shared" si="15"/>
        <v>149789416</v>
      </c>
      <c r="P117" s="581">
        <f>+P118+P122</f>
        <v>19531090.2</v>
      </c>
      <c r="Q117" s="581">
        <f>+Q118+Q122</f>
        <v>34040375</v>
      </c>
      <c r="R117" s="581">
        <f>+R118+R122</f>
        <v>17985052</v>
      </c>
      <c r="S117" s="581">
        <f>+S118+S122</f>
        <v>41283311</v>
      </c>
      <c r="T117" s="581">
        <f t="shared" si="16"/>
        <v>112839828.2</v>
      </c>
      <c r="U117" s="575">
        <f t="shared" si="17"/>
        <v>0.7533231066205639</v>
      </c>
      <c r="V117" s="520"/>
      <c r="W117" s="509"/>
    </row>
    <row r="118" spans="1:23" s="521" customFormat="1" ht="14.25" customHeight="1" outlineLevel="1">
      <c r="A118" s="603" t="s">
        <v>101</v>
      </c>
      <c r="B118" s="577"/>
      <c r="C118" s="376">
        <f>+C119+C120+C121</f>
        <v>359674300</v>
      </c>
      <c r="D118" s="571"/>
      <c r="E118" s="571"/>
      <c r="F118" s="577">
        <f>+F119+F120+F121</f>
        <v>359674300</v>
      </c>
      <c r="G118" s="571"/>
      <c r="H118" s="376">
        <f>+H119+H120+H121</f>
        <v>359674300</v>
      </c>
      <c r="I118" s="376"/>
      <c r="J118" s="376"/>
      <c r="K118" s="376"/>
      <c r="L118" s="376">
        <f>+L119+L120+L121</f>
        <v>-317000000</v>
      </c>
      <c r="M118" s="376"/>
      <c r="N118" s="376"/>
      <c r="O118" s="577">
        <f t="shared" si="15"/>
        <v>42674300</v>
      </c>
      <c r="P118" s="577">
        <f>+P119+P120+P121</f>
        <v>9868220</v>
      </c>
      <c r="Q118" s="376">
        <f>+Q119+Q120+Q121</f>
        <v>11961250</v>
      </c>
      <c r="R118" s="376">
        <f>+R119+R120+R121</f>
        <v>3158920</v>
      </c>
      <c r="S118" s="376">
        <f>+S119+S120+S121</f>
        <v>5050512</v>
      </c>
      <c r="T118" s="376">
        <f t="shared" si="16"/>
        <v>30038902</v>
      </c>
      <c r="U118" s="578">
        <f t="shared" si="17"/>
        <v>0.703910831577788</v>
      </c>
      <c r="V118" s="520"/>
      <c r="W118" s="509"/>
    </row>
    <row r="119" spans="1:23" s="521" customFormat="1" ht="14.25" customHeight="1" outlineLevel="2">
      <c r="A119" s="596" t="s">
        <v>297</v>
      </c>
      <c r="B119" s="577"/>
      <c r="C119" s="577">
        <f>+'[17]PRESUPUESTO TECNICA 2011-Final'!$E$22</f>
        <v>180000000</v>
      </c>
      <c r="D119" s="571"/>
      <c r="E119" s="571"/>
      <c r="F119" s="577">
        <f t="shared" si="18"/>
        <v>180000000</v>
      </c>
      <c r="G119" s="571"/>
      <c r="H119" s="376">
        <f t="shared" si="19"/>
        <v>180000000</v>
      </c>
      <c r="I119" s="376"/>
      <c r="J119" s="376"/>
      <c r="K119" s="376"/>
      <c r="L119" s="376">
        <v>-180000000</v>
      </c>
      <c r="M119" s="376"/>
      <c r="N119" s="376"/>
      <c r="O119" s="577">
        <f t="shared" si="15"/>
        <v>0</v>
      </c>
      <c r="P119" s="577">
        <v>0</v>
      </c>
      <c r="Q119" s="577">
        <v>0</v>
      </c>
      <c r="R119" s="577">
        <v>0</v>
      </c>
      <c r="S119" s="615">
        <v>0</v>
      </c>
      <c r="T119" s="577">
        <f t="shared" si="16"/>
        <v>0</v>
      </c>
      <c r="U119" s="578">
        <v>0</v>
      </c>
      <c r="V119" s="520"/>
      <c r="W119" s="509"/>
    </row>
    <row r="120" spans="1:23" s="521" customFormat="1" ht="14.25" customHeight="1" outlineLevel="2">
      <c r="A120" s="596" t="s">
        <v>189</v>
      </c>
      <c r="B120" s="577"/>
      <c r="C120" s="577">
        <f>+'[17]PRESUPUESTO TECNICA 2011-Final'!$E$27</f>
        <v>24000000</v>
      </c>
      <c r="D120" s="571"/>
      <c r="E120" s="571"/>
      <c r="F120" s="577">
        <f t="shared" si="18"/>
        <v>24000000</v>
      </c>
      <c r="G120" s="571"/>
      <c r="H120" s="376">
        <f t="shared" si="19"/>
        <v>24000000</v>
      </c>
      <c r="I120" s="376"/>
      <c r="J120" s="376"/>
      <c r="K120" s="376"/>
      <c r="L120" s="376"/>
      <c r="M120" s="376"/>
      <c r="N120" s="376">
        <v>-6380222</v>
      </c>
      <c r="O120" s="577">
        <f t="shared" si="15"/>
        <v>17619778</v>
      </c>
      <c r="P120" s="577">
        <v>1502500</v>
      </c>
      <c r="Q120" s="577">
        <v>2061250</v>
      </c>
      <c r="R120" s="577">
        <v>1675800</v>
      </c>
      <c r="S120" s="615">
        <v>2861450</v>
      </c>
      <c r="T120" s="577">
        <f t="shared" si="16"/>
        <v>8101000</v>
      </c>
      <c r="U120" s="578">
        <f t="shared" si="17"/>
        <v>0.4597674272627044</v>
      </c>
      <c r="V120" s="520"/>
      <c r="W120" s="509"/>
    </row>
    <row r="121" spans="1:23" s="521" customFormat="1" ht="14.25" customHeight="1" outlineLevel="2">
      <c r="A121" s="596" t="s">
        <v>190</v>
      </c>
      <c r="B121" s="577"/>
      <c r="C121" s="577">
        <f>+'[17]PRESUPUESTO TECNICA 2011-Final'!$E$29</f>
        <v>155674300</v>
      </c>
      <c r="D121" s="571"/>
      <c r="E121" s="571"/>
      <c r="F121" s="577">
        <f t="shared" si="18"/>
        <v>155674300</v>
      </c>
      <c r="G121" s="571"/>
      <c r="H121" s="376">
        <f t="shared" si="19"/>
        <v>155674300</v>
      </c>
      <c r="I121" s="376"/>
      <c r="J121" s="376"/>
      <c r="K121" s="376"/>
      <c r="L121" s="376">
        <v>-137000000</v>
      </c>
      <c r="M121" s="376"/>
      <c r="N121" s="376">
        <v>3430222</v>
      </c>
      <c r="O121" s="577">
        <f t="shared" si="15"/>
        <v>22104522</v>
      </c>
      <c r="P121" s="577">
        <v>8365720</v>
      </c>
      <c r="Q121" s="577">
        <v>9900000</v>
      </c>
      <c r="R121" s="577">
        <v>1483120</v>
      </c>
      <c r="S121" s="615">
        <v>2189062</v>
      </c>
      <c r="T121" s="577">
        <f t="shared" si="16"/>
        <v>21937902</v>
      </c>
      <c r="U121" s="578">
        <f t="shared" si="17"/>
        <v>0.9924621758389528</v>
      </c>
      <c r="V121" s="520"/>
      <c r="W121" s="509"/>
    </row>
    <row r="122" spans="1:23" s="521" customFormat="1" ht="14.25" customHeight="1" outlineLevel="1">
      <c r="A122" s="603" t="s">
        <v>117</v>
      </c>
      <c r="B122" s="577"/>
      <c r="C122" s="376">
        <f>+SUM(C123:C126)</f>
        <v>177115116</v>
      </c>
      <c r="D122" s="571"/>
      <c r="E122" s="571"/>
      <c r="F122" s="577">
        <f>+F123+F124+F125+F126</f>
        <v>177115116</v>
      </c>
      <c r="G122" s="571"/>
      <c r="H122" s="376">
        <f>+H123+H124+H125+H126</f>
        <v>177115116</v>
      </c>
      <c r="I122" s="376"/>
      <c r="J122" s="376"/>
      <c r="K122" s="376"/>
      <c r="L122" s="376">
        <f>+L123+L124+L125+L126</f>
        <v>-70000000</v>
      </c>
      <c r="M122" s="376"/>
      <c r="N122" s="376"/>
      <c r="O122" s="577">
        <f t="shared" si="15"/>
        <v>107115116</v>
      </c>
      <c r="P122" s="577">
        <f>+P123+P124+P125+P126</f>
        <v>9662870.2</v>
      </c>
      <c r="Q122" s="376">
        <f>+SUM(Q123:Q126)</f>
        <v>22079125</v>
      </c>
      <c r="R122" s="376">
        <f>+SUM(R123:R126)</f>
        <v>14826132</v>
      </c>
      <c r="S122" s="376">
        <f>+SUM(S123:S126)</f>
        <v>36232799</v>
      </c>
      <c r="T122" s="376">
        <f t="shared" si="16"/>
        <v>82800926.2</v>
      </c>
      <c r="U122" s="578">
        <f t="shared" si="17"/>
        <v>0.7730087899078595</v>
      </c>
      <c r="V122" s="520"/>
      <c r="W122" s="509"/>
    </row>
    <row r="123" spans="1:23" s="521" customFormat="1" ht="14.25" customHeight="1" outlineLevel="2">
      <c r="A123" s="596" t="s">
        <v>141</v>
      </c>
      <c r="B123" s="577"/>
      <c r="C123" s="577">
        <f>+'[17]PRESUPUESTO TECNICA 2011-Final'!$E$37</f>
        <v>23000000</v>
      </c>
      <c r="D123" s="571"/>
      <c r="E123" s="571"/>
      <c r="F123" s="577">
        <f t="shared" si="18"/>
        <v>23000000</v>
      </c>
      <c r="G123" s="571"/>
      <c r="H123" s="376">
        <f t="shared" si="19"/>
        <v>23000000</v>
      </c>
      <c r="I123" s="376"/>
      <c r="J123" s="376"/>
      <c r="K123" s="376"/>
      <c r="L123" s="376"/>
      <c r="M123" s="376"/>
      <c r="N123" s="376">
        <v>2000000</v>
      </c>
      <c r="O123" s="577">
        <f t="shared" si="15"/>
        <v>25000000</v>
      </c>
      <c r="P123" s="577">
        <v>1852489</v>
      </c>
      <c r="Q123" s="577">
        <v>7517647</v>
      </c>
      <c r="R123" s="577">
        <v>5976782</v>
      </c>
      <c r="S123" s="615">
        <v>8983206</v>
      </c>
      <c r="T123" s="577">
        <f t="shared" si="16"/>
        <v>24330124</v>
      </c>
      <c r="U123" s="578">
        <f t="shared" si="17"/>
        <v>0.97320496</v>
      </c>
      <c r="V123" s="520"/>
      <c r="W123" s="509"/>
    </row>
    <row r="124" spans="1:23" s="521" customFormat="1" ht="14.25" customHeight="1" outlineLevel="2">
      <c r="A124" s="596" t="s">
        <v>142</v>
      </c>
      <c r="B124" s="577"/>
      <c r="C124" s="577">
        <f>+'[17]PRESUPUESTO TECNICA 2011-Final'!$E$40</f>
        <v>126035116</v>
      </c>
      <c r="D124" s="571"/>
      <c r="E124" s="571"/>
      <c r="F124" s="577">
        <f t="shared" si="18"/>
        <v>126035116</v>
      </c>
      <c r="G124" s="571"/>
      <c r="H124" s="376">
        <f t="shared" si="19"/>
        <v>126035116</v>
      </c>
      <c r="I124" s="376"/>
      <c r="J124" s="376"/>
      <c r="K124" s="376"/>
      <c r="L124" s="376">
        <v>-70000000</v>
      </c>
      <c r="M124" s="376"/>
      <c r="N124" s="376">
        <v>6725950</v>
      </c>
      <c r="O124" s="577">
        <f t="shared" si="15"/>
        <v>62761066</v>
      </c>
      <c r="P124" s="577">
        <v>4619950</v>
      </c>
      <c r="Q124" s="577">
        <v>11530250</v>
      </c>
      <c r="R124" s="577">
        <v>6849350</v>
      </c>
      <c r="S124" s="615">
        <v>19081805</v>
      </c>
      <c r="T124" s="577">
        <f t="shared" si="16"/>
        <v>42081355</v>
      </c>
      <c r="U124" s="578">
        <f t="shared" si="17"/>
        <v>0.6705009599422674</v>
      </c>
      <c r="V124" s="520"/>
      <c r="W124" s="509"/>
    </row>
    <row r="125" spans="1:23" s="521" customFormat="1" ht="14.25" customHeight="1" outlineLevel="2">
      <c r="A125" s="596" t="s">
        <v>143</v>
      </c>
      <c r="B125" s="577"/>
      <c r="C125" s="577">
        <f>+'[17]PRESUPUESTO TECNICA 2011-Final'!$E$46</f>
        <v>22080000</v>
      </c>
      <c r="D125" s="571"/>
      <c r="E125" s="571"/>
      <c r="F125" s="577">
        <f t="shared" si="18"/>
        <v>22080000</v>
      </c>
      <c r="G125" s="571"/>
      <c r="H125" s="376">
        <f t="shared" si="19"/>
        <v>22080000</v>
      </c>
      <c r="I125" s="376"/>
      <c r="J125" s="376"/>
      <c r="K125" s="376"/>
      <c r="L125" s="376"/>
      <c r="M125" s="376"/>
      <c r="N125" s="376">
        <v>-1775950</v>
      </c>
      <c r="O125" s="577">
        <f t="shared" si="15"/>
        <v>20304050</v>
      </c>
      <c r="P125" s="577">
        <v>3190431.2</v>
      </c>
      <c r="Q125" s="577">
        <v>3031228</v>
      </c>
      <c r="R125" s="577">
        <v>0</v>
      </c>
      <c r="S125" s="615">
        <v>8167788</v>
      </c>
      <c r="T125" s="577">
        <f t="shared" si="16"/>
        <v>14389447.2</v>
      </c>
      <c r="U125" s="578">
        <f t="shared" si="17"/>
        <v>0.7086983729847001</v>
      </c>
      <c r="V125" s="520"/>
      <c r="W125" s="509"/>
    </row>
    <row r="126" spans="1:23" s="521" customFormat="1" ht="14.25" customHeight="1" outlineLevel="2">
      <c r="A126" s="596" t="s">
        <v>144</v>
      </c>
      <c r="B126" s="577"/>
      <c r="C126" s="577">
        <f>+'[17]PRESUPUESTO TECNICA 2011-Final'!$E$47</f>
        <v>6000000</v>
      </c>
      <c r="D126" s="571"/>
      <c r="E126" s="571"/>
      <c r="F126" s="577">
        <f t="shared" si="18"/>
        <v>6000000</v>
      </c>
      <c r="G126" s="571"/>
      <c r="H126" s="376">
        <f t="shared" si="19"/>
        <v>6000000</v>
      </c>
      <c r="I126" s="376"/>
      <c r="J126" s="376"/>
      <c r="K126" s="376"/>
      <c r="L126" s="376"/>
      <c r="M126" s="376"/>
      <c r="N126" s="376">
        <v>-4000000</v>
      </c>
      <c r="O126" s="577">
        <f t="shared" si="15"/>
        <v>2000000</v>
      </c>
      <c r="P126" s="577">
        <v>0</v>
      </c>
      <c r="Q126" s="577">
        <v>0</v>
      </c>
      <c r="R126" s="577">
        <v>2000000</v>
      </c>
      <c r="S126" s="615">
        <v>0</v>
      </c>
      <c r="T126" s="577">
        <f t="shared" si="16"/>
        <v>2000000</v>
      </c>
      <c r="U126" s="578">
        <f t="shared" si="17"/>
        <v>1</v>
      </c>
      <c r="V126" s="520"/>
      <c r="W126" s="509"/>
    </row>
    <row r="127" spans="1:23" s="521" customFormat="1" ht="15" customHeight="1" outlineLevel="1">
      <c r="A127" s="603"/>
      <c r="B127" s="577"/>
      <c r="C127" s="577"/>
      <c r="D127" s="571"/>
      <c r="E127" s="571"/>
      <c r="F127" s="577"/>
      <c r="G127" s="571"/>
      <c r="H127" s="581"/>
      <c r="I127" s="581"/>
      <c r="J127" s="581"/>
      <c r="K127" s="581"/>
      <c r="L127" s="581"/>
      <c r="M127" s="581"/>
      <c r="N127" s="581"/>
      <c r="O127" s="577"/>
      <c r="P127" s="577"/>
      <c r="Q127" s="577"/>
      <c r="R127" s="577"/>
      <c r="S127" s="615"/>
      <c r="T127" s="577"/>
      <c r="U127" s="578"/>
      <c r="V127" s="520"/>
      <c r="W127" s="509"/>
    </row>
    <row r="128" spans="1:23" s="521" customFormat="1" ht="15">
      <c r="A128" s="586" t="s">
        <v>102</v>
      </c>
      <c r="B128" s="581"/>
      <c r="C128" s="581">
        <f>+C129+C130+C131</f>
        <v>108380000</v>
      </c>
      <c r="D128" s="571"/>
      <c r="E128" s="571"/>
      <c r="F128" s="581">
        <f>+F129+F130+F131</f>
        <v>108380000</v>
      </c>
      <c r="G128" s="571"/>
      <c r="H128" s="581">
        <f>+H129+H130+H131</f>
        <v>108380000</v>
      </c>
      <c r="I128" s="581">
        <f>+I129+I130+I131</f>
        <v>0</v>
      </c>
      <c r="J128" s="581">
        <f>+J129+J130+J131</f>
        <v>0</v>
      </c>
      <c r="K128" s="581">
        <f>+K129+K130+K131</f>
        <v>0</v>
      </c>
      <c r="L128" s="581">
        <f>+L129+L130+L131</f>
        <v>50000000</v>
      </c>
      <c r="M128" s="581"/>
      <c r="N128" s="581"/>
      <c r="O128" s="574">
        <f t="shared" si="15"/>
        <v>158380000</v>
      </c>
      <c r="P128" s="581">
        <f>+P129+P130+P131</f>
        <v>4513363</v>
      </c>
      <c r="Q128" s="581">
        <f>+Q129+Q130+Q131</f>
        <v>23376258</v>
      </c>
      <c r="R128" s="581">
        <f>+R129+R130+R131</f>
        <v>25911427</v>
      </c>
      <c r="S128" s="581">
        <f>+S129+S130+S131</f>
        <v>104415863</v>
      </c>
      <c r="T128" s="581">
        <f t="shared" si="16"/>
        <v>158216911</v>
      </c>
      <c r="U128" s="575">
        <f t="shared" si="17"/>
        <v>0.9989702677105695</v>
      </c>
      <c r="V128" s="520"/>
      <c r="W128" s="509"/>
    </row>
    <row r="129" spans="1:23" s="521" customFormat="1" ht="15" customHeight="1" outlineLevel="1">
      <c r="A129" s="596" t="s">
        <v>185</v>
      </c>
      <c r="B129" s="581"/>
      <c r="C129" s="577">
        <f>+'[17]PRESUPUESTO TECNICA 2011-Final'!$E$49</f>
        <v>42900000</v>
      </c>
      <c r="D129" s="571"/>
      <c r="E129" s="571"/>
      <c r="F129" s="376">
        <f t="shared" si="18"/>
        <v>42900000</v>
      </c>
      <c r="G129" s="571"/>
      <c r="H129" s="376">
        <f t="shared" si="19"/>
        <v>42900000</v>
      </c>
      <c r="I129" s="376"/>
      <c r="J129" s="376"/>
      <c r="K129" s="376"/>
      <c r="L129" s="376"/>
      <c r="M129" s="376"/>
      <c r="N129" s="376">
        <v>5325685</v>
      </c>
      <c r="O129" s="577">
        <f t="shared" si="15"/>
        <v>48225685</v>
      </c>
      <c r="P129" s="376"/>
      <c r="Q129" s="577">
        <v>0</v>
      </c>
      <c r="R129" s="577">
        <v>6195675</v>
      </c>
      <c r="S129" s="615">
        <v>42030010</v>
      </c>
      <c r="T129" s="577">
        <f t="shared" si="16"/>
        <v>48225685</v>
      </c>
      <c r="U129" s="578">
        <f t="shared" si="17"/>
        <v>1</v>
      </c>
      <c r="V129" s="520"/>
      <c r="W129" s="509"/>
    </row>
    <row r="130" spans="1:23" s="521" customFormat="1" ht="15" customHeight="1" outlineLevel="1">
      <c r="A130" s="596" t="s">
        <v>186</v>
      </c>
      <c r="B130" s="581"/>
      <c r="C130" s="577">
        <f>+'[17]PRESUPUESTO TECNICA 2011-Final'!$E$55</f>
        <v>42300000</v>
      </c>
      <c r="D130" s="577"/>
      <c r="E130" s="571"/>
      <c r="F130" s="376">
        <f t="shared" si="18"/>
        <v>42300000</v>
      </c>
      <c r="G130" s="571"/>
      <c r="H130" s="376">
        <f t="shared" si="19"/>
        <v>42300000</v>
      </c>
      <c r="I130" s="376"/>
      <c r="J130" s="376"/>
      <c r="K130" s="376"/>
      <c r="L130" s="376"/>
      <c r="M130" s="376"/>
      <c r="N130" s="376">
        <v>-7979561</v>
      </c>
      <c r="O130" s="577">
        <f t="shared" si="15"/>
        <v>34320439</v>
      </c>
      <c r="P130" s="376"/>
      <c r="Q130" s="577">
        <v>11376458</v>
      </c>
      <c r="R130" s="577">
        <v>13945984</v>
      </c>
      <c r="S130" s="615">
        <v>8997997</v>
      </c>
      <c r="T130" s="577">
        <f t="shared" si="16"/>
        <v>34320439</v>
      </c>
      <c r="U130" s="578">
        <f t="shared" si="17"/>
        <v>1</v>
      </c>
      <c r="V130" s="520"/>
      <c r="W130" s="509"/>
    </row>
    <row r="131" spans="1:23" s="521" customFormat="1" ht="15" customHeight="1" outlineLevel="1">
      <c r="A131" s="596" t="s">
        <v>390</v>
      </c>
      <c r="B131" s="581"/>
      <c r="C131" s="577">
        <f>+'[17]PRESUPUESTO TECNICA 2011-Final'!$E$59</f>
        <v>23180000</v>
      </c>
      <c r="D131" s="577"/>
      <c r="E131" s="571"/>
      <c r="F131" s="376">
        <f t="shared" si="18"/>
        <v>23180000</v>
      </c>
      <c r="G131" s="571"/>
      <c r="H131" s="376">
        <f t="shared" si="19"/>
        <v>23180000</v>
      </c>
      <c r="I131" s="376"/>
      <c r="J131" s="376"/>
      <c r="K131" s="376"/>
      <c r="L131" s="376">
        <v>50000000</v>
      </c>
      <c r="M131" s="376"/>
      <c r="N131" s="376">
        <v>2653876</v>
      </c>
      <c r="O131" s="577">
        <f t="shared" si="15"/>
        <v>75833876</v>
      </c>
      <c r="P131" s="376">
        <v>4513363</v>
      </c>
      <c r="Q131" s="577">
        <v>11999800</v>
      </c>
      <c r="R131" s="577">
        <v>5769768</v>
      </c>
      <c r="S131" s="615">
        <v>53387856</v>
      </c>
      <c r="T131" s="577">
        <f t="shared" si="16"/>
        <v>75670787</v>
      </c>
      <c r="U131" s="578">
        <f t="shared" si="17"/>
        <v>0.9978493912140268</v>
      </c>
      <c r="V131" s="520"/>
      <c r="W131" s="509"/>
    </row>
    <row r="132" spans="1:23" s="521" customFormat="1" ht="15">
      <c r="A132" s="586" t="s">
        <v>103</v>
      </c>
      <c r="B132" s="376"/>
      <c r="C132" s="574">
        <f>+C133+C134</f>
        <v>335820000</v>
      </c>
      <c r="D132" s="595"/>
      <c r="E132" s="595"/>
      <c r="F132" s="574">
        <f>+F133+F134</f>
        <v>335820000</v>
      </c>
      <c r="G132" s="595"/>
      <c r="H132" s="581">
        <f>+H133+H134</f>
        <v>335820000</v>
      </c>
      <c r="I132" s="574">
        <f>+I133+I134</f>
        <v>0</v>
      </c>
      <c r="J132" s="574">
        <f>+J133+J134</f>
        <v>0</v>
      </c>
      <c r="K132" s="574">
        <f>+K133+K134</f>
        <v>0</v>
      </c>
      <c r="L132" s="574"/>
      <c r="M132" s="574"/>
      <c r="N132" s="574"/>
      <c r="O132" s="574">
        <f t="shared" si="15"/>
        <v>335820000</v>
      </c>
      <c r="P132" s="574">
        <f>+P133+P134</f>
        <v>56280906</v>
      </c>
      <c r="Q132" s="574">
        <f>+Q133+Q134</f>
        <v>83746574</v>
      </c>
      <c r="R132" s="574">
        <f>+R133+R134</f>
        <v>86089532</v>
      </c>
      <c r="S132" s="574">
        <f>+S133+S134</f>
        <v>108591894</v>
      </c>
      <c r="T132" s="574">
        <f t="shared" si="16"/>
        <v>334708906</v>
      </c>
      <c r="U132" s="575">
        <f t="shared" si="17"/>
        <v>0.9966914001548448</v>
      </c>
      <c r="V132" s="520"/>
      <c r="W132" s="509"/>
    </row>
    <row r="133" spans="1:23" s="521" customFormat="1" ht="15" customHeight="1" outlineLevel="1">
      <c r="A133" s="596" t="s">
        <v>147</v>
      </c>
      <c r="B133" s="581"/>
      <c r="C133" s="376">
        <f>+'[17]PRESUPUESTO TECNICA 2011-Final'!$E$63</f>
        <v>161320000</v>
      </c>
      <c r="D133" s="577"/>
      <c r="E133" s="571"/>
      <c r="F133" s="376">
        <f t="shared" si="18"/>
        <v>161320000</v>
      </c>
      <c r="G133" s="571"/>
      <c r="H133" s="376">
        <f t="shared" si="19"/>
        <v>161320000</v>
      </c>
      <c r="I133" s="376"/>
      <c r="J133" s="376"/>
      <c r="K133" s="376"/>
      <c r="L133" s="376"/>
      <c r="M133" s="376"/>
      <c r="N133" s="376">
        <v>-15202664</v>
      </c>
      <c r="O133" s="577">
        <f t="shared" si="15"/>
        <v>146117336</v>
      </c>
      <c r="P133" s="376">
        <v>23142478</v>
      </c>
      <c r="Q133" s="376">
        <v>44303186</v>
      </c>
      <c r="R133" s="376">
        <f>+'[4]TEC JUL-SEP-11'!$G$272</f>
        <v>39201336</v>
      </c>
      <c r="S133" s="617">
        <f>+'[4]TEC OCT-DIC'!$G$329</f>
        <v>39469486</v>
      </c>
      <c r="T133" s="376">
        <f t="shared" si="16"/>
        <v>146116486</v>
      </c>
      <c r="U133" s="578">
        <f t="shared" si="17"/>
        <v>0.9999941827573423</v>
      </c>
      <c r="V133" s="520"/>
      <c r="W133" s="509"/>
    </row>
    <row r="134" spans="1:23" s="521" customFormat="1" ht="15" customHeight="1" outlineLevel="1">
      <c r="A134" s="596" t="s">
        <v>391</v>
      </c>
      <c r="B134" s="581"/>
      <c r="C134" s="376">
        <f>+'[17]PRESUPUESTO TECNICA 2011-Final'!$E$73</f>
        <v>174500000</v>
      </c>
      <c r="D134" s="577"/>
      <c r="E134" s="571"/>
      <c r="F134" s="376">
        <f t="shared" si="18"/>
        <v>174500000</v>
      </c>
      <c r="G134" s="571"/>
      <c r="H134" s="376">
        <f t="shared" si="19"/>
        <v>174500000</v>
      </c>
      <c r="I134" s="376"/>
      <c r="J134" s="376"/>
      <c r="K134" s="376"/>
      <c r="L134" s="376"/>
      <c r="M134" s="376"/>
      <c r="N134" s="376">
        <v>15202664</v>
      </c>
      <c r="O134" s="577">
        <f t="shared" si="15"/>
        <v>189702664</v>
      </c>
      <c r="P134" s="376">
        <v>33138428</v>
      </c>
      <c r="Q134" s="376">
        <v>39443388</v>
      </c>
      <c r="R134" s="376">
        <f>+'[4]TEC JUL-SEP-11'!$G$313</f>
        <v>46888196</v>
      </c>
      <c r="S134" s="617">
        <f>+'[4]TEC OCT-DIC'!$G$370</f>
        <v>69122408</v>
      </c>
      <c r="T134" s="376">
        <f t="shared" si="16"/>
        <v>188592420</v>
      </c>
      <c r="U134" s="578">
        <f t="shared" si="17"/>
        <v>0.9941474517194973</v>
      </c>
      <c r="V134" s="520"/>
      <c r="W134" s="509"/>
    </row>
    <row r="135" spans="1:23" s="521" customFormat="1" ht="15">
      <c r="A135" s="596"/>
      <c r="B135" s="581"/>
      <c r="C135" s="577"/>
      <c r="D135" s="571"/>
      <c r="E135" s="577"/>
      <c r="F135" s="581"/>
      <c r="G135" s="571"/>
      <c r="H135" s="581"/>
      <c r="I135" s="581"/>
      <c r="J135" s="581"/>
      <c r="K135" s="581"/>
      <c r="L135" s="581"/>
      <c r="M135" s="581"/>
      <c r="N135" s="581"/>
      <c r="O135" s="581"/>
      <c r="P135" s="581"/>
      <c r="Q135" s="577"/>
      <c r="R135" s="577"/>
      <c r="S135" s="615"/>
      <c r="T135" s="577"/>
      <c r="U135" s="575"/>
      <c r="V135" s="520"/>
      <c r="W135" s="509"/>
    </row>
    <row r="136" spans="1:23" ht="15">
      <c r="A136" s="570" t="s">
        <v>158</v>
      </c>
      <c r="B136" s="571"/>
      <c r="C136" s="581"/>
      <c r="D136" s="581">
        <f>+D137+D142+D150+D155+D157</f>
        <v>4625165946.33424</v>
      </c>
      <c r="E136" s="584"/>
      <c r="F136" s="574">
        <f t="shared" si="18"/>
        <v>4625165946.33424</v>
      </c>
      <c r="G136" s="584"/>
      <c r="H136" s="574">
        <f t="shared" si="19"/>
        <v>4625165946.33424</v>
      </c>
      <c r="I136" s="581">
        <f>+I137+I142+I150+I155+I157</f>
        <v>0</v>
      </c>
      <c r="J136" s="581">
        <f>+J137+J142+J150+J155+J157</f>
        <v>0</v>
      </c>
      <c r="K136" s="581">
        <f>+K137+K142+K150+K155+K157</f>
        <v>5600000</v>
      </c>
      <c r="L136" s="581">
        <f>+L137+L142+L150+L155+L157</f>
        <v>-258677677</v>
      </c>
      <c r="M136" s="581">
        <f>+M137+M142+M150+M155+M157</f>
        <v>270000000</v>
      </c>
      <c r="N136" s="581"/>
      <c r="O136" s="574">
        <f t="shared" si="15"/>
        <v>4642088269.33424</v>
      </c>
      <c r="P136" s="581">
        <f>+P137+P142+P150+P155+P157</f>
        <v>971703359.1700001</v>
      </c>
      <c r="Q136" s="581">
        <f>+Q137+Q142+Q150+Q155+Q157</f>
        <v>1048755268.05</v>
      </c>
      <c r="R136" s="581">
        <f>+R137+R142+R150+R155+R157</f>
        <v>1143472611</v>
      </c>
      <c r="S136" s="581">
        <f>+S137+S142+S150+S155+S157</f>
        <v>1342463740.6799998</v>
      </c>
      <c r="T136" s="581">
        <f t="shared" si="16"/>
        <v>4506394978.9</v>
      </c>
      <c r="U136" s="575">
        <f t="shared" si="17"/>
        <v>0.9707689120582575</v>
      </c>
      <c r="V136" s="518"/>
      <c r="W136" s="509"/>
    </row>
    <row r="137" spans="1:23" s="521" customFormat="1" ht="15">
      <c r="A137" s="580" t="s">
        <v>159</v>
      </c>
      <c r="B137" s="584"/>
      <c r="C137" s="577"/>
      <c r="D137" s="574">
        <f>+D138+D139+D140+D141</f>
        <v>2626640348.00064</v>
      </c>
      <c r="E137" s="571"/>
      <c r="F137" s="574">
        <f>+F138+F139+F140+F141</f>
        <v>2626640348.00064</v>
      </c>
      <c r="G137" s="571"/>
      <c r="H137" s="574">
        <f aca="true" t="shared" si="21" ref="H137:N137">+H138+H139+H140+H141</f>
        <v>2626640348.00064</v>
      </c>
      <c r="I137" s="574">
        <f t="shared" si="21"/>
        <v>0</v>
      </c>
      <c r="J137" s="574">
        <f t="shared" si="21"/>
        <v>0</v>
      </c>
      <c r="K137" s="574">
        <f t="shared" si="21"/>
        <v>-218000000</v>
      </c>
      <c r="L137" s="574">
        <f t="shared" si="21"/>
        <v>-152020122</v>
      </c>
      <c r="M137" s="574">
        <f t="shared" si="21"/>
        <v>270000000</v>
      </c>
      <c r="N137" s="574">
        <f t="shared" si="21"/>
        <v>0</v>
      </c>
      <c r="O137" s="574">
        <f t="shared" si="15"/>
        <v>2526620226.00064</v>
      </c>
      <c r="P137" s="574">
        <f>+P138+P139+P140+P141</f>
        <v>469367518.42</v>
      </c>
      <c r="Q137" s="574">
        <f>+Q138+Q139+Q140+Q141</f>
        <v>584363667.8</v>
      </c>
      <c r="R137" s="574">
        <f>+R138+R139+R140+R141</f>
        <v>650855377</v>
      </c>
      <c r="S137" s="574">
        <f>+S138+S139+S140+S141</f>
        <v>784687978.68</v>
      </c>
      <c r="T137" s="574">
        <f t="shared" si="16"/>
        <v>2489274541.9</v>
      </c>
      <c r="U137" s="575">
        <f t="shared" si="17"/>
        <v>0.9852191145640617</v>
      </c>
      <c r="V137" s="520"/>
      <c r="W137" s="509"/>
    </row>
    <row r="138" spans="1:23" s="521" customFormat="1" ht="15" customHeight="1" outlineLevel="1">
      <c r="A138" s="596" t="s">
        <v>392</v>
      </c>
      <c r="B138" s="584"/>
      <c r="C138" s="577"/>
      <c r="D138" s="376">
        <f>+'[18]justificacion formulada'!$D$31</f>
        <v>1456755237.58464</v>
      </c>
      <c r="E138" s="571"/>
      <c r="F138" s="376">
        <f t="shared" si="18"/>
        <v>1456755237.58464</v>
      </c>
      <c r="G138" s="571"/>
      <c r="H138" s="376">
        <f t="shared" si="19"/>
        <v>1456755237.58464</v>
      </c>
      <c r="I138" s="376"/>
      <c r="J138" s="376"/>
      <c r="K138" s="376"/>
      <c r="L138" s="376">
        <v>-103940213</v>
      </c>
      <c r="M138" s="376">
        <v>270000000</v>
      </c>
      <c r="N138" s="376">
        <v>-45494886</v>
      </c>
      <c r="O138" s="376">
        <f aca="true" t="shared" si="22" ref="O138:O172">+H138+I138+J138+K138+L138+M138+N138</f>
        <v>1577320138.58464</v>
      </c>
      <c r="P138" s="376">
        <v>232342487.42000002</v>
      </c>
      <c r="Q138" s="376">
        <v>354507436.8</v>
      </c>
      <c r="R138" s="376">
        <v>422270900</v>
      </c>
      <c r="S138" s="617">
        <v>530863202</v>
      </c>
      <c r="T138" s="376">
        <f aca="true" t="shared" si="23" ref="T138:T172">+P138+Q138+R138+S138</f>
        <v>1539984026.22</v>
      </c>
      <c r="U138" s="578">
        <f aca="true" t="shared" si="24" ref="U138:U170">+T138/O138</f>
        <v>0.9763294010826855</v>
      </c>
      <c r="V138" s="520"/>
      <c r="W138" s="509"/>
    </row>
    <row r="139" spans="1:23" s="521" customFormat="1" ht="15" customHeight="1" outlineLevel="1">
      <c r="A139" s="596" t="s">
        <v>161</v>
      </c>
      <c r="B139" s="584"/>
      <c r="C139" s="577"/>
      <c r="D139" s="376">
        <f>+'[18]justificacion formulada'!$D$35</f>
        <v>90875000</v>
      </c>
      <c r="E139" s="571"/>
      <c r="F139" s="376">
        <f t="shared" si="18"/>
        <v>90875000</v>
      </c>
      <c r="G139" s="571"/>
      <c r="H139" s="376">
        <f t="shared" si="19"/>
        <v>90875000</v>
      </c>
      <c r="I139" s="376"/>
      <c r="J139" s="376"/>
      <c r="K139" s="376"/>
      <c r="L139" s="376"/>
      <c r="M139" s="376"/>
      <c r="N139" s="376"/>
      <c r="O139" s="376">
        <f t="shared" si="22"/>
        <v>90875000</v>
      </c>
      <c r="P139" s="376">
        <v>53428741</v>
      </c>
      <c r="Q139" s="376">
        <v>18511332</v>
      </c>
      <c r="R139" s="376">
        <v>11981008</v>
      </c>
      <c r="S139" s="617">
        <v>6944766.68</v>
      </c>
      <c r="T139" s="376">
        <f t="shared" si="23"/>
        <v>90865847.68</v>
      </c>
      <c r="U139" s="578">
        <f t="shared" si="24"/>
        <v>0.9998992867125173</v>
      </c>
      <c r="V139" s="520"/>
      <c r="W139" s="509"/>
    </row>
    <row r="140" spans="1:23" s="521" customFormat="1" ht="15" customHeight="1" outlineLevel="1">
      <c r="A140" s="596" t="s">
        <v>162</v>
      </c>
      <c r="B140" s="584"/>
      <c r="C140" s="577"/>
      <c r="D140" s="376">
        <f>+'[18]justificacion formulada'!$D$45</f>
        <v>717284324.7360001</v>
      </c>
      <c r="E140" s="571"/>
      <c r="F140" s="376">
        <f t="shared" si="18"/>
        <v>717284324.7360001</v>
      </c>
      <c r="G140" s="571"/>
      <c r="H140" s="376">
        <f t="shared" si="19"/>
        <v>717284324.7360001</v>
      </c>
      <c r="I140" s="376"/>
      <c r="J140" s="376"/>
      <c r="K140" s="376">
        <v>-20000000</v>
      </c>
      <c r="L140" s="376">
        <v>-48079909</v>
      </c>
      <c r="M140" s="376"/>
      <c r="N140" s="376">
        <v>2049609</v>
      </c>
      <c r="O140" s="376">
        <f t="shared" si="22"/>
        <v>651254024.7360001</v>
      </c>
      <c r="P140" s="376">
        <v>160516549</v>
      </c>
      <c r="Q140" s="376">
        <v>161687867</v>
      </c>
      <c r="R140" s="376">
        <v>164458149</v>
      </c>
      <c r="S140" s="617">
        <v>164591040</v>
      </c>
      <c r="T140" s="376">
        <f t="shared" si="23"/>
        <v>651253605</v>
      </c>
      <c r="U140" s="578">
        <f t="shared" si="24"/>
        <v>0.9999993554957296</v>
      </c>
      <c r="V140" s="520"/>
      <c r="W140" s="509"/>
    </row>
    <row r="141" spans="1:23" s="521" customFormat="1" ht="15" customHeight="1" outlineLevel="1">
      <c r="A141" s="596" t="s">
        <v>163</v>
      </c>
      <c r="B141" s="584"/>
      <c r="C141" s="577"/>
      <c r="D141" s="376">
        <f>+'[18]justificacion formulada'!$D$50</f>
        <v>361725785.68</v>
      </c>
      <c r="E141" s="571"/>
      <c r="F141" s="376">
        <f t="shared" si="18"/>
        <v>361725785.68</v>
      </c>
      <c r="G141" s="571"/>
      <c r="H141" s="376">
        <f t="shared" si="19"/>
        <v>361725785.68</v>
      </c>
      <c r="I141" s="376"/>
      <c r="J141" s="376"/>
      <c r="K141" s="376">
        <v>-198000000</v>
      </c>
      <c r="L141" s="376"/>
      <c r="M141" s="376"/>
      <c r="N141" s="376">
        <v>43445277</v>
      </c>
      <c r="O141" s="376">
        <f t="shared" si="22"/>
        <v>207171062.68</v>
      </c>
      <c r="P141" s="376">
        <v>23079741</v>
      </c>
      <c r="Q141" s="376">
        <v>49657032</v>
      </c>
      <c r="R141" s="376">
        <v>52145320</v>
      </c>
      <c r="S141" s="617">
        <v>82288970</v>
      </c>
      <c r="T141" s="376">
        <f t="shared" si="23"/>
        <v>207171063</v>
      </c>
      <c r="U141" s="578">
        <f t="shared" si="24"/>
        <v>1.0000000015446173</v>
      </c>
      <c r="V141" s="520"/>
      <c r="W141" s="509"/>
    </row>
    <row r="142" spans="1:23" s="521" customFormat="1" ht="15">
      <c r="A142" s="580" t="s">
        <v>164</v>
      </c>
      <c r="B142" s="584"/>
      <c r="C142" s="577"/>
      <c r="D142" s="574">
        <f>+D143+D147</f>
        <v>283325000</v>
      </c>
      <c r="E142" s="571"/>
      <c r="F142" s="574">
        <f>+F143+F147</f>
        <v>283325000</v>
      </c>
      <c r="G142" s="571"/>
      <c r="H142" s="574">
        <f>+H143+H147</f>
        <v>283325000</v>
      </c>
      <c r="I142" s="574">
        <f>+I143+I147</f>
        <v>0</v>
      </c>
      <c r="J142" s="574">
        <f>+J143+J147</f>
        <v>0</v>
      </c>
      <c r="K142" s="574">
        <f>+K143+K147</f>
        <v>0</v>
      </c>
      <c r="L142" s="574"/>
      <c r="M142" s="574"/>
      <c r="N142" s="574"/>
      <c r="O142" s="574">
        <f t="shared" si="22"/>
        <v>283325000</v>
      </c>
      <c r="P142" s="574">
        <f>+P143+P147</f>
        <v>86085623</v>
      </c>
      <c r="Q142" s="574">
        <f>+Q143+Q147</f>
        <v>34601688</v>
      </c>
      <c r="R142" s="574">
        <f>+R143+R147</f>
        <v>95282598</v>
      </c>
      <c r="S142" s="574">
        <f>+S143+S147</f>
        <v>50924205</v>
      </c>
      <c r="T142" s="574">
        <f t="shared" si="23"/>
        <v>266894114</v>
      </c>
      <c r="U142" s="575">
        <f t="shared" si="24"/>
        <v>0.9420069319685873</v>
      </c>
      <c r="V142" s="520"/>
      <c r="W142" s="509"/>
    </row>
    <row r="143" spans="1:23" s="521" customFormat="1" ht="15" customHeight="1" outlineLevel="1">
      <c r="A143" s="580" t="s">
        <v>165</v>
      </c>
      <c r="B143" s="584"/>
      <c r="C143" s="577"/>
      <c r="D143" s="574">
        <f>+D145+D146+D144</f>
        <v>212161670</v>
      </c>
      <c r="E143" s="571"/>
      <c r="F143" s="574">
        <f>+E143+D143</f>
        <v>212161670</v>
      </c>
      <c r="G143" s="571"/>
      <c r="H143" s="574">
        <f>+G143+F143</f>
        <v>212161670</v>
      </c>
      <c r="I143" s="574">
        <f>+I145+I146+I144</f>
        <v>0</v>
      </c>
      <c r="J143" s="574">
        <f>+J145+J146+J144</f>
        <v>0</v>
      </c>
      <c r="K143" s="574">
        <f>+K145+K146+K144</f>
        <v>0</v>
      </c>
      <c r="L143" s="574"/>
      <c r="M143" s="574"/>
      <c r="N143" s="574"/>
      <c r="O143" s="574">
        <f t="shared" si="22"/>
        <v>212161670</v>
      </c>
      <c r="P143" s="574">
        <f>+P145+P146+P144</f>
        <v>68393129</v>
      </c>
      <c r="Q143" s="574">
        <f>+Q145+Q146+Q144</f>
        <v>17557962</v>
      </c>
      <c r="R143" s="574">
        <f>+R145+R146+R144</f>
        <v>70882978</v>
      </c>
      <c r="S143" s="574">
        <f>+S145+S146+S144</f>
        <v>44396715</v>
      </c>
      <c r="T143" s="574">
        <f t="shared" si="23"/>
        <v>201230784</v>
      </c>
      <c r="U143" s="575">
        <f t="shared" si="24"/>
        <v>0.948478506980078</v>
      </c>
      <c r="V143" s="520"/>
      <c r="W143" s="509"/>
    </row>
    <row r="144" spans="1:23" s="521" customFormat="1" ht="15" customHeight="1" outlineLevel="2">
      <c r="A144" s="596" t="s">
        <v>191</v>
      </c>
      <c r="B144" s="584"/>
      <c r="C144" s="577"/>
      <c r="D144" s="376">
        <f>22313000+1483689-203330</f>
        <v>23593359</v>
      </c>
      <c r="E144" s="571"/>
      <c r="F144" s="376">
        <f>+B144+C144+D144+E144</f>
        <v>23593359</v>
      </c>
      <c r="G144" s="597"/>
      <c r="H144" s="376">
        <f>+G144+F144</f>
        <v>23593359</v>
      </c>
      <c r="I144" s="376"/>
      <c r="J144" s="376"/>
      <c r="K144" s="376"/>
      <c r="L144" s="376"/>
      <c r="M144" s="376"/>
      <c r="N144" s="376"/>
      <c r="O144" s="376">
        <f t="shared" si="22"/>
        <v>23593359</v>
      </c>
      <c r="P144" s="376">
        <v>23593359</v>
      </c>
      <c r="Q144" s="376">
        <v>0</v>
      </c>
      <c r="R144" s="376">
        <v>0</v>
      </c>
      <c r="S144" s="617">
        <v>0</v>
      </c>
      <c r="T144" s="376">
        <f t="shared" si="23"/>
        <v>23593359</v>
      </c>
      <c r="U144" s="578">
        <f t="shared" si="24"/>
        <v>1</v>
      </c>
      <c r="V144" s="520"/>
      <c r="W144" s="509"/>
    </row>
    <row r="145" spans="1:23" s="521" customFormat="1" ht="15" customHeight="1" outlineLevel="2">
      <c r="A145" s="596" t="s">
        <v>173</v>
      </c>
      <c r="B145" s="584"/>
      <c r="C145" s="577"/>
      <c r="D145" s="376">
        <f>142052000-2500000</f>
        <v>139552000</v>
      </c>
      <c r="E145" s="571"/>
      <c r="F145" s="376">
        <f>+E145+D145+C145+B145</f>
        <v>139552000</v>
      </c>
      <c r="G145" s="571"/>
      <c r="H145" s="376">
        <f t="shared" si="19"/>
        <v>139552000</v>
      </c>
      <c r="I145" s="376"/>
      <c r="J145" s="376"/>
      <c r="K145" s="376"/>
      <c r="L145" s="376"/>
      <c r="M145" s="376"/>
      <c r="N145" s="376"/>
      <c r="O145" s="376">
        <f t="shared" si="22"/>
        <v>139552000</v>
      </c>
      <c r="P145" s="376">
        <v>29785267</v>
      </c>
      <c r="Q145" s="376">
        <v>17557962</v>
      </c>
      <c r="R145" s="376">
        <v>61351833</v>
      </c>
      <c r="S145" s="617">
        <v>14775272</v>
      </c>
      <c r="T145" s="376">
        <f t="shared" si="23"/>
        <v>123470334</v>
      </c>
      <c r="U145" s="578">
        <f t="shared" si="24"/>
        <v>0.884762196170603</v>
      </c>
      <c r="V145" s="520"/>
      <c r="W145" s="509"/>
    </row>
    <row r="146" spans="1:23" s="521" customFormat="1" ht="15" customHeight="1" outlineLevel="2">
      <c r="A146" s="596" t="s">
        <v>174</v>
      </c>
      <c r="B146" s="584"/>
      <c r="C146" s="577"/>
      <c r="D146" s="376">
        <f>48000000+2500000-1483689</f>
        <v>49016311</v>
      </c>
      <c r="E146" s="571"/>
      <c r="F146" s="376">
        <f t="shared" si="18"/>
        <v>49016311</v>
      </c>
      <c r="G146" s="571"/>
      <c r="H146" s="376">
        <f t="shared" si="19"/>
        <v>49016311</v>
      </c>
      <c r="I146" s="376"/>
      <c r="J146" s="376"/>
      <c r="K146" s="376"/>
      <c r="L146" s="376"/>
      <c r="M146" s="376"/>
      <c r="N146" s="376">
        <v>5500000</v>
      </c>
      <c r="O146" s="376">
        <f t="shared" si="22"/>
        <v>54516311</v>
      </c>
      <c r="P146" s="376">
        <v>15014503</v>
      </c>
      <c r="Q146" s="376">
        <v>0</v>
      </c>
      <c r="R146" s="376">
        <v>9531145</v>
      </c>
      <c r="S146" s="617">
        <v>29621443</v>
      </c>
      <c r="T146" s="376">
        <f t="shared" si="23"/>
        <v>54167091</v>
      </c>
      <c r="U146" s="578">
        <f t="shared" si="24"/>
        <v>0.9935942107308031</v>
      </c>
      <c r="V146" s="520"/>
      <c r="W146" s="509"/>
    </row>
    <row r="147" spans="1:23" s="521" customFormat="1" ht="15" customHeight="1" outlineLevel="1">
      <c r="A147" s="580" t="s">
        <v>175</v>
      </c>
      <c r="B147" s="584"/>
      <c r="C147" s="577"/>
      <c r="D147" s="574">
        <f>+D148</f>
        <v>71163330</v>
      </c>
      <c r="E147" s="571"/>
      <c r="F147" s="574">
        <f>+F148</f>
        <v>71163330</v>
      </c>
      <c r="G147" s="571"/>
      <c r="H147" s="574">
        <f aca="true" t="shared" si="25" ref="H147:N147">+H148</f>
        <v>71163330</v>
      </c>
      <c r="I147" s="574">
        <f t="shared" si="25"/>
        <v>0</v>
      </c>
      <c r="J147" s="574">
        <f t="shared" si="25"/>
        <v>0</v>
      </c>
      <c r="K147" s="574">
        <f t="shared" si="25"/>
        <v>0</v>
      </c>
      <c r="L147" s="574">
        <f t="shared" si="25"/>
        <v>0</v>
      </c>
      <c r="M147" s="574">
        <f t="shared" si="25"/>
        <v>0</v>
      </c>
      <c r="N147" s="574">
        <f t="shared" si="25"/>
        <v>-5500000</v>
      </c>
      <c r="O147" s="574">
        <f t="shared" si="22"/>
        <v>65663330</v>
      </c>
      <c r="P147" s="574">
        <f>+P148</f>
        <v>17692494</v>
      </c>
      <c r="Q147" s="574">
        <f>+Q148</f>
        <v>17043726</v>
      </c>
      <c r="R147" s="574">
        <f>+R148</f>
        <v>24399620</v>
      </c>
      <c r="S147" s="574">
        <f>+S148</f>
        <v>6527490</v>
      </c>
      <c r="T147" s="574">
        <f t="shared" si="23"/>
        <v>65663330</v>
      </c>
      <c r="U147" s="575">
        <f t="shared" si="24"/>
        <v>1</v>
      </c>
      <c r="V147" s="520"/>
      <c r="W147" s="509"/>
    </row>
    <row r="148" spans="1:23" s="521" customFormat="1" ht="15" customHeight="1" outlineLevel="2">
      <c r="A148" s="596" t="s">
        <v>176</v>
      </c>
      <c r="B148" s="584"/>
      <c r="C148" s="577"/>
      <c r="D148" s="376">
        <f>70960000+203330</f>
        <v>71163330</v>
      </c>
      <c r="E148" s="571"/>
      <c r="F148" s="376">
        <f t="shared" si="18"/>
        <v>71163330</v>
      </c>
      <c r="G148" s="571"/>
      <c r="H148" s="376">
        <f t="shared" si="19"/>
        <v>71163330</v>
      </c>
      <c r="I148" s="376"/>
      <c r="J148" s="376"/>
      <c r="K148" s="376"/>
      <c r="L148" s="376"/>
      <c r="M148" s="376"/>
      <c r="N148" s="376">
        <v>-5500000</v>
      </c>
      <c r="O148" s="376">
        <f t="shared" si="22"/>
        <v>65663330</v>
      </c>
      <c r="P148" s="376">
        <v>17692494</v>
      </c>
      <c r="Q148" s="376">
        <v>17043726</v>
      </c>
      <c r="R148" s="376">
        <v>24399620</v>
      </c>
      <c r="S148" s="617">
        <v>6527490</v>
      </c>
      <c r="T148" s="376">
        <f t="shared" si="23"/>
        <v>65663330</v>
      </c>
      <c r="U148" s="578">
        <f t="shared" si="24"/>
        <v>1</v>
      </c>
      <c r="V148" s="520"/>
      <c r="W148" s="509"/>
    </row>
    <row r="149" spans="1:23" s="521" customFormat="1" ht="15" customHeight="1" outlineLevel="1">
      <c r="A149" s="596"/>
      <c r="B149" s="584"/>
      <c r="C149" s="577"/>
      <c r="D149" s="376"/>
      <c r="E149" s="571"/>
      <c r="F149" s="376"/>
      <c r="G149" s="571"/>
      <c r="H149" s="376"/>
      <c r="I149" s="376"/>
      <c r="J149" s="376"/>
      <c r="K149" s="376"/>
      <c r="L149" s="376"/>
      <c r="M149" s="376"/>
      <c r="N149" s="376"/>
      <c r="O149" s="376">
        <f t="shared" si="22"/>
        <v>0</v>
      </c>
      <c r="P149" s="376"/>
      <c r="Q149" s="376"/>
      <c r="R149" s="376"/>
      <c r="S149" s="617"/>
      <c r="T149" s="376"/>
      <c r="U149" s="575"/>
      <c r="V149" s="520"/>
      <c r="W149" s="509"/>
    </row>
    <row r="150" spans="1:23" s="521" customFormat="1" ht="15">
      <c r="A150" s="580" t="s">
        <v>166</v>
      </c>
      <c r="B150" s="584"/>
      <c r="C150" s="577"/>
      <c r="D150" s="574">
        <f>+D151+D152+D153+D154</f>
        <v>140000000</v>
      </c>
      <c r="E150" s="577"/>
      <c r="F150" s="574">
        <f>+F151+F152+F153+F154</f>
        <v>140000000</v>
      </c>
      <c r="G150" s="571"/>
      <c r="H150" s="574">
        <f>+H151+H152+H153+H154</f>
        <v>140000000</v>
      </c>
      <c r="I150" s="574">
        <f>+I151+I152+I153+I154</f>
        <v>0</v>
      </c>
      <c r="J150" s="574">
        <f>+J151+J152+J153+J154</f>
        <v>0</v>
      </c>
      <c r="K150" s="574">
        <f>+K151+K152+K153+K154</f>
        <v>92000000</v>
      </c>
      <c r="L150" s="574">
        <f>+L151+L152+L153+L154</f>
        <v>-36700000</v>
      </c>
      <c r="M150" s="574"/>
      <c r="N150" s="574"/>
      <c r="O150" s="574">
        <f t="shared" si="22"/>
        <v>195300000</v>
      </c>
      <c r="P150" s="574">
        <f>+P151+P152+P153+P154</f>
        <v>29999725.75</v>
      </c>
      <c r="Q150" s="574">
        <f>+Q151+Q152+Q153+Q154</f>
        <v>89996982.25</v>
      </c>
      <c r="R150" s="574">
        <f>+R151+R152+R153+R154</f>
        <v>73246644</v>
      </c>
      <c r="S150" s="574">
        <f>+S151+S152+S153+S154</f>
        <v>383890</v>
      </c>
      <c r="T150" s="574">
        <f t="shared" si="23"/>
        <v>193627242</v>
      </c>
      <c r="U150" s="575">
        <f t="shared" si="24"/>
        <v>0.991434930875576</v>
      </c>
      <c r="V150" s="520"/>
      <c r="W150" s="509"/>
    </row>
    <row r="151" spans="1:23" s="521" customFormat="1" ht="15" customHeight="1" outlineLevel="1">
      <c r="A151" s="593" t="s">
        <v>167</v>
      </c>
      <c r="B151" s="584"/>
      <c r="C151" s="577"/>
      <c r="D151" s="376">
        <f>+'[18]justificacion formulada'!$D$66</f>
        <v>90000000</v>
      </c>
      <c r="E151" s="571"/>
      <c r="F151" s="376">
        <f t="shared" si="18"/>
        <v>90000000</v>
      </c>
      <c r="G151" s="597"/>
      <c r="H151" s="376">
        <f t="shared" si="19"/>
        <v>90000000</v>
      </c>
      <c r="I151" s="376"/>
      <c r="J151" s="376"/>
      <c r="K151" s="376">
        <v>92000000</v>
      </c>
      <c r="L151" s="376">
        <v>-36700000</v>
      </c>
      <c r="M151" s="376"/>
      <c r="N151" s="376"/>
      <c r="O151" s="376">
        <f t="shared" si="22"/>
        <v>145300000</v>
      </c>
      <c r="P151" s="376">
        <v>19999999.75</v>
      </c>
      <c r="Q151" s="376">
        <v>59996982.25</v>
      </c>
      <c r="R151" s="376">
        <v>63636000</v>
      </c>
      <c r="S151" s="617">
        <v>0</v>
      </c>
      <c r="T151" s="376">
        <f t="shared" si="23"/>
        <v>143632982</v>
      </c>
      <c r="U151" s="578">
        <f t="shared" si="24"/>
        <v>0.9885270612525808</v>
      </c>
      <c r="V151" s="520"/>
      <c r="W151" s="509"/>
    </row>
    <row r="152" spans="1:23" s="521" customFormat="1" ht="15" customHeight="1" outlineLevel="1">
      <c r="A152" s="593" t="s">
        <v>168</v>
      </c>
      <c r="B152" s="584"/>
      <c r="C152" s="577"/>
      <c r="D152" s="376">
        <f>+'[18]justificacion formulada'!$D$67</f>
        <v>25000000</v>
      </c>
      <c r="E152" s="571"/>
      <c r="F152" s="376">
        <f t="shared" si="18"/>
        <v>25000000</v>
      </c>
      <c r="G152" s="597"/>
      <c r="H152" s="376">
        <f t="shared" si="19"/>
        <v>25000000</v>
      </c>
      <c r="I152" s="376"/>
      <c r="J152" s="376"/>
      <c r="K152" s="376"/>
      <c r="L152" s="376"/>
      <c r="M152" s="376"/>
      <c r="N152" s="376"/>
      <c r="O152" s="376">
        <f t="shared" si="22"/>
        <v>25000000</v>
      </c>
      <c r="P152" s="376">
        <v>5000000</v>
      </c>
      <c r="Q152" s="376">
        <v>20000000</v>
      </c>
      <c r="R152" s="376">
        <v>0</v>
      </c>
      <c r="S152" s="617">
        <v>0</v>
      </c>
      <c r="T152" s="376">
        <f t="shared" si="23"/>
        <v>25000000</v>
      </c>
      <c r="U152" s="578">
        <f t="shared" si="24"/>
        <v>1</v>
      </c>
      <c r="V152" s="520"/>
      <c r="W152" s="509"/>
    </row>
    <row r="153" spans="1:23" s="521" customFormat="1" ht="15" customHeight="1" outlineLevel="1">
      <c r="A153" s="593" t="s">
        <v>177</v>
      </c>
      <c r="B153" s="584"/>
      <c r="C153" s="577"/>
      <c r="D153" s="605">
        <f>+'[18]justificacion formulada'!$D$68</f>
        <v>20000000</v>
      </c>
      <c r="E153" s="571"/>
      <c r="F153" s="376">
        <f t="shared" si="18"/>
        <v>20000000</v>
      </c>
      <c r="G153" s="597"/>
      <c r="H153" s="376">
        <f t="shared" si="19"/>
        <v>20000000</v>
      </c>
      <c r="I153" s="376"/>
      <c r="J153" s="376"/>
      <c r="K153" s="376">
        <v>0</v>
      </c>
      <c r="L153" s="376"/>
      <c r="M153" s="376"/>
      <c r="N153" s="376"/>
      <c r="O153" s="376">
        <f t="shared" si="22"/>
        <v>20000000</v>
      </c>
      <c r="P153" s="376">
        <v>4999726</v>
      </c>
      <c r="Q153" s="605">
        <v>5000000</v>
      </c>
      <c r="R153" s="605">
        <v>9610644</v>
      </c>
      <c r="S153" s="605">
        <v>383890</v>
      </c>
      <c r="T153" s="620">
        <f t="shared" si="23"/>
        <v>19994260</v>
      </c>
      <c r="U153" s="578">
        <f t="shared" si="24"/>
        <v>0.999713</v>
      </c>
      <c r="V153" s="520"/>
      <c r="W153" s="509"/>
    </row>
    <row r="154" spans="1:23" s="521" customFormat="1" ht="15" customHeight="1" outlineLevel="1">
      <c r="A154" s="593" t="s">
        <v>192</v>
      </c>
      <c r="B154" s="584"/>
      <c r="C154" s="577"/>
      <c r="D154" s="376">
        <f>+'[18]justificacion formulada'!$D$69</f>
        <v>5000000</v>
      </c>
      <c r="E154" s="571"/>
      <c r="F154" s="376">
        <f t="shared" si="18"/>
        <v>5000000</v>
      </c>
      <c r="G154" s="597"/>
      <c r="H154" s="376">
        <f t="shared" si="19"/>
        <v>5000000</v>
      </c>
      <c r="I154" s="376"/>
      <c r="J154" s="376"/>
      <c r="K154" s="376"/>
      <c r="L154" s="376"/>
      <c r="M154" s="376"/>
      <c r="N154" s="376"/>
      <c r="O154" s="376">
        <f t="shared" si="22"/>
        <v>5000000</v>
      </c>
      <c r="P154" s="376">
        <v>0</v>
      </c>
      <c r="Q154" s="376">
        <v>5000000</v>
      </c>
      <c r="R154" s="376">
        <v>0</v>
      </c>
      <c r="S154" s="617">
        <v>0</v>
      </c>
      <c r="T154" s="376">
        <f t="shared" si="23"/>
        <v>5000000</v>
      </c>
      <c r="U154" s="578">
        <f t="shared" si="24"/>
        <v>1</v>
      </c>
      <c r="V154" s="520"/>
      <c r="W154" s="509"/>
    </row>
    <row r="155" spans="1:23" ht="15">
      <c r="A155" s="580" t="s">
        <v>169</v>
      </c>
      <c r="B155" s="571"/>
      <c r="C155" s="577"/>
      <c r="D155" s="574">
        <f>+D156</f>
        <v>290700000</v>
      </c>
      <c r="E155" s="571"/>
      <c r="F155" s="574">
        <f>+F156</f>
        <v>290700000</v>
      </c>
      <c r="G155" s="584"/>
      <c r="H155" s="574">
        <f>+H156</f>
        <v>290700000</v>
      </c>
      <c r="I155" s="574">
        <f>+I156</f>
        <v>0</v>
      </c>
      <c r="J155" s="574">
        <f>+J156</f>
        <v>0</v>
      </c>
      <c r="K155" s="574">
        <f>+K156</f>
        <v>-80000000</v>
      </c>
      <c r="L155" s="574"/>
      <c r="M155" s="574"/>
      <c r="N155" s="574"/>
      <c r="O155" s="574">
        <f t="shared" si="22"/>
        <v>210700000</v>
      </c>
      <c r="P155" s="574">
        <f>+P156</f>
        <v>11464916</v>
      </c>
      <c r="Q155" s="574">
        <f>+Q156</f>
        <v>50416939</v>
      </c>
      <c r="R155" s="574">
        <f>+R156</f>
        <v>61125053</v>
      </c>
      <c r="S155" s="574">
        <f>+S156</f>
        <v>69793099</v>
      </c>
      <c r="T155" s="574">
        <f t="shared" si="23"/>
        <v>192800007</v>
      </c>
      <c r="U155" s="575">
        <f t="shared" si="24"/>
        <v>0.9150451210251542</v>
      </c>
      <c r="V155" s="495"/>
      <c r="W155" s="509"/>
    </row>
    <row r="156" spans="1:23" ht="15" customHeight="1" outlineLevel="1">
      <c r="A156" s="596" t="s">
        <v>170</v>
      </c>
      <c r="B156" s="571"/>
      <c r="C156" s="577"/>
      <c r="D156" s="376">
        <f>+'[18]justificacion formulada'!$D$70</f>
        <v>290700000</v>
      </c>
      <c r="E156" s="571"/>
      <c r="F156" s="376">
        <f t="shared" si="18"/>
        <v>290700000</v>
      </c>
      <c r="G156" s="584"/>
      <c r="H156" s="376">
        <f t="shared" si="19"/>
        <v>290700000</v>
      </c>
      <c r="I156" s="376"/>
      <c r="J156" s="376"/>
      <c r="K156" s="376">
        <v>-80000000</v>
      </c>
      <c r="L156" s="376"/>
      <c r="M156" s="376"/>
      <c r="N156" s="376"/>
      <c r="O156" s="376">
        <f t="shared" si="22"/>
        <v>210700000</v>
      </c>
      <c r="P156" s="376">
        <v>11464916</v>
      </c>
      <c r="Q156" s="376">
        <v>50416939</v>
      </c>
      <c r="R156" s="376">
        <v>61125053</v>
      </c>
      <c r="S156" s="617">
        <v>69793099</v>
      </c>
      <c r="T156" s="376">
        <f t="shared" si="23"/>
        <v>192800007</v>
      </c>
      <c r="U156" s="578">
        <f t="shared" si="24"/>
        <v>0.9150451210251542</v>
      </c>
      <c r="V156" s="495"/>
      <c r="W156" s="509"/>
    </row>
    <row r="157" spans="1:23" ht="15.75" customHeight="1">
      <c r="A157" s="580" t="s">
        <v>178</v>
      </c>
      <c r="B157" s="571"/>
      <c r="C157" s="577"/>
      <c r="D157" s="574">
        <f>+D158+D160+D161+D162+D159</f>
        <v>1284500598.3336</v>
      </c>
      <c r="E157" s="571"/>
      <c r="F157" s="574">
        <f t="shared" si="18"/>
        <v>1284500598.3336</v>
      </c>
      <c r="G157" s="595"/>
      <c r="H157" s="574">
        <f>+F157+G157</f>
        <v>1284500598.3336</v>
      </c>
      <c r="I157" s="574">
        <f aca="true" t="shared" si="26" ref="I157:N157">+I158+I160+I161+I162+I159</f>
        <v>0</v>
      </c>
      <c r="J157" s="574">
        <f t="shared" si="26"/>
        <v>0</v>
      </c>
      <c r="K157" s="574">
        <f t="shared" si="26"/>
        <v>211600000</v>
      </c>
      <c r="L157" s="574">
        <f t="shared" si="26"/>
        <v>-69957555</v>
      </c>
      <c r="M157" s="574">
        <f t="shared" si="26"/>
        <v>0</v>
      </c>
      <c r="N157" s="574">
        <f t="shared" si="26"/>
        <v>0</v>
      </c>
      <c r="O157" s="574">
        <f t="shared" si="22"/>
        <v>1426143043.3336</v>
      </c>
      <c r="P157" s="574">
        <f>+P158+P160+P161+P162+P159</f>
        <v>374785576</v>
      </c>
      <c r="Q157" s="574">
        <f>+Q158+Q160+Q161+Q162+Q159</f>
        <v>289375991</v>
      </c>
      <c r="R157" s="574">
        <f>+R158+R160+R161+R162+R159</f>
        <v>262962939</v>
      </c>
      <c r="S157" s="574">
        <f>+S158+S160+S161+S162+S159</f>
        <v>436674568</v>
      </c>
      <c r="T157" s="574">
        <f t="shared" si="23"/>
        <v>1363799074</v>
      </c>
      <c r="U157" s="575">
        <f t="shared" si="24"/>
        <v>0.9562849115135944</v>
      </c>
      <c r="V157" s="495"/>
      <c r="W157" s="509"/>
    </row>
    <row r="158" spans="1:23" ht="15.75" customHeight="1" outlineLevel="1">
      <c r="A158" s="603" t="s">
        <v>171</v>
      </c>
      <c r="B158" s="571"/>
      <c r="C158" s="577"/>
      <c r="D158" s="376">
        <f>+'[18]justificacion formulada'!$D$77</f>
        <v>1124275295.8416</v>
      </c>
      <c r="E158" s="376"/>
      <c r="F158" s="376">
        <f t="shared" si="18"/>
        <v>1124275295.8416</v>
      </c>
      <c r="G158" s="376"/>
      <c r="H158" s="376">
        <v>1147675295.8416</v>
      </c>
      <c r="I158" s="376"/>
      <c r="J158" s="376"/>
      <c r="K158" s="376">
        <v>211600000</v>
      </c>
      <c r="L158" s="376">
        <v>-69957555</v>
      </c>
      <c r="M158" s="376"/>
      <c r="N158" s="376">
        <v>-6533000</v>
      </c>
      <c r="O158" s="376">
        <f t="shared" si="22"/>
        <v>1282784740.8416</v>
      </c>
      <c r="P158" s="376">
        <v>345623740</v>
      </c>
      <c r="Q158" s="376">
        <v>258694001</v>
      </c>
      <c r="R158" s="376">
        <v>234805427</v>
      </c>
      <c r="S158" s="617">
        <v>395572682</v>
      </c>
      <c r="T158" s="376">
        <f t="shared" si="23"/>
        <v>1234695850</v>
      </c>
      <c r="U158" s="578">
        <f t="shared" si="24"/>
        <v>0.962512111883986</v>
      </c>
      <c r="V158" s="495"/>
      <c r="W158" s="509"/>
    </row>
    <row r="159" spans="1:23" ht="15.75" customHeight="1" outlineLevel="1">
      <c r="A159" s="603" t="s">
        <v>43</v>
      </c>
      <c r="B159" s="571"/>
      <c r="C159" s="577"/>
      <c r="D159" s="376">
        <f>+'[18]justificacion formulada'!$D$81</f>
        <v>12000000</v>
      </c>
      <c r="E159" s="376"/>
      <c r="F159" s="376">
        <f t="shared" si="18"/>
        <v>12000000</v>
      </c>
      <c r="G159" s="376"/>
      <c r="H159" s="376">
        <v>12000000</v>
      </c>
      <c r="I159" s="376"/>
      <c r="J159" s="376"/>
      <c r="K159" s="376"/>
      <c r="L159" s="376"/>
      <c r="M159" s="376"/>
      <c r="N159" s="376"/>
      <c r="O159" s="376">
        <f t="shared" si="22"/>
        <v>12000000</v>
      </c>
      <c r="P159" s="376">
        <v>1496968</v>
      </c>
      <c r="Q159" s="376">
        <v>2264000</v>
      </c>
      <c r="R159" s="376">
        <v>2672392</v>
      </c>
      <c r="S159" s="617">
        <v>3671319</v>
      </c>
      <c r="T159" s="376">
        <f t="shared" si="23"/>
        <v>10104679</v>
      </c>
      <c r="U159" s="578">
        <f t="shared" si="24"/>
        <v>0.8420565833333333</v>
      </c>
      <c r="V159" s="495"/>
      <c r="W159" s="509"/>
    </row>
    <row r="160" spans="1:23" ht="14.25" customHeight="1" outlineLevel="1">
      <c r="A160" s="603" t="s">
        <v>193</v>
      </c>
      <c r="B160" s="571"/>
      <c r="C160" s="577"/>
      <c r="D160" s="376">
        <f>+'[18]justificacion formulada'!$D$82</f>
        <v>104425302.49199998</v>
      </c>
      <c r="E160" s="376"/>
      <c r="F160" s="376">
        <f t="shared" si="18"/>
        <v>104425302.49199998</v>
      </c>
      <c r="G160" s="376"/>
      <c r="H160" s="376">
        <v>80575302.492</v>
      </c>
      <c r="I160" s="376"/>
      <c r="J160" s="376"/>
      <c r="K160" s="376"/>
      <c r="L160" s="376"/>
      <c r="M160" s="376"/>
      <c r="N160" s="376">
        <v>6405000</v>
      </c>
      <c r="O160" s="376">
        <f t="shared" si="22"/>
        <v>86980302.492</v>
      </c>
      <c r="P160" s="376">
        <v>17529000</v>
      </c>
      <c r="Q160" s="376">
        <v>18548000</v>
      </c>
      <c r="R160" s="376">
        <v>16274000</v>
      </c>
      <c r="S160" s="617">
        <v>25405000</v>
      </c>
      <c r="T160" s="376">
        <f t="shared" si="23"/>
        <v>77756000</v>
      </c>
      <c r="U160" s="578">
        <f t="shared" si="24"/>
        <v>0.8939495238838885</v>
      </c>
      <c r="V160" s="495"/>
      <c r="W160" s="509"/>
    </row>
    <row r="161" spans="1:23" ht="14.25" customHeight="1" outlineLevel="1">
      <c r="A161" s="603" t="s">
        <v>179</v>
      </c>
      <c r="B161" s="571"/>
      <c r="C161" s="577"/>
      <c r="D161" s="376">
        <f>+'[18]justificacion formulada'!$D$85</f>
        <v>36000000</v>
      </c>
      <c r="E161" s="376"/>
      <c r="F161" s="376">
        <f t="shared" si="18"/>
        <v>36000000</v>
      </c>
      <c r="G161" s="376"/>
      <c r="H161" s="376">
        <v>36000000</v>
      </c>
      <c r="I161" s="376"/>
      <c r="J161" s="376"/>
      <c r="K161" s="376"/>
      <c r="L161" s="376"/>
      <c r="M161" s="376"/>
      <c r="N161" s="376">
        <v>-3622000</v>
      </c>
      <c r="O161" s="376">
        <f t="shared" si="22"/>
        <v>32378000</v>
      </c>
      <c r="P161" s="376">
        <v>8241306</v>
      </c>
      <c r="Q161" s="376">
        <v>7019990</v>
      </c>
      <c r="R161" s="376">
        <v>7261120</v>
      </c>
      <c r="S161" s="617">
        <v>8091560</v>
      </c>
      <c r="T161" s="376">
        <f t="shared" si="23"/>
        <v>30613976</v>
      </c>
      <c r="U161" s="578">
        <f t="shared" si="24"/>
        <v>0.9455178207424795</v>
      </c>
      <c r="V161" s="495"/>
      <c r="W161" s="509"/>
    </row>
    <row r="162" spans="1:23" ht="14.25" customHeight="1" outlineLevel="1">
      <c r="A162" s="603" t="s">
        <v>194</v>
      </c>
      <c r="B162" s="571"/>
      <c r="C162" s="577"/>
      <c r="D162" s="376">
        <f>+'[18]justificacion formulada'!$D$86</f>
        <v>7800000</v>
      </c>
      <c r="E162" s="376"/>
      <c r="F162" s="376">
        <f t="shared" si="18"/>
        <v>7800000</v>
      </c>
      <c r="G162" s="376"/>
      <c r="H162" s="376">
        <v>8250000</v>
      </c>
      <c r="I162" s="376"/>
      <c r="J162" s="376"/>
      <c r="K162" s="376"/>
      <c r="L162" s="376"/>
      <c r="M162" s="376"/>
      <c r="N162" s="376">
        <v>3750000</v>
      </c>
      <c r="O162" s="376">
        <f t="shared" si="22"/>
        <v>12000000</v>
      </c>
      <c r="P162" s="376">
        <v>1894562</v>
      </c>
      <c r="Q162" s="376">
        <v>2850000</v>
      </c>
      <c r="R162" s="376">
        <v>1950000</v>
      </c>
      <c r="S162" s="617">
        <v>3934007</v>
      </c>
      <c r="T162" s="376">
        <f t="shared" si="23"/>
        <v>10628569</v>
      </c>
      <c r="U162" s="578">
        <f t="shared" si="24"/>
        <v>0.8857140833333333</v>
      </c>
      <c r="V162" s="495"/>
      <c r="W162" s="509"/>
    </row>
    <row r="163" spans="1:23" ht="15">
      <c r="A163" s="596"/>
      <c r="B163" s="571"/>
      <c r="C163" s="577"/>
      <c r="D163" s="376"/>
      <c r="E163" s="571"/>
      <c r="F163" s="574"/>
      <c r="G163" s="571"/>
      <c r="H163" s="577"/>
      <c r="I163" s="574"/>
      <c r="J163" s="574"/>
      <c r="K163" s="574"/>
      <c r="L163" s="574"/>
      <c r="M163" s="574"/>
      <c r="N163" s="574"/>
      <c r="O163" s="574"/>
      <c r="P163" s="574"/>
      <c r="Q163" s="376"/>
      <c r="R163" s="376"/>
      <c r="S163" s="617"/>
      <c r="T163" s="376"/>
      <c r="U163" s="575"/>
      <c r="V163" s="495"/>
      <c r="W163" s="509"/>
    </row>
    <row r="164" spans="1:23" ht="15">
      <c r="A164" s="586" t="s">
        <v>58</v>
      </c>
      <c r="B164" s="571"/>
      <c r="C164" s="571"/>
      <c r="D164" s="571"/>
      <c r="E164" s="577"/>
      <c r="F164" s="574">
        <v>0</v>
      </c>
      <c r="G164" s="581">
        <f>('[19]Anexo 1 Minagricultura'!D13+'[19]Anexo 1 Minagricultura'!D17)*0.1</f>
        <v>927081953.1505461</v>
      </c>
      <c r="H164" s="581">
        <f>+G164+F164</f>
        <v>927081953.1505461</v>
      </c>
      <c r="I164" s="574">
        <v>0</v>
      </c>
      <c r="J164" s="574">
        <v>0</v>
      </c>
      <c r="K164" s="574">
        <v>0</v>
      </c>
      <c r="L164" s="574">
        <v>44389398.842745595</v>
      </c>
      <c r="M164" s="574"/>
      <c r="N164" s="574"/>
      <c r="O164" s="574">
        <f t="shared" si="22"/>
        <v>971471351.9932916</v>
      </c>
      <c r="P164" s="574">
        <v>216532596</v>
      </c>
      <c r="Q164" s="581">
        <v>236955666.5</v>
      </c>
      <c r="R164" s="581">
        <v>251791255</v>
      </c>
      <c r="S164" s="621">
        <v>269310139</v>
      </c>
      <c r="T164" s="581">
        <f t="shared" si="23"/>
        <v>974589656.5</v>
      </c>
      <c r="U164" s="575">
        <f t="shared" si="24"/>
        <v>1.0032098779859129</v>
      </c>
      <c r="V164" s="518"/>
      <c r="W164" s="509"/>
    </row>
    <row r="165" spans="1:23" ht="15">
      <c r="A165" s="586"/>
      <c r="B165" s="571"/>
      <c r="C165" s="571"/>
      <c r="D165" s="571"/>
      <c r="E165" s="577"/>
      <c r="F165" s="574"/>
      <c r="G165" s="581"/>
      <c r="H165" s="581"/>
      <c r="I165" s="574"/>
      <c r="J165" s="574"/>
      <c r="K165" s="574"/>
      <c r="L165" s="574"/>
      <c r="M165" s="574"/>
      <c r="N165" s="574"/>
      <c r="O165" s="581"/>
      <c r="P165" s="574"/>
      <c r="Q165" s="574"/>
      <c r="R165" s="574"/>
      <c r="S165" s="622"/>
      <c r="T165" s="574"/>
      <c r="U165" s="575"/>
      <c r="V165" s="518"/>
      <c r="W165" s="509"/>
    </row>
    <row r="166" spans="1:23" ht="15">
      <c r="A166" s="586" t="s">
        <v>299</v>
      </c>
      <c r="B166" s="571"/>
      <c r="C166" s="606">
        <v>1374122930</v>
      </c>
      <c r="D166" s="571"/>
      <c r="E166" s="577"/>
      <c r="F166" s="574">
        <f t="shared" si="18"/>
        <v>1374122930</v>
      </c>
      <c r="G166" s="581">
        <v>0</v>
      </c>
      <c r="H166" s="581">
        <f>+G166+F166</f>
        <v>1374122930</v>
      </c>
      <c r="I166" s="574">
        <v>0</v>
      </c>
      <c r="J166" s="574">
        <v>0</v>
      </c>
      <c r="K166" s="574">
        <v>0</v>
      </c>
      <c r="L166" s="574">
        <v>66584098</v>
      </c>
      <c r="M166" s="574"/>
      <c r="N166" s="574"/>
      <c r="O166" s="574">
        <f t="shared" si="22"/>
        <v>1440707028</v>
      </c>
      <c r="P166" s="574">
        <v>0</v>
      </c>
      <c r="Q166" s="574">
        <v>0</v>
      </c>
      <c r="R166" s="574">
        <v>62988319</v>
      </c>
      <c r="S166" s="622">
        <v>14042589</v>
      </c>
      <c r="T166" s="574">
        <f t="shared" si="23"/>
        <v>77030908</v>
      </c>
      <c r="U166" s="575">
        <f t="shared" si="24"/>
        <v>0.053467434046556205</v>
      </c>
      <c r="V166" s="518"/>
      <c r="W166" s="509"/>
    </row>
    <row r="167" spans="1:23" ht="15">
      <c r="A167" s="580"/>
      <c r="B167" s="571"/>
      <c r="C167" s="571"/>
      <c r="D167" s="571"/>
      <c r="E167" s="577"/>
      <c r="F167" s="577"/>
      <c r="G167" s="577"/>
      <c r="H167" s="581"/>
      <c r="I167" s="574"/>
      <c r="J167" s="574"/>
      <c r="K167" s="574"/>
      <c r="L167" s="574"/>
      <c r="M167" s="574"/>
      <c r="N167" s="574"/>
      <c r="O167" s="577"/>
      <c r="P167" s="577"/>
      <c r="Q167" s="577"/>
      <c r="R167" s="577"/>
      <c r="S167" s="615"/>
      <c r="T167" s="577"/>
      <c r="U167" s="575"/>
      <c r="V167" s="495"/>
      <c r="W167" s="509"/>
    </row>
    <row r="168" spans="1:23" ht="15">
      <c r="A168" s="586" t="s">
        <v>393</v>
      </c>
      <c r="B168" s="581">
        <f>+B169+B170</f>
        <v>0</v>
      </c>
      <c r="C168" s="581">
        <f>+C169+C170</f>
        <v>0</v>
      </c>
      <c r="D168" s="581">
        <f>+D169+D170</f>
        <v>0</v>
      </c>
      <c r="E168" s="581">
        <f>+E169+E170</f>
        <v>0</v>
      </c>
      <c r="F168" s="581">
        <f>+B168+C168+D168+E168</f>
        <v>0</v>
      </c>
      <c r="G168" s="581">
        <f aca="true" t="shared" si="27" ref="G168:M168">+G169+G170</f>
        <v>0</v>
      </c>
      <c r="H168" s="581">
        <f t="shared" si="27"/>
        <v>718642358.4912109</v>
      </c>
      <c r="I168" s="581">
        <f t="shared" si="27"/>
        <v>69812645</v>
      </c>
      <c r="J168" s="581">
        <f t="shared" si="27"/>
        <v>-2664985</v>
      </c>
      <c r="K168" s="581">
        <f t="shared" si="27"/>
        <v>40400000</v>
      </c>
      <c r="L168" s="581">
        <f t="shared" si="27"/>
        <v>350553824</v>
      </c>
      <c r="M168" s="581">
        <f t="shared" si="27"/>
        <v>-277000000</v>
      </c>
      <c r="N168" s="581"/>
      <c r="O168" s="574">
        <f t="shared" si="22"/>
        <v>899743842.4912109</v>
      </c>
      <c r="P168" s="581">
        <f>+P169+P170</f>
        <v>0</v>
      </c>
      <c r="Q168" s="581">
        <f>+Q169+Q170</f>
        <v>0</v>
      </c>
      <c r="R168" s="581">
        <f>+R169+R170</f>
        <v>0</v>
      </c>
      <c r="S168" s="581">
        <f>+S169+S170</f>
        <v>0</v>
      </c>
      <c r="T168" s="581">
        <f t="shared" si="23"/>
        <v>0</v>
      </c>
      <c r="U168" s="575">
        <f t="shared" si="24"/>
        <v>0</v>
      </c>
      <c r="V168" s="495"/>
      <c r="W168" s="509"/>
    </row>
    <row r="169" spans="1:23" s="529" customFormat="1" ht="14.25">
      <c r="A169" s="512" t="s">
        <v>394</v>
      </c>
      <c r="B169" s="571"/>
      <c r="C169" s="571"/>
      <c r="D169" s="571"/>
      <c r="E169" s="577"/>
      <c r="F169" s="577">
        <f>+B169+C169+D169+E169</f>
        <v>0</v>
      </c>
      <c r="G169" s="577">
        <f>+H177</f>
        <v>0</v>
      </c>
      <c r="H169" s="577">
        <v>159414235.57270813</v>
      </c>
      <c r="I169" s="577">
        <v>-159414236</v>
      </c>
      <c r="J169" s="577"/>
      <c r="K169" s="577"/>
      <c r="L169" s="577">
        <v>350553824</v>
      </c>
      <c r="M169" s="577">
        <v>0</v>
      </c>
      <c r="N169" s="577"/>
      <c r="O169" s="577">
        <f t="shared" si="22"/>
        <v>350553823.57270813</v>
      </c>
      <c r="P169" s="577">
        <v>0</v>
      </c>
      <c r="Q169" s="577">
        <v>0</v>
      </c>
      <c r="R169" s="577">
        <v>0</v>
      </c>
      <c r="S169" s="615">
        <v>0</v>
      </c>
      <c r="T169" s="577">
        <f t="shared" si="23"/>
        <v>0</v>
      </c>
      <c r="U169" s="578">
        <f t="shared" si="24"/>
        <v>0</v>
      </c>
      <c r="V169" s="495"/>
      <c r="W169" s="509"/>
    </row>
    <row r="170" spans="1:23" s="529" customFormat="1" ht="14.25">
      <c r="A170" s="512" t="s">
        <v>395</v>
      </c>
      <c r="B170" s="571"/>
      <c r="C170" s="571"/>
      <c r="D170" s="577"/>
      <c r="E170" s="577"/>
      <c r="F170" s="577">
        <f>+B170+C170+D170+E170</f>
        <v>0</v>
      </c>
      <c r="G170" s="577">
        <f>+H178</f>
        <v>0</v>
      </c>
      <c r="H170" s="577">
        <v>559228122.9185028</v>
      </c>
      <c r="I170" s="577">
        <v>229226881</v>
      </c>
      <c r="J170" s="577">
        <v>-2664985</v>
      </c>
      <c r="K170" s="577">
        <v>40400000</v>
      </c>
      <c r="L170" s="577">
        <v>0</v>
      </c>
      <c r="M170" s="577">
        <v>-277000000</v>
      </c>
      <c r="N170" s="577"/>
      <c r="O170" s="577">
        <f t="shared" si="22"/>
        <v>549190018.9185028</v>
      </c>
      <c r="P170" s="577">
        <v>0</v>
      </c>
      <c r="Q170" s="577">
        <v>0</v>
      </c>
      <c r="R170" s="577">
        <v>0</v>
      </c>
      <c r="S170" s="615">
        <v>0</v>
      </c>
      <c r="T170" s="577">
        <f t="shared" si="23"/>
        <v>0</v>
      </c>
      <c r="U170" s="578">
        <f t="shared" si="24"/>
        <v>0</v>
      </c>
      <c r="V170" s="518"/>
      <c r="W170" s="509"/>
    </row>
    <row r="171" spans="1:23" ht="15">
      <c r="A171" s="511"/>
      <c r="B171" s="571"/>
      <c r="C171" s="571"/>
      <c r="D171" s="571"/>
      <c r="E171" s="577"/>
      <c r="F171" s="577"/>
      <c r="G171" s="577"/>
      <c r="H171" s="577"/>
      <c r="I171" s="577"/>
      <c r="J171" s="577"/>
      <c r="K171" s="577"/>
      <c r="L171" s="577"/>
      <c r="M171" s="577"/>
      <c r="N171" s="577"/>
      <c r="O171" s="577"/>
      <c r="P171" s="577"/>
      <c r="Q171" s="577"/>
      <c r="R171" s="577"/>
      <c r="S171" s="615"/>
      <c r="T171" s="577"/>
      <c r="U171" s="575"/>
      <c r="V171" s="518"/>
      <c r="W171" s="509"/>
    </row>
    <row r="172" spans="1:23" ht="15">
      <c r="A172" s="511" t="s">
        <v>396</v>
      </c>
      <c r="B172" s="581">
        <f>+B39+B37</f>
        <v>3317026817.569085</v>
      </c>
      <c r="C172" s="581">
        <f>+C37+C39</f>
        <v>2780979976.572989</v>
      </c>
      <c r="D172" s="581">
        <f>+D37+D39</f>
        <v>5831945212.55212</v>
      </c>
      <c r="E172" s="581">
        <f>+E39+E37</f>
        <v>2722521717.856757</v>
      </c>
      <c r="F172" s="581">
        <f>+B172+C172+D172+E172</f>
        <v>14652473724.550953</v>
      </c>
      <c r="G172" s="581">
        <f aca="true" t="shared" si="28" ref="G172:M172">+G168+G164+G39+G37</f>
        <v>1558252502.0500588</v>
      </c>
      <c r="H172" s="581">
        <f t="shared" si="28"/>
        <v>16929368585.092218</v>
      </c>
      <c r="I172" s="581">
        <f t="shared" si="28"/>
        <v>-84645860</v>
      </c>
      <c r="J172" s="581">
        <f t="shared" si="28"/>
        <v>306964960</v>
      </c>
      <c r="K172" s="581">
        <f t="shared" si="28"/>
        <v>46000000</v>
      </c>
      <c r="L172" s="581">
        <f t="shared" si="28"/>
        <v>-681465960.1572545</v>
      </c>
      <c r="M172" s="581">
        <f t="shared" si="28"/>
        <v>-2450000</v>
      </c>
      <c r="N172" s="581"/>
      <c r="O172" s="662">
        <f t="shared" si="22"/>
        <v>16513771724.934961</v>
      </c>
      <c r="P172" s="581">
        <f>+P168+P164+P39+P37</f>
        <v>2614876324.2599998</v>
      </c>
      <c r="Q172" s="581">
        <f>+Q168+Q164+Q39+Q37</f>
        <v>3318652461.11</v>
      </c>
      <c r="R172" s="581">
        <f>+R168+R164+R39+R37</f>
        <v>3788617522.12</v>
      </c>
      <c r="S172" s="581">
        <f>+S168+S164+S39+S37</f>
        <v>3913530354.67</v>
      </c>
      <c r="T172" s="661">
        <f t="shared" si="23"/>
        <v>13635676662.16</v>
      </c>
      <c r="U172" s="575">
        <f>+T172/(O172-O168)</f>
        <v>0.8732965487714937</v>
      </c>
      <c r="V172" s="495"/>
      <c r="W172" s="509"/>
    </row>
    <row r="173" spans="1:23" ht="15.75" thickBot="1">
      <c r="A173" s="532"/>
      <c r="B173" s="609"/>
      <c r="C173" s="608"/>
      <c r="D173" s="608"/>
      <c r="E173" s="608"/>
      <c r="F173" s="608"/>
      <c r="G173" s="608"/>
      <c r="H173" s="608"/>
      <c r="I173" s="623"/>
      <c r="J173" s="623"/>
      <c r="K173" s="623"/>
      <c r="L173" s="623"/>
      <c r="M173" s="623"/>
      <c r="N173" s="623"/>
      <c r="O173" s="608"/>
      <c r="P173" s="608"/>
      <c r="Q173" s="608"/>
      <c r="R173" s="608"/>
      <c r="S173" s="623"/>
      <c r="T173" s="608"/>
      <c r="U173" s="610"/>
      <c r="V173" s="495"/>
      <c r="W173" s="509"/>
    </row>
    <row r="174" spans="1:22" ht="18.75" thickTop="1">
      <c r="A174" s="533"/>
      <c r="B174" s="534"/>
      <c r="C174" s="495"/>
      <c r="D174" s="495"/>
      <c r="E174" s="495"/>
      <c r="F174" s="495"/>
      <c r="G174" s="518"/>
      <c r="H174" s="518">
        <f>+RES!B58</f>
        <v>16929368585.344578</v>
      </c>
      <c r="I174" s="518"/>
      <c r="J174" s="518"/>
      <c r="K174" s="518"/>
      <c r="L174" s="518"/>
      <c r="M174" s="518"/>
      <c r="N174" s="518"/>
      <c r="O174" s="518">
        <f>+RES!I58</f>
        <v>16513771725.187323</v>
      </c>
      <c r="P174" s="518">
        <f>+RES!O58</f>
        <v>2614876324.2599998</v>
      </c>
      <c r="Q174" s="518">
        <f>+RES!P58</f>
        <v>3318652461.11</v>
      </c>
      <c r="R174" s="518">
        <f>+RES!Q58</f>
        <v>3788617522.12</v>
      </c>
      <c r="S174" s="518">
        <f>+RES!R58</f>
        <v>3913530354.67</v>
      </c>
      <c r="T174" s="518">
        <f>+RES!S58</f>
        <v>13635676662.16</v>
      </c>
      <c r="U174" s="535"/>
      <c r="V174" s="495"/>
    </row>
    <row r="175" spans="1:22" ht="12.75">
      <c r="A175" s="533"/>
      <c r="B175" s="495"/>
      <c r="C175" s="495"/>
      <c r="D175" s="518"/>
      <c r="E175" s="495"/>
      <c r="F175" s="518"/>
      <c r="G175" s="518"/>
      <c r="H175" s="514"/>
      <c r="I175" s="514"/>
      <c r="J175" s="514"/>
      <c r="K175" s="514"/>
      <c r="L175" s="514"/>
      <c r="M175" s="514"/>
      <c r="N175" s="514"/>
      <c r="O175" s="514"/>
      <c r="P175" s="514"/>
      <c r="Q175" s="514"/>
      <c r="R175" s="514"/>
      <c r="S175" s="514"/>
      <c r="T175" s="514"/>
      <c r="U175" s="536"/>
      <c r="V175" s="495"/>
    </row>
    <row r="176" spans="1:22" ht="15.75">
      <c r="A176" s="533"/>
      <c r="B176" s="518"/>
      <c r="C176" s="495"/>
      <c r="D176" s="495"/>
      <c r="E176" s="537"/>
      <c r="F176" s="538" t="s">
        <v>397</v>
      </c>
      <c r="G176" s="538" t="s">
        <v>398</v>
      </c>
      <c r="H176" s="514"/>
      <c r="I176" s="539"/>
      <c r="J176" s="539"/>
      <c r="K176" s="539"/>
      <c r="L176" s="539"/>
      <c r="M176" s="539"/>
      <c r="N176" s="539"/>
      <c r="O176" s="539"/>
      <c r="P176" s="539"/>
      <c r="Q176" s="539"/>
      <c r="R176" s="539"/>
      <c r="S176" s="539"/>
      <c r="T176" s="539"/>
      <c r="U176" s="495"/>
      <c r="V176" s="495"/>
    </row>
    <row r="177" spans="1:22" ht="15.75">
      <c r="A177" s="540"/>
      <c r="B177" s="495"/>
      <c r="C177" s="495"/>
      <c r="D177" s="495"/>
      <c r="E177" s="537" t="s">
        <v>307</v>
      </c>
      <c r="F177" s="541">
        <f>+B172+C172+E172+G37+(G164*75%)</f>
        <v>10147010525.761255</v>
      </c>
      <c r="G177" s="542">
        <f>+'[19]Anexo 1 Minagricultura'!F42</f>
        <v>10306424761.38981</v>
      </c>
      <c r="H177" s="514"/>
      <c r="I177" s="541"/>
      <c r="J177" s="541"/>
      <c r="K177" s="541"/>
      <c r="L177" s="541"/>
      <c r="M177" s="541"/>
      <c r="N177" s="541"/>
      <c r="O177" s="541"/>
      <c r="P177" s="541"/>
      <c r="Q177" s="541"/>
      <c r="R177" s="541"/>
      <c r="S177" s="541"/>
      <c r="T177" s="541"/>
      <c r="U177" s="495"/>
      <c r="V177" s="495"/>
    </row>
    <row r="178" spans="1:22" ht="16.5" thickBot="1">
      <c r="A178" s="533"/>
      <c r="B178" s="495"/>
      <c r="C178" s="495"/>
      <c r="D178" s="495"/>
      <c r="E178" s="537" t="s">
        <v>172</v>
      </c>
      <c r="F178" s="543">
        <f>+D172+(G164*25%)</f>
        <v>6063715700.839757</v>
      </c>
      <c r="G178" s="544">
        <f>+'[19]Anexo 1 Minagricultura'!F43</f>
        <v>6622943823.75826</v>
      </c>
      <c r="H178" s="514"/>
      <c r="I178" s="545"/>
      <c r="J178" s="545"/>
      <c r="K178" s="545"/>
      <c r="L178" s="545"/>
      <c r="M178" s="545"/>
      <c r="N178" s="545"/>
      <c r="O178" s="545"/>
      <c r="P178" s="545"/>
      <c r="Q178" s="545"/>
      <c r="R178" s="545"/>
      <c r="S178" s="545"/>
      <c r="T178" s="545"/>
      <c r="U178" s="495"/>
      <c r="V178" s="495"/>
    </row>
    <row r="179" spans="1:22" ht="16.5" thickTop="1">
      <c r="A179" s="533"/>
      <c r="B179" s="495"/>
      <c r="C179" s="495"/>
      <c r="D179" s="495"/>
      <c r="E179" s="537"/>
      <c r="F179" s="546">
        <f>+F177+F178</f>
        <v>16210726226.601013</v>
      </c>
      <c r="G179" s="547">
        <f>+G178+G177</f>
        <v>16929368585.148071</v>
      </c>
      <c r="H179" s="514"/>
      <c r="I179" s="547"/>
      <c r="J179" s="547"/>
      <c r="K179" s="547"/>
      <c r="L179" s="547"/>
      <c r="M179" s="547"/>
      <c r="N179" s="547"/>
      <c r="O179" s="547"/>
      <c r="P179" s="547"/>
      <c r="Q179" s="547"/>
      <c r="R179" s="547"/>
      <c r="S179" s="547"/>
      <c r="T179" s="547"/>
      <c r="U179" s="495"/>
      <c r="V179" s="495"/>
    </row>
    <row r="180" spans="1:22" ht="15.75">
      <c r="A180" s="533"/>
      <c r="B180" s="495"/>
      <c r="C180" s="495"/>
      <c r="D180" s="495"/>
      <c r="E180" s="537"/>
      <c r="F180" s="541"/>
      <c r="G180" s="537"/>
      <c r="H180" s="514"/>
      <c r="I180" s="537"/>
      <c r="J180" s="537"/>
      <c r="K180" s="537"/>
      <c r="L180" s="537"/>
      <c r="M180" s="537"/>
      <c r="N180" s="537"/>
      <c r="O180" s="537"/>
      <c r="P180" s="537"/>
      <c r="Q180" s="537"/>
      <c r="R180" s="537"/>
      <c r="S180" s="537"/>
      <c r="T180" s="537"/>
      <c r="U180" s="495"/>
      <c r="V180" s="495"/>
    </row>
    <row r="181" spans="1:22" ht="12.75">
      <c r="A181" s="495"/>
      <c r="B181" s="495"/>
      <c r="C181" s="495"/>
      <c r="D181" s="495"/>
      <c r="E181" s="495"/>
      <c r="F181" s="495"/>
      <c r="G181" s="495"/>
      <c r="H181" s="514"/>
      <c r="I181" s="495"/>
      <c r="J181" s="495"/>
      <c r="K181" s="495"/>
      <c r="L181" s="495"/>
      <c r="M181" s="495"/>
      <c r="N181" s="495"/>
      <c r="O181" s="495"/>
      <c r="P181" s="495"/>
      <c r="Q181" s="495"/>
      <c r="R181" s="495"/>
      <c r="S181" s="495"/>
      <c r="T181" s="495"/>
      <c r="U181" s="495"/>
      <c r="V181" s="495"/>
    </row>
    <row r="182" spans="1:22" ht="12.75">
      <c r="A182" s="495"/>
      <c r="B182" s="495"/>
      <c r="C182" s="495"/>
      <c r="D182" s="495"/>
      <c r="E182" s="495"/>
      <c r="F182" s="518"/>
      <c r="G182" s="518"/>
      <c r="H182" s="495"/>
      <c r="I182" s="495"/>
      <c r="J182" s="495"/>
      <c r="K182" s="495"/>
      <c r="L182" s="495"/>
      <c r="M182" s="495"/>
      <c r="N182" s="495"/>
      <c r="O182" s="495"/>
      <c r="P182" s="495"/>
      <c r="Q182" s="495"/>
      <c r="R182" s="495"/>
      <c r="S182" s="495"/>
      <c r="T182" s="495"/>
      <c r="U182" s="495"/>
      <c r="V182" s="495"/>
    </row>
    <row r="183" spans="1:22" ht="12.75">
      <c r="A183" s="495"/>
      <c r="B183" s="495"/>
      <c r="C183" s="495"/>
      <c r="D183" s="495"/>
      <c r="E183" s="495"/>
      <c r="F183" s="495"/>
      <c r="G183" s="495"/>
      <c r="H183" s="495"/>
      <c r="I183" s="495"/>
      <c r="J183" s="495"/>
      <c r="K183" s="495"/>
      <c r="L183" s="495"/>
      <c r="M183" s="495"/>
      <c r="N183" s="495"/>
      <c r="O183" s="495"/>
      <c r="P183" s="495"/>
      <c r="Q183" s="495"/>
      <c r="R183" s="495"/>
      <c r="S183" s="495"/>
      <c r="T183" s="495"/>
      <c r="U183" s="495"/>
      <c r="V183" s="495"/>
    </row>
    <row r="184" spans="1:22" ht="12.75">
      <c r="A184" s="495"/>
      <c r="B184" s="495"/>
      <c r="C184" s="495"/>
      <c r="D184" s="495"/>
      <c r="E184" s="495"/>
      <c r="F184" s="495"/>
      <c r="G184" s="495"/>
      <c r="H184" s="495"/>
      <c r="I184" s="495"/>
      <c r="J184" s="495"/>
      <c r="K184" s="495"/>
      <c r="L184" s="495"/>
      <c r="M184" s="495"/>
      <c r="N184" s="495"/>
      <c r="O184" s="495"/>
      <c r="P184" s="495"/>
      <c r="Q184" s="495"/>
      <c r="R184" s="495"/>
      <c r="S184" s="495"/>
      <c r="T184" s="495"/>
      <c r="U184" s="495"/>
      <c r="V184" s="495"/>
    </row>
    <row r="185" spans="1:22" ht="12" customHeight="1">
      <c r="A185" s="495"/>
      <c r="B185" s="495"/>
      <c r="C185" s="495"/>
      <c r="D185" s="495"/>
      <c r="E185" s="495"/>
      <c r="F185" s="495"/>
      <c r="G185" s="548"/>
      <c r="H185" s="495"/>
      <c r="I185" s="495"/>
      <c r="J185" s="495"/>
      <c r="K185" s="495"/>
      <c r="L185" s="495"/>
      <c r="M185" s="495"/>
      <c r="N185" s="495"/>
      <c r="O185" s="495"/>
      <c r="P185" s="495"/>
      <c r="Q185" s="495"/>
      <c r="R185" s="495"/>
      <c r="S185" s="495"/>
      <c r="T185" s="495"/>
      <c r="U185" s="495"/>
      <c r="V185" s="495"/>
    </row>
    <row r="186" spans="1:22" ht="12.75">
      <c r="A186" s="495"/>
      <c r="B186" s="495"/>
      <c r="C186" s="495"/>
      <c r="D186" s="495"/>
      <c r="E186" s="495"/>
      <c r="F186" s="495"/>
      <c r="G186" s="495"/>
      <c r="H186" s="495"/>
      <c r="I186" s="495"/>
      <c r="J186" s="495"/>
      <c r="K186" s="495"/>
      <c r="L186" s="495"/>
      <c r="M186" s="495"/>
      <c r="N186" s="495"/>
      <c r="O186" s="495"/>
      <c r="P186" s="495"/>
      <c r="Q186" s="495"/>
      <c r="R186" s="495"/>
      <c r="S186" s="495"/>
      <c r="T186" s="495"/>
      <c r="U186" s="495"/>
      <c r="V186" s="495"/>
    </row>
    <row r="187" spans="1:22" ht="12.75">
      <c r="A187" s="495"/>
      <c r="B187" s="495"/>
      <c r="C187" s="495"/>
      <c r="D187" s="495"/>
      <c r="E187" s="495"/>
      <c r="F187" s="495"/>
      <c r="G187" s="495"/>
      <c r="H187" s="495"/>
      <c r="I187" s="495"/>
      <c r="J187" s="495"/>
      <c r="K187" s="495"/>
      <c r="L187" s="495"/>
      <c r="M187" s="495"/>
      <c r="N187" s="495"/>
      <c r="O187" s="495"/>
      <c r="P187" s="495"/>
      <c r="Q187" s="495"/>
      <c r="R187" s="495"/>
      <c r="S187" s="495"/>
      <c r="T187" s="495"/>
      <c r="U187" s="495"/>
      <c r="V187" s="495"/>
    </row>
    <row r="188" spans="1:22" ht="12.75">
      <c r="A188" s="495"/>
      <c r="B188" s="495"/>
      <c r="C188" s="495"/>
      <c r="D188" s="495"/>
      <c r="E188" s="495"/>
      <c r="F188" s="495"/>
      <c r="G188" s="495"/>
      <c r="H188" s="495"/>
      <c r="I188" s="495"/>
      <c r="J188" s="495"/>
      <c r="K188" s="495"/>
      <c r="L188" s="495"/>
      <c r="M188" s="495"/>
      <c r="N188" s="495"/>
      <c r="O188" s="495"/>
      <c r="P188" s="495"/>
      <c r="Q188" s="495"/>
      <c r="R188" s="495"/>
      <c r="S188" s="495"/>
      <c r="T188" s="495"/>
      <c r="U188" s="495"/>
      <c r="V188" s="495"/>
    </row>
    <row r="189" spans="1:22" ht="12.75">
      <c r="A189" s="495"/>
      <c r="B189" s="495"/>
      <c r="C189" s="495"/>
      <c r="D189" s="495"/>
      <c r="E189" s="495"/>
      <c r="F189" s="495"/>
      <c r="G189" s="495"/>
      <c r="H189" s="495"/>
      <c r="I189" s="495"/>
      <c r="J189" s="495"/>
      <c r="K189" s="495"/>
      <c r="L189" s="495"/>
      <c r="M189" s="495"/>
      <c r="N189" s="495"/>
      <c r="O189" s="495"/>
      <c r="P189" s="495"/>
      <c r="Q189" s="495"/>
      <c r="R189" s="495"/>
      <c r="S189" s="495"/>
      <c r="T189" s="495"/>
      <c r="U189" s="495"/>
      <c r="V189" s="495"/>
    </row>
    <row r="190" spans="1:22" ht="12.75">
      <c r="A190" s="495"/>
      <c r="B190" s="495"/>
      <c r="C190" s="495"/>
      <c r="D190" s="495"/>
      <c r="E190" s="495"/>
      <c r="F190" s="495"/>
      <c r="G190" s="495"/>
      <c r="H190" s="495"/>
      <c r="I190" s="495"/>
      <c r="J190" s="495"/>
      <c r="K190" s="495"/>
      <c r="L190" s="495"/>
      <c r="M190" s="495"/>
      <c r="N190" s="495"/>
      <c r="O190" s="495"/>
      <c r="P190" s="495"/>
      <c r="Q190" s="495"/>
      <c r="R190" s="495"/>
      <c r="S190" s="495"/>
      <c r="T190" s="495"/>
      <c r="U190" s="495"/>
      <c r="V190" s="495"/>
    </row>
    <row r="191" spans="1:22" ht="12.75">
      <c r="A191" s="495"/>
      <c r="B191" s="495"/>
      <c r="C191" s="495"/>
      <c r="D191" s="495"/>
      <c r="E191" s="495"/>
      <c r="F191" s="495"/>
      <c r="G191" s="495"/>
      <c r="H191" s="495"/>
      <c r="I191" s="495"/>
      <c r="J191" s="495"/>
      <c r="K191" s="495"/>
      <c r="L191" s="495"/>
      <c r="M191" s="495"/>
      <c r="N191" s="495"/>
      <c r="O191" s="495"/>
      <c r="P191" s="495"/>
      <c r="Q191" s="495"/>
      <c r="R191" s="495"/>
      <c r="S191" s="495"/>
      <c r="T191" s="495"/>
      <c r="U191" s="495"/>
      <c r="V191" s="495"/>
    </row>
    <row r="192" spans="1:22" ht="12.75">
      <c r="A192" s="495"/>
      <c r="B192" s="495"/>
      <c r="C192" s="495"/>
      <c r="D192" s="495"/>
      <c r="E192" s="495"/>
      <c r="F192" s="495"/>
      <c r="G192" s="495"/>
      <c r="H192" s="495"/>
      <c r="I192" s="495"/>
      <c r="J192" s="495"/>
      <c r="K192" s="495"/>
      <c r="L192" s="495"/>
      <c r="M192" s="495"/>
      <c r="N192" s="495"/>
      <c r="O192" s="495"/>
      <c r="P192" s="495"/>
      <c r="Q192" s="495"/>
      <c r="R192" s="495"/>
      <c r="S192" s="495"/>
      <c r="T192" s="495"/>
      <c r="U192" s="495"/>
      <c r="V192" s="495"/>
    </row>
    <row r="193" spans="1:22" ht="12.75">
      <c r="A193" s="495"/>
      <c r="B193" s="495"/>
      <c r="C193" s="495"/>
      <c r="D193" s="495"/>
      <c r="E193" s="495"/>
      <c r="F193" s="495"/>
      <c r="G193" s="495"/>
      <c r="H193" s="495"/>
      <c r="I193" s="495"/>
      <c r="J193" s="495"/>
      <c r="K193" s="495"/>
      <c r="L193" s="495"/>
      <c r="M193" s="495"/>
      <c r="N193" s="495"/>
      <c r="O193" s="495"/>
      <c r="P193" s="495"/>
      <c r="Q193" s="495"/>
      <c r="R193" s="495"/>
      <c r="S193" s="495"/>
      <c r="T193" s="495"/>
      <c r="U193" s="495"/>
      <c r="V193" s="495"/>
    </row>
    <row r="194" spans="1:22" ht="12.75">
      <c r="A194" s="495"/>
      <c r="B194" s="495"/>
      <c r="C194" s="495"/>
      <c r="D194" s="495"/>
      <c r="E194" s="495"/>
      <c r="F194" s="495"/>
      <c r="G194" s="495"/>
      <c r="H194" s="495"/>
      <c r="I194" s="495"/>
      <c r="J194" s="495"/>
      <c r="K194" s="495"/>
      <c r="L194" s="495"/>
      <c r="M194" s="495"/>
      <c r="N194" s="495"/>
      <c r="O194" s="495"/>
      <c r="P194" s="495"/>
      <c r="Q194" s="495"/>
      <c r="R194" s="495"/>
      <c r="S194" s="495"/>
      <c r="T194" s="495"/>
      <c r="U194" s="495"/>
      <c r="V194" s="495"/>
    </row>
    <row r="195" spans="1:22" ht="12.75">
      <c r="A195" s="495"/>
      <c r="B195" s="495"/>
      <c r="C195" s="495"/>
      <c r="D195" s="495"/>
      <c r="E195" s="495"/>
      <c r="F195" s="495"/>
      <c r="G195" s="495"/>
      <c r="H195" s="495"/>
      <c r="I195" s="495"/>
      <c r="J195" s="495"/>
      <c r="K195" s="495"/>
      <c r="L195" s="495"/>
      <c r="M195" s="495"/>
      <c r="N195" s="495"/>
      <c r="O195" s="495"/>
      <c r="P195" s="495"/>
      <c r="Q195" s="495"/>
      <c r="R195" s="495"/>
      <c r="S195" s="495"/>
      <c r="T195" s="495"/>
      <c r="U195" s="495"/>
      <c r="V195" s="495"/>
    </row>
    <row r="196" spans="1:22" ht="12.75">
      <c r="A196" s="495"/>
      <c r="B196" s="495"/>
      <c r="C196" s="495"/>
      <c r="D196" s="495"/>
      <c r="E196" s="495"/>
      <c r="F196" s="495"/>
      <c r="G196" s="495"/>
      <c r="H196" s="495"/>
      <c r="I196" s="495"/>
      <c r="J196" s="495"/>
      <c r="K196" s="495"/>
      <c r="L196" s="495"/>
      <c r="M196" s="495"/>
      <c r="N196" s="495"/>
      <c r="O196" s="495"/>
      <c r="P196" s="495"/>
      <c r="Q196" s="495"/>
      <c r="R196" s="495"/>
      <c r="S196" s="495"/>
      <c r="T196" s="495"/>
      <c r="U196" s="495"/>
      <c r="V196" s="495"/>
    </row>
    <row r="197" spans="1:22" ht="12.75">
      <c r="A197" s="495"/>
      <c r="B197" s="495"/>
      <c r="C197" s="495"/>
      <c r="D197" s="495"/>
      <c r="E197" s="495"/>
      <c r="F197" s="495"/>
      <c r="G197" s="495"/>
      <c r="H197" s="495"/>
      <c r="I197" s="495"/>
      <c r="J197" s="495"/>
      <c r="K197" s="495"/>
      <c r="L197" s="495"/>
      <c r="M197" s="495"/>
      <c r="N197" s="495"/>
      <c r="O197" s="495"/>
      <c r="P197" s="495"/>
      <c r="Q197" s="495"/>
      <c r="R197" s="495"/>
      <c r="S197" s="495"/>
      <c r="T197" s="495"/>
      <c r="U197" s="495"/>
      <c r="V197" s="495"/>
    </row>
    <row r="198" spans="1:22" ht="12.75">
      <c r="A198" s="495"/>
      <c r="B198" s="495"/>
      <c r="C198" s="495"/>
      <c r="D198" s="495"/>
      <c r="E198" s="495"/>
      <c r="F198" s="495"/>
      <c r="G198" s="495"/>
      <c r="H198" s="495"/>
      <c r="I198" s="495"/>
      <c r="J198" s="495"/>
      <c r="K198" s="495"/>
      <c r="L198" s="495"/>
      <c r="M198" s="495"/>
      <c r="N198" s="495"/>
      <c r="O198" s="495"/>
      <c r="P198" s="495"/>
      <c r="Q198" s="495"/>
      <c r="R198" s="495"/>
      <c r="S198" s="495"/>
      <c r="T198" s="495"/>
      <c r="U198" s="495"/>
      <c r="V198" s="495"/>
    </row>
    <row r="199" spans="1:22" ht="12.75">
      <c r="A199" s="495"/>
      <c r="B199" s="495"/>
      <c r="C199" s="495"/>
      <c r="D199" s="495"/>
      <c r="E199" s="495"/>
      <c r="F199" s="495"/>
      <c r="G199" s="495"/>
      <c r="H199" s="495"/>
      <c r="I199" s="495"/>
      <c r="J199" s="495"/>
      <c r="K199" s="495"/>
      <c r="L199" s="495"/>
      <c r="M199" s="495"/>
      <c r="N199" s="495"/>
      <c r="O199" s="495"/>
      <c r="P199" s="495"/>
      <c r="Q199" s="495"/>
      <c r="R199" s="495"/>
      <c r="S199" s="495"/>
      <c r="T199" s="495"/>
      <c r="U199" s="495"/>
      <c r="V199" s="495"/>
    </row>
    <row r="200" spans="1:22" ht="12.75">
      <c r="A200" s="495"/>
      <c r="B200" s="495"/>
      <c r="C200" s="495"/>
      <c r="D200" s="495"/>
      <c r="E200" s="495"/>
      <c r="F200" s="495"/>
      <c r="G200" s="495"/>
      <c r="H200" s="495"/>
      <c r="I200" s="495"/>
      <c r="J200" s="495"/>
      <c r="K200" s="495"/>
      <c r="L200" s="495"/>
      <c r="M200" s="495"/>
      <c r="N200" s="495"/>
      <c r="O200" s="495"/>
      <c r="P200" s="495"/>
      <c r="Q200" s="495"/>
      <c r="R200" s="495"/>
      <c r="S200" s="495"/>
      <c r="T200" s="495"/>
      <c r="U200" s="495"/>
      <c r="V200" s="495"/>
    </row>
    <row r="201" spans="1:22" ht="12.75">
      <c r="A201" s="495"/>
      <c r="B201" s="495"/>
      <c r="C201" s="495"/>
      <c r="D201" s="495"/>
      <c r="E201" s="495"/>
      <c r="F201" s="495"/>
      <c r="G201" s="495"/>
      <c r="H201" s="495"/>
      <c r="I201" s="495"/>
      <c r="J201" s="495"/>
      <c r="K201" s="495"/>
      <c r="L201" s="495"/>
      <c r="M201" s="495"/>
      <c r="N201" s="495"/>
      <c r="O201" s="495"/>
      <c r="P201" s="495"/>
      <c r="Q201" s="495"/>
      <c r="R201" s="495"/>
      <c r="S201" s="495"/>
      <c r="T201" s="495"/>
      <c r="U201" s="495"/>
      <c r="V201" s="495"/>
    </row>
    <row r="202" spans="1:22" ht="12.75">
      <c r="A202" s="495"/>
      <c r="B202" s="495"/>
      <c r="C202" s="495"/>
      <c r="D202" s="495"/>
      <c r="E202" s="495"/>
      <c r="F202" s="495"/>
      <c r="G202" s="495"/>
      <c r="H202" s="495"/>
      <c r="I202" s="495"/>
      <c r="J202" s="495"/>
      <c r="K202" s="495"/>
      <c r="L202" s="495"/>
      <c r="M202" s="495"/>
      <c r="N202" s="495"/>
      <c r="O202" s="495"/>
      <c r="P202" s="495"/>
      <c r="Q202" s="495"/>
      <c r="R202" s="495"/>
      <c r="S202" s="495"/>
      <c r="T202" s="495"/>
      <c r="U202" s="495"/>
      <c r="V202" s="495"/>
    </row>
    <row r="203" spans="1:22" ht="12.75">
      <c r="A203" s="495"/>
      <c r="B203" s="495"/>
      <c r="C203" s="495"/>
      <c r="D203" s="495"/>
      <c r="E203" s="495"/>
      <c r="F203" s="495"/>
      <c r="G203" s="495"/>
      <c r="H203" s="495"/>
      <c r="I203" s="495"/>
      <c r="J203" s="495"/>
      <c r="K203" s="495"/>
      <c r="L203" s="495"/>
      <c r="M203" s="495"/>
      <c r="N203" s="495"/>
      <c r="O203" s="495"/>
      <c r="P203" s="495"/>
      <c r="Q203" s="495"/>
      <c r="R203" s="495"/>
      <c r="S203" s="495"/>
      <c r="T203" s="495"/>
      <c r="U203" s="495"/>
      <c r="V203" s="495"/>
    </row>
    <row r="204" spans="1:22" ht="12.75">
      <c r="A204" s="495"/>
      <c r="B204" s="495"/>
      <c r="C204" s="495"/>
      <c r="D204" s="495"/>
      <c r="E204" s="495"/>
      <c r="F204" s="495"/>
      <c r="G204" s="495"/>
      <c r="H204" s="495"/>
      <c r="I204" s="495"/>
      <c r="J204" s="495"/>
      <c r="K204" s="495"/>
      <c r="L204" s="495"/>
      <c r="M204" s="495"/>
      <c r="N204" s="495"/>
      <c r="O204" s="495"/>
      <c r="P204" s="495"/>
      <c r="Q204" s="495"/>
      <c r="R204" s="495"/>
      <c r="S204" s="495"/>
      <c r="T204" s="495"/>
      <c r="U204" s="495"/>
      <c r="V204" s="495"/>
    </row>
    <row r="205" spans="1:22" ht="12.75">
      <c r="A205" s="495"/>
      <c r="B205" s="495"/>
      <c r="C205" s="495"/>
      <c r="D205" s="495"/>
      <c r="E205" s="495"/>
      <c r="F205" s="495"/>
      <c r="G205" s="495"/>
      <c r="H205" s="495"/>
      <c r="I205" s="495"/>
      <c r="J205" s="495"/>
      <c r="K205" s="495"/>
      <c r="L205" s="495"/>
      <c r="M205" s="495"/>
      <c r="N205" s="495"/>
      <c r="O205" s="495"/>
      <c r="P205" s="495"/>
      <c r="Q205" s="495"/>
      <c r="R205" s="495"/>
      <c r="S205" s="495"/>
      <c r="T205" s="495"/>
      <c r="U205" s="495"/>
      <c r="V205" s="495"/>
    </row>
    <row r="206" spans="1:22" ht="12.75">
      <c r="A206" s="495"/>
      <c r="B206" s="495"/>
      <c r="C206" s="495"/>
      <c r="D206" s="495"/>
      <c r="E206" s="495"/>
      <c r="F206" s="495"/>
      <c r="G206" s="495"/>
      <c r="H206" s="495"/>
      <c r="I206" s="495"/>
      <c r="J206" s="495"/>
      <c r="K206" s="495"/>
      <c r="L206" s="495"/>
      <c r="M206" s="495"/>
      <c r="N206" s="495"/>
      <c r="O206" s="495"/>
      <c r="P206" s="495"/>
      <c r="Q206" s="495"/>
      <c r="R206" s="495"/>
      <c r="S206" s="495"/>
      <c r="T206" s="495"/>
      <c r="U206" s="495"/>
      <c r="V206" s="495"/>
    </row>
    <row r="207" spans="1:22" ht="12.75">
      <c r="A207" s="495"/>
      <c r="B207" s="495"/>
      <c r="C207" s="495"/>
      <c r="D207" s="495"/>
      <c r="E207" s="495"/>
      <c r="F207" s="495"/>
      <c r="G207" s="495"/>
      <c r="H207" s="495"/>
      <c r="I207" s="495"/>
      <c r="J207" s="495"/>
      <c r="K207" s="495"/>
      <c r="L207" s="495"/>
      <c r="M207" s="495"/>
      <c r="N207" s="495"/>
      <c r="O207" s="495"/>
      <c r="P207" s="495"/>
      <c r="Q207" s="495"/>
      <c r="R207" s="495"/>
      <c r="S207" s="495"/>
      <c r="T207" s="495"/>
      <c r="U207" s="495"/>
      <c r="V207" s="495"/>
    </row>
    <row r="208" spans="1:22" ht="12.75">
      <c r="A208" s="495"/>
      <c r="B208" s="495"/>
      <c r="C208" s="495"/>
      <c r="D208" s="495"/>
      <c r="E208" s="495"/>
      <c r="F208" s="495"/>
      <c r="G208" s="495"/>
      <c r="H208" s="495"/>
      <c r="I208" s="495"/>
      <c r="J208" s="495"/>
      <c r="K208" s="495"/>
      <c r="L208" s="495"/>
      <c r="M208" s="495"/>
      <c r="N208" s="495"/>
      <c r="O208" s="495"/>
      <c r="P208" s="495"/>
      <c r="Q208" s="495"/>
      <c r="R208" s="495"/>
      <c r="S208" s="495"/>
      <c r="T208" s="495"/>
      <c r="U208" s="495"/>
      <c r="V208" s="495"/>
    </row>
    <row r="209" spans="1:22" ht="12.75">
      <c r="A209" s="495"/>
      <c r="B209" s="495"/>
      <c r="C209" s="495"/>
      <c r="D209" s="495"/>
      <c r="E209" s="495"/>
      <c r="F209" s="495"/>
      <c r="G209" s="495"/>
      <c r="H209" s="495"/>
      <c r="I209" s="495"/>
      <c r="J209" s="495"/>
      <c r="K209" s="495"/>
      <c r="L209" s="495"/>
      <c r="M209" s="495"/>
      <c r="N209" s="495"/>
      <c r="O209" s="495"/>
      <c r="P209" s="495"/>
      <c r="Q209" s="495"/>
      <c r="R209" s="495"/>
      <c r="S209" s="495"/>
      <c r="T209" s="495"/>
      <c r="U209" s="495"/>
      <c r="V209" s="495"/>
    </row>
    <row r="210" spans="1:22" ht="12.75">
      <c r="A210" s="495"/>
      <c r="B210" s="495"/>
      <c r="C210" s="495"/>
      <c r="D210" s="495"/>
      <c r="E210" s="495"/>
      <c r="F210" s="495"/>
      <c r="G210" s="495"/>
      <c r="H210" s="495"/>
      <c r="I210" s="495"/>
      <c r="J210" s="495"/>
      <c r="K210" s="495"/>
      <c r="L210" s="495"/>
      <c r="M210" s="495"/>
      <c r="N210" s="495"/>
      <c r="O210" s="495"/>
      <c r="P210" s="495"/>
      <c r="Q210" s="495"/>
      <c r="R210" s="495"/>
      <c r="S210" s="495"/>
      <c r="T210" s="495"/>
      <c r="U210" s="495"/>
      <c r="V210" s="495"/>
    </row>
    <row r="211" spans="1:22" ht="12.75">
      <c r="A211" s="495"/>
      <c r="B211" s="495"/>
      <c r="C211" s="495"/>
      <c r="D211" s="495"/>
      <c r="E211" s="495"/>
      <c r="F211" s="495"/>
      <c r="G211" s="495"/>
      <c r="H211" s="495"/>
      <c r="I211" s="495"/>
      <c r="J211" s="495"/>
      <c r="K211" s="495"/>
      <c r="L211" s="495"/>
      <c r="M211" s="495"/>
      <c r="N211" s="495"/>
      <c r="O211" s="495"/>
      <c r="P211" s="495"/>
      <c r="Q211" s="495"/>
      <c r="R211" s="495"/>
      <c r="S211" s="495"/>
      <c r="T211" s="495"/>
      <c r="U211" s="495"/>
      <c r="V211" s="495"/>
    </row>
    <row r="212" spans="1:22" ht="12.75">
      <c r="A212" s="495"/>
      <c r="B212" s="495"/>
      <c r="C212" s="495"/>
      <c r="D212" s="495"/>
      <c r="E212" s="495"/>
      <c r="F212" s="495"/>
      <c r="G212" s="495"/>
      <c r="H212" s="495"/>
      <c r="I212" s="495"/>
      <c r="J212" s="495"/>
      <c r="K212" s="495"/>
      <c r="L212" s="495"/>
      <c r="M212" s="495"/>
      <c r="N212" s="495"/>
      <c r="O212" s="495"/>
      <c r="P212" s="495"/>
      <c r="Q212" s="495"/>
      <c r="R212" s="495"/>
      <c r="S212" s="495"/>
      <c r="T212" s="495"/>
      <c r="U212" s="495"/>
      <c r="V212" s="495"/>
    </row>
    <row r="213" spans="1:22" ht="12.75">
      <c r="A213" s="495"/>
      <c r="B213" s="495"/>
      <c r="C213" s="495"/>
      <c r="D213" s="495"/>
      <c r="E213" s="495"/>
      <c r="F213" s="495"/>
      <c r="G213" s="495"/>
      <c r="H213" s="495"/>
      <c r="I213" s="495"/>
      <c r="J213" s="495"/>
      <c r="K213" s="495"/>
      <c r="L213" s="495"/>
      <c r="M213" s="495"/>
      <c r="N213" s="495"/>
      <c r="O213" s="495"/>
      <c r="P213" s="495"/>
      <c r="Q213" s="495"/>
      <c r="R213" s="495"/>
      <c r="S213" s="495"/>
      <c r="T213" s="495"/>
      <c r="U213" s="495"/>
      <c r="V213" s="495"/>
    </row>
    <row r="214" spans="1:22" ht="12.75">
      <c r="A214" s="495"/>
      <c r="B214" s="495"/>
      <c r="C214" s="495"/>
      <c r="D214" s="495"/>
      <c r="E214" s="495"/>
      <c r="F214" s="495"/>
      <c r="G214" s="495"/>
      <c r="H214" s="495"/>
      <c r="I214" s="495"/>
      <c r="J214" s="495"/>
      <c r="K214" s="495"/>
      <c r="L214" s="495"/>
      <c r="M214" s="495"/>
      <c r="N214" s="495"/>
      <c r="O214" s="495"/>
      <c r="P214" s="495"/>
      <c r="Q214" s="495"/>
      <c r="R214" s="495"/>
      <c r="S214" s="495"/>
      <c r="T214" s="495"/>
      <c r="U214" s="495"/>
      <c r="V214" s="495"/>
    </row>
    <row r="215" spans="1:22" ht="12.75">
      <c r="A215" s="495"/>
      <c r="B215" s="495"/>
      <c r="C215" s="495"/>
      <c r="D215" s="495"/>
      <c r="E215" s="495"/>
      <c r="F215" s="495"/>
      <c r="G215" s="495"/>
      <c r="H215" s="495"/>
      <c r="I215" s="495"/>
      <c r="J215" s="495"/>
      <c r="K215" s="495"/>
      <c r="L215" s="495"/>
      <c r="M215" s="495"/>
      <c r="N215" s="495"/>
      <c r="O215" s="495"/>
      <c r="P215" s="495"/>
      <c r="Q215" s="495"/>
      <c r="R215" s="495"/>
      <c r="S215" s="495"/>
      <c r="T215" s="495"/>
      <c r="U215" s="495"/>
      <c r="V215" s="495"/>
    </row>
    <row r="216" spans="1:22" ht="12.75">
      <c r="A216" s="495"/>
      <c r="B216" s="495"/>
      <c r="C216" s="495"/>
      <c r="D216" s="495"/>
      <c r="E216" s="495"/>
      <c r="F216" s="495"/>
      <c r="G216" s="495"/>
      <c r="H216" s="495"/>
      <c r="I216" s="495"/>
      <c r="J216" s="495"/>
      <c r="K216" s="495"/>
      <c r="L216" s="495"/>
      <c r="M216" s="495"/>
      <c r="N216" s="495"/>
      <c r="O216" s="495"/>
      <c r="P216" s="495"/>
      <c r="Q216" s="495"/>
      <c r="R216" s="495"/>
      <c r="S216" s="495"/>
      <c r="T216" s="495"/>
      <c r="U216" s="495"/>
      <c r="V216" s="495"/>
    </row>
    <row r="217" spans="1:22" ht="12.75">
      <c r="A217" s="495"/>
      <c r="B217" s="495"/>
      <c r="C217" s="495"/>
      <c r="D217" s="495"/>
      <c r="E217" s="495"/>
      <c r="F217" s="495"/>
      <c r="G217" s="495"/>
      <c r="H217" s="495"/>
      <c r="I217" s="495"/>
      <c r="J217" s="495"/>
      <c r="K217" s="495"/>
      <c r="L217" s="495"/>
      <c r="M217" s="495"/>
      <c r="N217" s="495"/>
      <c r="O217" s="495"/>
      <c r="P217" s="495"/>
      <c r="Q217" s="495"/>
      <c r="R217" s="495"/>
      <c r="S217" s="495"/>
      <c r="T217" s="495"/>
      <c r="U217" s="495"/>
      <c r="V217" s="495"/>
    </row>
    <row r="218" spans="1:22" ht="12.75">
      <c r="A218" s="495"/>
      <c r="B218" s="495"/>
      <c r="C218" s="495"/>
      <c r="D218" s="495"/>
      <c r="E218" s="495"/>
      <c r="F218" s="495"/>
      <c r="G218" s="495"/>
      <c r="H218" s="495"/>
      <c r="I218" s="495"/>
      <c r="J218" s="495"/>
      <c r="K218" s="495"/>
      <c r="L218" s="495"/>
      <c r="M218" s="495"/>
      <c r="N218" s="495"/>
      <c r="O218" s="495"/>
      <c r="P218" s="495"/>
      <c r="Q218" s="495"/>
      <c r="R218" s="495"/>
      <c r="S218" s="495"/>
      <c r="T218" s="495"/>
      <c r="U218" s="495"/>
      <c r="V218" s="495"/>
    </row>
    <row r="219" spans="1:22" ht="12.75">
      <c r="A219" s="495"/>
      <c r="B219" s="495"/>
      <c r="C219" s="495"/>
      <c r="D219" s="495"/>
      <c r="E219" s="495"/>
      <c r="F219" s="495"/>
      <c r="G219" s="495"/>
      <c r="H219" s="495"/>
      <c r="I219" s="495"/>
      <c r="J219" s="495"/>
      <c r="K219" s="495"/>
      <c r="L219" s="495"/>
      <c r="M219" s="495"/>
      <c r="N219" s="495"/>
      <c r="O219" s="495"/>
      <c r="P219" s="495"/>
      <c r="Q219" s="495"/>
      <c r="R219" s="495"/>
      <c r="S219" s="495"/>
      <c r="T219" s="495"/>
      <c r="U219" s="495"/>
      <c r="V219" s="495"/>
    </row>
    <row r="220" spans="1:22" ht="12.75">
      <c r="A220" s="495"/>
      <c r="B220" s="495"/>
      <c r="C220" s="495"/>
      <c r="D220" s="495"/>
      <c r="E220" s="495"/>
      <c r="F220" s="495"/>
      <c r="G220" s="495"/>
      <c r="H220" s="495"/>
      <c r="I220" s="495"/>
      <c r="J220" s="495"/>
      <c r="K220" s="495"/>
      <c r="L220" s="495"/>
      <c r="M220" s="495"/>
      <c r="N220" s="495"/>
      <c r="O220" s="495"/>
      <c r="P220" s="495"/>
      <c r="Q220" s="495"/>
      <c r="R220" s="495"/>
      <c r="S220" s="495"/>
      <c r="T220" s="495"/>
      <c r="U220" s="495"/>
      <c r="V220" s="495"/>
    </row>
    <row r="221" spans="1:22" ht="12.75">
      <c r="A221" s="495"/>
      <c r="B221" s="495"/>
      <c r="C221" s="495"/>
      <c r="D221" s="495"/>
      <c r="E221" s="495"/>
      <c r="F221" s="495"/>
      <c r="G221" s="495"/>
      <c r="H221" s="495"/>
      <c r="I221" s="495"/>
      <c r="J221" s="495"/>
      <c r="K221" s="495"/>
      <c r="L221" s="495"/>
      <c r="M221" s="495"/>
      <c r="N221" s="495"/>
      <c r="O221" s="495"/>
      <c r="P221" s="495"/>
      <c r="Q221" s="495"/>
      <c r="R221" s="495"/>
      <c r="S221" s="495"/>
      <c r="T221" s="495"/>
      <c r="U221" s="495"/>
      <c r="V221" s="495"/>
    </row>
    <row r="222" spans="1:22" ht="12.75">
      <c r="A222" s="495"/>
      <c r="B222" s="495"/>
      <c r="C222" s="495"/>
      <c r="D222" s="495"/>
      <c r="E222" s="495"/>
      <c r="F222" s="495"/>
      <c r="G222" s="495"/>
      <c r="H222" s="495"/>
      <c r="I222" s="495"/>
      <c r="J222" s="495"/>
      <c r="K222" s="495"/>
      <c r="L222" s="495"/>
      <c r="M222" s="495"/>
      <c r="N222" s="495"/>
      <c r="O222" s="495"/>
      <c r="P222" s="495"/>
      <c r="Q222" s="495"/>
      <c r="R222" s="495"/>
      <c r="S222" s="495"/>
      <c r="T222" s="495"/>
      <c r="U222" s="495"/>
      <c r="V222" s="495"/>
    </row>
    <row r="223" spans="1:22" ht="12.75">
      <c r="A223" s="495"/>
      <c r="B223" s="495"/>
      <c r="C223" s="495"/>
      <c r="D223" s="495"/>
      <c r="E223" s="495"/>
      <c r="F223" s="495"/>
      <c r="G223" s="495"/>
      <c r="H223" s="495"/>
      <c r="I223" s="495"/>
      <c r="J223" s="495"/>
      <c r="K223" s="495"/>
      <c r="L223" s="495"/>
      <c r="M223" s="495"/>
      <c r="N223" s="495"/>
      <c r="O223" s="495"/>
      <c r="P223" s="495"/>
      <c r="Q223" s="495"/>
      <c r="R223" s="495"/>
      <c r="S223" s="495"/>
      <c r="T223" s="495"/>
      <c r="U223" s="495"/>
      <c r="V223" s="495"/>
    </row>
    <row r="224" spans="1:22" ht="12.75">
      <c r="A224" s="495"/>
      <c r="B224" s="495"/>
      <c r="C224" s="495"/>
      <c r="D224" s="495"/>
      <c r="E224" s="495"/>
      <c r="F224" s="495"/>
      <c r="G224" s="495"/>
      <c r="H224" s="495"/>
      <c r="I224" s="495"/>
      <c r="J224" s="495"/>
      <c r="K224" s="495"/>
      <c r="L224" s="495"/>
      <c r="M224" s="495"/>
      <c r="N224" s="495"/>
      <c r="O224" s="495"/>
      <c r="P224" s="495"/>
      <c r="Q224" s="495"/>
      <c r="R224" s="495"/>
      <c r="S224" s="495"/>
      <c r="T224" s="495"/>
      <c r="U224" s="495"/>
      <c r="V224" s="495"/>
    </row>
    <row r="225" spans="1:22" ht="12.75">
      <c r="A225" s="495"/>
      <c r="B225" s="495"/>
      <c r="C225" s="495"/>
      <c r="D225" s="495"/>
      <c r="E225" s="495"/>
      <c r="F225" s="495"/>
      <c r="G225" s="495"/>
      <c r="H225" s="495"/>
      <c r="I225" s="495"/>
      <c r="J225" s="495"/>
      <c r="K225" s="495"/>
      <c r="L225" s="495"/>
      <c r="M225" s="495"/>
      <c r="N225" s="495"/>
      <c r="O225" s="495"/>
      <c r="P225" s="495"/>
      <c r="Q225" s="495"/>
      <c r="R225" s="495"/>
      <c r="S225" s="495"/>
      <c r="T225" s="495"/>
      <c r="U225" s="495"/>
      <c r="V225" s="495"/>
    </row>
    <row r="226" spans="1:22" ht="12.75">
      <c r="A226" s="495"/>
      <c r="B226" s="495"/>
      <c r="C226" s="495"/>
      <c r="D226" s="495"/>
      <c r="E226" s="495"/>
      <c r="F226" s="495"/>
      <c r="G226" s="495"/>
      <c r="H226" s="495"/>
      <c r="I226" s="495"/>
      <c r="J226" s="495"/>
      <c r="K226" s="495"/>
      <c r="L226" s="495"/>
      <c r="M226" s="495"/>
      <c r="N226" s="495"/>
      <c r="O226" s="495"/>
      <c r="P226" s="495"/>
      <c r="Q226" s="495"/>
      <c r="R226" s="495"/>
      <c r="S226" s="495"/>
      <c r="T226" s="495"/>
      <c r="U226" s="495"/>
      <c r="V226" s="495"/>
    </row>
    <row r="227" spans="1:22" ht="12.75">
      <c r="A227" s="495"/>
      <c r="B227" s="495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495"/>
      <c r="N227" s="495"/>
      <c r="O227" s="495"/>
      <c r="P227" s="495"/>
      <c r="Q227" s="495"/>
      <c r="R227" s="495"/>
      <c r="S227" s="495"/>
      <c r="T227" s="495"/>
      <c r="U227" s="495"/>
      <c r="V227" s="495"/>
    </row>
    <row r="228" spans="1:22" ht="12.75">
      <c r="A228" s="495"/>
      <c r="B228" s="495"/>
      <c r="C228" s="495"/>
      <c r="D228" s="495"/>
      <c r="E228" s="495"/>
      <c r="F228" s="495"/>
      <c r="G228" s="495"/>
      <c r="H228" s="495"/>
      <c r="I228" s="495"/>
      <c r="J228" s="495"/>
      <c r="K228" s="495"/>
      <c r="L228" s="495"/>
      <c r="M228" s="495"/>
      <c r="N228" s="495"/>
      <c r="O228" s="495"/>
      <c r="P228" s="495"/>
      <c r="Q228" s="495"/>
      <c r="R228" s="495"/>
      <c r="S228" s="495"/>
      <c r="T228" s="495"/>
      <c r="U228" s="495"/>
      <c r="V228" s="495"/>
    </row>
    <row r="229" spans="1:22" ht="12.75">
      <c r="A229" s="495"/>
      <c r="B229" s="495"/>
      <c r="C229" s="495"/>
      <c r="D229" s="495"/>
      <c r="E229" s="495"/>
      <c r="F229" s="495"/>
      <c r="G229" s="495"/>
      <c r="H229" s="495"/>
      <c r="I229" s="495"/>
      <c r="J229" s="495"/>
      <c r="K229" s="495"/>
      <c r="L229" s="495"/>
      <c r="M229" s="495"/>
      <c r="N229" s="495"/>
      <c r="O229" s="495"/>
      <c r="P229" s="495"/>
      <c r="Q229" s="495"/>
      <c r="R229" s="495"/>
      <c r="S229" s="495"/>
      <c r="T229" s="495"/>
      <c r="U229" s="495"/>
      <c r="V229" s="495"/>
    </row>
    <row r="230" spans="1:22" ht="12.75">
      <c r="A230" s="495"/>
      <c r="B230" s="495"/>
      <c r="C230" s="495"/>
      <c r="D230" s="495"/>
      <c r="E230" s="495"/>
      <c r="F230" s="495"/>
      <c r="G230" s="495"/>
      <c r="H230" s="495"/>
      <c r="I230" s="495"/>
      <c r="J230" s="495"/>
      <c r="K230" s="495"/>
      <c r="L230" s="495"/>
      <c r="M230" s="495"/>
      <c r="N230" s="495"/>
      <c r="O230" s="495"/>
      <c r="P230" s="495"/>
      <c r="Q230" s="495"/>
      <c r="R230" s="495"/>
      <c r="S230" s="495"/>
      <c r="T230" s="495"/>
      <c r="U230" s="495"/>
      <c r="V230" s="495"/>
    </row>
    <row r="231" spans="1:22" ht="12.75">
      <c r="A231" s="495"/>
      <c r="B231" s="495"/>
      <c r="C231" s="495"/>
      <c r="D231" s="495"/>
      <c r="E231" s="495"/>
      <c r="F231" s="495"/>
      <c r="G231" s="495"/>
      <c r="H231" s="495"/>
      <c r="I231" s="495"/>
      <c r="J231" s="495"/>
      <c r="K231" s="495"/>
      <c r="L231" s="495"/>
      <c r="M231" s="495"/>
      <c r="N231" s="495"/>
      <c r="O231" s="495"/>
      <c r="P231" s="495"/>
      <c r="Q231" s="495"/>
      <c r="R231" s="495"/>
      <c r="S231" s="495"/>
      <c r="T231" s="495"/>
      <c r="U231" s="495"/>
      <c r="V231" s="495"/>
    </row>
    <row r="232" spans="1:22" ht="12.75">
      <c r="A232" s="495"/>
      <c r="B232" s="495"/>
      <c r="C232" s="495"/>
      <c r="D232" s="495"/>
      <c r="E232" s="495"/>
      <c r="F232" s="495"/>
      <c r="G232" s="495"/>
      <c r="H232" s="495"/>
      <c r="I232" s="495"/>
      <c r="J232" s="495"/>
      <c r="K232" s="495"/>
      <c r="L232" s="495"/>
      <c r="M232" s="495"/>
      <c r="N232" s="495"/>
      <c r="O232" s="495"/>
      <c r="P232" s="495"/>
      <c r="Q232" s="495"/>
      <c r="R232" s="495"/>
      <c r="S232" s="495"/>
      <c r="T232" s="495"/>
      <c r="U232" s="495"/>
      <c r="V232" s="495"/>
    </row>
    <row r="233" spans="1:22" ht="12.75">
      <c r="A233" s="495"/>
      <c r="B233" s="495"/>
      <c r="C233" s="495"/>
      <c r="D233" s="495"/>
      <c r="E233" s="495"/>
      <c r="F233" s="495"/>
      <c r="G233" s="495"/>
      <c r="H233" s="495"/>
      <c r="I233" s="495"/>
      <c r="J233" s="495"/>
      <c r="K233" s="495"/>
      <c r="L233" s="495"/>
      <c r="M233" s="495"/>
      <c r="N233" s="495"/>
      <c r="O233" s="495"/>
      <c r="P233" s="495"/>
      <c r="Q233" s="495"/>
      <c r="R233" s="495"/>
      <c r="S233" s="495"/>
      <c r="T233" s="495"/>
      <c r="U233" s="495"/>
      <c r="V233" s="495"/>
    </row>
    <row r="234" spans="1:22" ht="12.75">
      <c r="A234" s="495"/>
      <c r="B234" s="495"/>
      <c r="C234" s="495"/>
      <c r="D234" s="495"/>
      <c r="E234" s="495"/>
      <c r="F234" s="495"/>
      <c r="G234" s="495"/>
      <c r="H234" s="495"/>
      <c r="I234" s="495"/>
      <c r="J234" s="495"/>
      <c r="K234" s="495"/>
      <c r="L234" s="495"/>
      <c r="M234" s="495"/>
      <c r="N234" s="495"/>
      <c r="O234" s="495"/>
      <c r="P234" s="495"/>
      <c r="Q234" s="495"/>
      <c r="R234" s="495"/>
      <c r="S234" s="495"/>
      <c r="T234" s="495"/>
      <c r="U234" s="495"/>
      <c r="V234" s="495"/>
    </row>
    <row r="235" spans="1:22" ht="12.75">
      <c r="A235" s="495"/>
      <c r="B235" s="495"/>
      <c r="C235" s="495"/>
      <c r="D235" s="495"/>
      <c r="E235" s="495"/>
      <c r="F235" s="495"/>
      <c r="G235" s="495"/>
      <c r="H235" s="495"/>
      <c r="I235" s="495"/>
      <c r="J235" s="495"/>
      <c r="K235" s="495"/>
      <c r="L235" s="495"/>
      <c r="M235" s="495"/>
      <c r="N235" s="495"/>
      <c r="O235" s="495"/>
      <c r="P235" s="495"/>
      <c r="Q235" s="495"/>
      <c r="R235" s="495"/>
      <c r="S235" s="495"/>
      <c r="T235" s="495"/>
      <c r="U235" s="495"/>
      <c r="V235" s="495"/>
    </row>
    <row r="236" spans="1:22" ht="12.75">
      <c r="A236" s="495"/>
      <c r="B236" s="495"/>
      <c r="C236" s="495"/>
      <c r="D236" s="495"/>
      <c r="E236" s="495"/>
      <c r="F236" s="495"/>
      <c r="G236" s="495"/>
      <c r="H236" s="495"/>
      <c r="I236" s="495"/>
      <c r="J236" s="495"/>
      <c r="K236" s="495"/>
      <c r="L236" s="495"/>
      <c r="M236" s="495"/>
      <c r="N236" s="495"/>
      <c r="O236" s="495"/>
      <c r="P236" s="495"/>
      <c r="Q236" s="495"/>
      <c r="R236" s="495"/>
      <c r="S236" s="495"/>
      <c r="T236" s="495"/>
      <c r="U236" s="495"/>
      <c r="V236" s="495"/>
    </row>
    <row r="237" spans="1:22" ht="12.75">
      <c r="A237" s="495"/>
      <c r="B237" s="495"/>
      <c r="C237" s="495"/>
      <c r="D237" s="495"/>
      <c r="E237" s="495"/>
      <c r="F237" s="495"/>
      <c r="G237" s="495"/>
      <c r="H237" s="495"/>
      <c r="I237" s="495"/>
      <c r="J237" s="495"/>
      <c r="K237" s="495"/>
      <c r="L237" s="495"/>
      <c r="M237" s="495"/>
      <c r="N237" s="495"/>
      <c r="O237" s="495"/>
      <c r="P237" s="495"/>
      <c r="Q237" s="495"/>
      <c r="R237" s="495"/>
      <c r="S237" s="495"/>
      <c r="T237" s="495"/>
      <c r="U237" s="495"/>
      <c r="V237" s="495"/>
    </row>
    <row r="238" spans="1:22" ht="12.75">
      <c r="A238" s="495"/>
      <c r="B238" s="495"/>
      <c r="C238" s="495"/>
      <c r="D238" s="495"/>
      <c r="E238" s="495"/>
      <c r="F238" s="495"/>
      <c r="G238" s="495"/>
      <c r="H238" s="495"/>
      <c r="I238" s="495"/>
      <c r="J238" s="495"/>
      <c r="K238" s="495"/>
      <c r="L238" s="495"/>
      <c r="M238" s="495"/>
      <c r="N238" s="495"/>
      <c r="O238" s="495"/>
      <c r="P238" s="495"/>
      <c r="Q238" s="495"/>
      <c r="R238" s="495"/>
      <c r="S238" s="495"/>
      <c r="T238" s="495"/>
      <c r="U238" s="495"/>
      <c r="V238" s="495"/>
    </row>
    <row r="239" spans="1:22" ht="12.75">
      <c r="A239" s="495"/>
      <c r="B239" s="495"/>
      <c r="C239" s="495"/>
      <c r="D239" s="495"/>
      <c r="E239" s="495"/>
      <c r="F239" s="495"/>
      <c r="G239" s="495"/>
      <c r="H239" s="495"/>
      <c r="I239" s="495"/>
      <c r="J239" s="495"/>
      <c r="K239" s="495"/>
      <c r="L239" s="495"/>
      <c r="M239" s="495"/>
      <c r="N239" s="495"/>
      <c r="O239" s="495"/>
      <c r="P239" s="495"/>
      <c r="Q239" s="495"/>
      <c r="R239" s="495"/>
      <c r="S239" s="495"/>
      <c r="T239" s="495"/>
      <c r="U239" s="495"/>
      <c r="V239" s="495"/>
    </row>
    <row r="240" spans="1:22" ht="12.75">
      <c r="A240" s="495"/>
      <c r="B240" s="495"/>
      <c r="C240" s="495"/>
      <c r="D240" s="495"/>
      <c r="E240" s="495"/>
      <c r="F240" s="495"/>
      <c r="G240" s="495"/>
      <c r="H240" s="495"/>
      <c r="I240" s="495"/>
      <c r="J240" s="495"/>
      <c r="K240" s="495"/>
      <c r="L240" s="495"/>
      <c r="M240" s="495"/>
      <c r="N240" s="495"/>
      <c r="O240" s="495"/>
      <c r="P240" s="495"/>
      <c r="Q240" s="495"/>
      <c r="R240" s="495"/>
      <c r="S240" s="495"/>
      <c r="T240" s="495"/>
      <c r="U240" s="495"/>
      <c r="V240" s="495"/>
    </row>
    <row r="241" spans="1:22" ht="12.75">
      <c r="A241" s="495"/>
      <c r="B241" s="495"/>
      <c r="C241" s="495"/>
      <c r="D241" s="495"/>
      <c r="E241" s="495"/>
      <c r="F241" s="495"/>
      <c r="G241" s="495"/>
      <c r="H241" s="495"/>
      <c r="I241" s="495"/>
      <c r="J241" s="495"/>
      <c r="K241" s="495"/>
      <c r="L241" s="495"/>
      <c r="M241" s="495"/>
      <c r="N241" s="495"/>
      <c r="O241" s="495"/>
      <c r="P241" s="495"/>
      <c r="Q241" s="495"/>
      <c r="R241" s="495"/>
      <c r="S241" s="495"/>
      <c r="T241" s="495"/>
      <c r="U241" s="495"/>
      <c r="V241" s="495"/>
    </row>
    <row r="242" spans="1:22" ht="12.75">
      <c r="A242" s="495"/>
      <c r="B242" s="495"/>
      <c r="C242" s="495"/>
      <c r="D242" s="495"/>
      <c r="E242" s="495"/>
      <c r="F242" s="495"/>
      <c r="G242" s="495"/>
      <c r="H242" s="495"/>
      <c r="I242" s="495"/>
      <c r="J242" s="495"/>
      <c r="K242" s="495"/>
      <c r="L242" s="495"/>
      <c r="M242" s="495"/>
      <c r="N242" s="495"/>
      <c r="O242" s="495"/>
      <c r="P242" s="495"/>
      <c r="Q242" s="495"/>
      <c r="R242" s="495"/>
      <c r="S242" s="495"/>
      <c r="T242" s="495"/>
      <c r="U242" s="495"/>
      <c r="V242" s="495"/>
    </row>
    <row r="243" spans="1:22" ht="12.75">
      <c r="A243" s="495"/>
      <c r="B243" s="495"/>
      <c r="C243" s="495"/>
      <c r="D243" s="495"/>
      <c r="E243" s="495"/>
      <c r="F243" s="495"/>
      <c r="G243" s="495"/>
      <c r="H243" s="495"/>
      <c r="I243" s="495"/>
      <c r="J243" s="495"/>
      <c r="K243" s="495"/>
      <c r="L243" s="495"/>
      <c r="M243" s="495"/>
      <c r="N243" s="495"/>
      <c r="O243" s="495"/>
      <c r="P243" s="495"/>
      <c r="Q243" s="495"/>
      <c r="R243" s="495"/>
      <c r="S243" s="495"/>
      <c r="T243" s="495"/>
      <c r="U243" s="495"/>
      <c r="V243" s="495"/>
    </row>
    <row r="244" spans="1:22" ht="12.75">
      <c r="A244" s="495"/>
      <c r="B244" s="495"/>
      <c r="C244" s="495"/>
      <c r="D244" s="495"/>
      <c r="E244" s="495"/>
      <c r="F244" s="495"/>
      <c r="G244" s="495"/>
      <c r="H244" s="495"/>
      <c r="I244" s="495"/>
      <c r="J244" s="495"/>
      <c r="K244" s="495"/>
      <c r="L244" s="495"/>
      <c r="M244" s="495"/>
      <c r="N244" s="495"/>
      <c r="O244" s="495"/>
      <c r="P244" s="495"/>
      <c r="Q244" s="495"/>
      <c r="R244" s="495"/>
      <c r="S244" s="495"/>
      <c r="T244" s="495"/>
      <c r="U244" s="495"/>
      <c r="V244" s="495"/>
    </row>
    <row r="245" spans="1:22" ht="12.75">
      <c r="A245" s="495"/>
      <c r="B245" s="495"/>
      <c r="C245" s="495"/>
      <c r="D245" s="495"/>
      <c r="E245" s="495"/>
      <c r="F245" s="495"/>
      <c r="G245" s="495"/>
      <c r="H245" s="495"/>
      <c r="I245" s="495"/>
      <c r="J245" s="495"/>
      <c r="K245" s="495"/>
      <c r="L245" s="495"/>
      <c r="M245" s="495"/>
      <c r="N245" s="495"/>
      <c r="O245" s="495"/>
      <c r="P245" s="495"/>
      <c r="Q245" s="495"/>
      <c r="R245" s="495"/>
      <c r="S245" s="495"/>
      <c r="T245" s="495"/>
      <c r="U245" s="495"/>
      <c r="V245" s="495"/>
    </row>
    <row r="246" spans="1:22" ht="12.75">
      <c r="A246" s="495"/>
      <c r="B246" s="495"/>
      <c r="C246" s="495"/>
      <c r="D246" s="495"/>
      <c r="E246" s="495"/>
      <c r="F246" s="495"/>
      <c r="G246" s="495"/>
      <c r="H246" s="495"/>
      <c r="I246" s="495"/>
      <c r="J246" s="495"/>
      <c r="K246" s="495"/>
      <c r="L246" s="495"/>
      <c r="M246" s="495"/>
      <c r="N246" s="495"/>
      <c r="O246" s="495"/>
      <c r="P246" s="495"/>
      <c r="Q246" s="495"/>
      <c r="R246" s="495"/>
      <c r="S246" s="495"/>
      <c r="T246" s="495"/>
      <c r="U246" s="495"/>
      <c r="V246" s="495"/>
    </row>
    <row r="247" spans="1:22" ht="12.75">
      <c r="A247" s="495"/>
      <c r="B247" s="495"/>
      <c r="C247" s="495"/>
      <c r="D247" s="495"/>
      <c r="E247" s="495"/>
      <c r="F247" s="495"/>
      <c r="G247" s="495"/>
      <c r="H247" s="495"/>
      <c r="I247" s="495"/>
      <c r="J247" s="495"/>
      <c r="K247" s="495"/>
      <c r="L247" s="495"/>
      <c r="M247" s="495"/>
      <c r="N247" s="495"/>
      <c r="O247" s="495"/>
      <c r="P247" s="495"/>
      <c r="Q247" s="495"/>
      <c r="R247" s="495"/>
      <c r="S247" s="495"/>
      <c r="T247" s="495"/>
      <c r="U247" s="495"/>
      <c r="V247" s="495"/>
    </row>
    <row r="248" spans="1:22" ht="12.75">
      <c r="A248" s="495"/>
      <c r="B248" s="495"/>
      <c r="C248" s="495"/>
      <c r="D248" s="495"/>
      <c r="E248" s="495"/>
      <c r="F248" s="495"/>
      <c r="G248" s="495"/>
      <c r="H248" s="495"/>
      <c r="I248" s="495"/>
      <c r="J248" s="495"/>
      <c r="K248" s="495"/>
      <c r="L248" s="495"/>
      <c r="M248" s="495"/>
      <c r="N248" s="495"/>
      <c r="O248" s="495"/>
      <c r="P248" s="495"/>
      <c r="Q248" s="495"/>
      <c r="R248" s="495"/>
      <c r="S248" s="495"/>
      <c r="T248" s="495"/>
      <c r="U248" s="495"/>
      <c r="V248" s="495"/>
    </row>
    <row r="249" spans="1:22" ht="12.75">
      <c r="A249" s="495"/>
      <c r="B249" s="495"/>
      <c r="C249" s="495"/>
      <c r="D249" s="495"/>
      <c r="E249" s="495"/>
      <c r="F249" s="495"/>
      <c r="G249" s="495"/>
      <c r="H249" s="495"/>
      <c r="I249" s="495"/>
      <c r="J249" s="495"/>
      <c r="K249" s="495"/>
      <c r="L249" s="495"/>
      <c r="M249" s="495"/>
      <c r="N249" s="495"/>
      <c r="O249" s="495"/>
      <c r="P249" s="495"/>
      <c r="Q249" s="495"/>
      <c r="R249" s="495"/>
      <c r="S249" s="495"/>
      <c r="T249" s="495"/>
      <c r="U249" s="495"/>
      <c r="V249" s="495"/>
    </row>
    <row r="250" spans="1:22" ht="12.75">
      <c r="A250" s="495"/>
      <c r="B250" s="495"/>
      <c r="C250" s="495"/>
      <c r="D250" s="495"/>
      <c r="E250" s="495"/>
      <c r="F250" s="495"/>
      <c r="G250" s="495"/>
      <c r="H250" s="495"/>
      <c r="I250" s="495"/>
      <c r="J250" s="495"/>
      <c r="K250" s="495"/>
      <c r="L250" s="495"/>
      <c r="M250" s="495"/>
      <c r="N250" s="495"/>
      <c r="O250" s="495"/>
      <c r="P250" s="495"/>
      <c r="Q250" s="495"/>
      <c r="R250" s="495"/>
      <c r="S250" s="495"/>
      <c r="T250" s="495"/>
      <c r="U250" s="495"/>
      <c r="V250" s="495"/>
    </row>
    <row r="251" spans="1:22" ht="12.75">
      <c r="A251" s="495"/>
      <c r="B251" s="495"/>
      <c r="C251" s="495"/>
      <c r="D251" s="495"/>
      <c r="E251" s="495"/>
      <c r="F251" s="495"/>
      <c r="G251" s="495"/>
      <c r="H251" s="495"/>
      <c r="I251" s="495"/>
      <c r="J251" s="495"/>
      <c r="K251" s="495"/>
      <c r="L251" s="495"/>
      <c r="M251" s="495"/>
      <c r="N251" s="495"/>
      <c r="O251" s="495"/>
      <c r="P251" s="495"/>
      <c r="Q251" s="495"/>
      <c r="R251" s="495"/>
      <c r="S251" s="495"/>
      <c r="T251" s="495"/>
      <c r="U251" s="495"/>
      <c r="V251" s="495"/>
    </row>
  </sheetData>
  <sheetProtection/>
  <mergeCells count="4">
    <mergeCell ref="A1:U1"/>
    <mergeCell ref="A2:U2"/>
    <mergeCell ref="A3:U3"/>
    <mergeCell ref="A4:U4"/>
  </mergeCells>
  <printOptions horizontalCentered="1"/>
  <pageMargins left="0.7480314960629921" right="0.7480314960629921" top="0.4330708661417323" bottom="0.5905511811023623" header="0" footer="0"/>
  <pageSetup horizontalDpi="600" verticalDpi="600" orientation="portrait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1"/>
  <sheetViews>
    <sheetView view="pageBreakPreview" zoomScale="75" zoomScaleNormal="75" zoomScaleSheetLayoutView="75" zoomScalePageLayoutView="0" workbookViewId="0" topLeftCell="A1">
      <pane xSplit="1" ySplit="6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72" sqref="I172"/>
    </sheetView>
  </sheetViews>
  <sheetFormatPr defaultColWidth="11.421875" defaultRowHeight="12.75" outlineLevelRow="2" outlineLevelCol="1"/>
  <cols>
    <col min="1" max="1" width="44.140625" style="491" customWidth="1"/>
    <col min="2" max="2" width="20.28125" style="491" customWidth="1"/>
    <col min="3" max="3" width="17.8515625" style="491" customWidth="1" outlineLevel="1"/>
    <col min="4" max="4" width="21.00390625" style="491" customWidth="1" outlineLevel="1"/>
    <col min="5" max="5" width="21.8515625" style="491" customWidth="1" outlineLevel="1"/>
    <col min="6" max="6" width="16.7109375" style="491" customWidth="1" outlineLevel="1"/>
    <col min="7" max="7" width="19.00390625" style="491" customWidth="1" outlineLevel="1"/>
    <col min="8" max="8" width="20.7109375" style="491" customWidth="1" outlineLevel="1"/>
    <col min="9" max="9" width="19.28125" style="491" customWidth="1"/>
    <col min="10" max="10" width="18.00390625" style="491" hidden="1" customWidth="1"/>
    <col min="11" max="11" width="19.7109375" style="491" customWidth="1"/>
    <col min="12" max="12" width="14.8515625" style="491" customWidth="1"/>
    <col min="13" max="13" width="13.140625" style="491" customWidth="1"/>
    <col min="14" max="14" width="13.421875" style="491" customWidth="1"/>
    <col min="15" max="18" width="14.57421875" style="491" customWidth="1"/>
    <col min="19" max="16384" width="11.421875" style="491" customWidth="1"/>
  </cols>
  <sheetData>
    <row r="1" spans="1:12" ht="15" outlineLevel="1">
      <c r="A1" s="684" t="s">
        <v>356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</row>
    <row r="2" spans="1:12" ht="15" outlineLevel="1">
      <c r="A2" s="684" t="s">
        <v>314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</row>
    <row r="3" spans="1:12" ht="15" outlineLevel="1">
      <c r="A3" s="684" t="s">
        <v>407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</row>
    <row r="4" spans="1:12" ht="15" outlineLevel="1">
      <c r="A4" s="684" t="s">
        <v>357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</row>
    <row r="5" spans="1:13" ht="15.75" outlineLevel="1" thickBot="1">
      <c r="A5" s="492"/>
      <c r="C5" s="493"/>
      <c r="D5" s="494"/>
      <c r="E5" s="493"/>
      <c r="F5" s="493"/>
      <c r="G5" s="493"/>
      <c r="H5" s="493"/>
      <c r="M5" s="495"/>
    </row>
    <row r="6" spans="1:14" ht="45.75" thickTop="1">
      <c r="A6" s="496" t="s">
        <v>236</v>
      </c>
      <c r="B6" s="497" t="s">
        <v>445</v>
      </c>
      <c r="C6" s="497" t="s">
        <v>408</v>
      </c>
      <c r="D6" s="497" t="s">
        <v>409</v>
      </c>
      <c r="E6" s="497" t="s">
        <v>410</v>
      </c>
      <c r="F6" s="497" t="s">
        <v>411</v>
      </c>
      <c r="G6" s="497" t="s">
        <v>415</v>
      </c>
      <c r="H6" s="497" t="s">
        <v>412</v>
      </c>
      <c r="I6" s="497" t="s">
        <v>413</v>
      </c>
      <c r="J6" s="642" t="s">
        <v>370</v>
      </c>
      <c r="K6" s="497" t="s">
        <v>443</v>
      </c>
      <c r="L6" s="498" t="s">
        <v>414</v>
      </c>
      <c r="M6" s="495"/>
      <c r="N6" s="499"/>
    </row>
    <row r="7" spans="1:13" ht="15">
      <c r="A7" s="570" t="s">
        <v>22</v>
      </c>
      <c r="B7" s="571"/>
      <c r="C7" s="571"/>
      <c r="D7" s="571"/>
      <c r="E7" s="571"/>
      <c r="F7" s="571"/>
      <c r="G7" s="571"/>
      <c r="H7" s="571"/>
      <c r="I7" s="571"/>
      <c r="J7" s="643"/>
      <c r="K7" s="571"/>
      <c r="L7" s="572"/>
      <c r="M7" s="502"/>
    </row>
    <row r="8" spans="1:15" ht="15">
      <c r="A8" s="573" t="s">
        <v>23</v>
      </c>
      <c r="B8" s="574">
        <f>+'ANEXO II'!O8</f>
        <v>2394541150.057364</v>
      </c>
      <c r="C8" s="574">
        <f>+C9+C10+C11+C12+C13+C15+C16+C17</f>
        <v>787588642</v>
      </c>
      <c r="D8" s="574">
        <f>+D9+D10+D11+D12+D13+D15+D16+D17</f>
        <v>249166452</v>
      </c>
      <c r="E8" s="574">
        <f>+E9+E10+E11+E12+E13+E15+E16+E17</f>
        <v>846200805</v>
      </c>
      <c r="F8" s="574">
        <f>+F9+F10+F11+F12+F13+F15+F16+F17</f>
        <v>238267167</v>
      </c>
      <c r="G8" s="574">
        <f>+C8+D8+E8+F8</f>
        <v>2121223066</v>
      </c>
      <c r="H8" s="574">
        <f>+H9+H10+H11+H12+H13+H15+H16+H17</f>
        <v>159750453</v>
      </c>
      <c r="I8" s="574">
        <f>+G8+H8</f>
        <v>2280973519</v>
      </c>
      <c r="J8" s="644">
        <v>1104859301</v>
      </c>
      <c r="K8" s="574">
        <f>+I8-B8</f>
        <v>-113567631.05736399</v>
      </c>
      <c r="L8" s="575">
        <f>+J8/B8</f>
        <v>0.46140752309624405</v>
      </c>
      <c r="M8" s="495"/>
      <c r="N8" s="504"/>
      <c r="O8" s="504"/>
    </row>
    <row r="9" spans="1:17" ht="14.25">
      <c r="A9" s="576" t="s">
        <v>24</v>
      </c>
      <c r="B9" s="577">
        <f>+'ANEXO II'!O9</f>
        <v>1636958421.1570768</v>
      </c>
      <c r="C9" s="577">
        <v>527414417</v>
      </c>
      <c r="D9" s="577">
        <v>176962585</v>
      </c>
      <c r="E9" s="577">
        <v>563086133</v>
      </c>
      <c r="F9" s="577">
        <v>167607943</v>
      </c>
      <c r="G9" s="577">
        <f aca="true" t="shared" si="0" ref="G9:G35">+C9+D9+E9+F9</f>
        <v>1435071078</v>
      </c>
      <c r="H9" s="577">
        <v>107006321</v>
      </c>
      <c r="I9" s="577">
        <f aca="true" t="shared" si="1" ref="I9:I19">+G9+H9</f>
        <v>1542077399</v>
      </c>
      <c r="J9" s="377">
        <v>747560340</v>
      </c>
      <c r="K9" s="577">
        <f>+I9-B9</f>
        <v>-94881022.15707684</v>
      </c>
      <c r="L9" s="578">
        <f>+I9/B9</f>
        <v>0.9420382210502264</v>
      </c>
      <c r="M9" s="506"/>
      <c r="Q9" s="507"/>
    </row>
    <row r="10" spans="1:17" ht="14.25">
      <c r="A10" s="576" t="s">
        <v>25</v>
      </c>
      <c r="B10" s="577">
        <f>+'ANEXO II'!O10</f>
        <v>107680733.5023</v>
      </c>
      <c r="C10" s="577">
        <v>38561317</v>
      </c>
      <c r="D10" s="577">
        <v>8554573</v>
      </c>
      <c r="E10" s="577">
        <v>41948203</v>
      </c>
      <c r="F10" s="577">
        <v>8478115</v>
      </c>
      <c r="G10" s="577">
        <f t="shared" si="0"/>
        <v>97542208</v>
      </c>
      <c r="H10" s="577">
        <v>8395199</v>
      </c>
      <c r="I10" s="577">
        <f t="shared" si="1"/>
        <v>105937407</v>
      </c>
      <c r="J10" s="377">
        <v>51832018</v>
      </c>
      <c r="K10" s="577">
        <f>+I10-B10</f>
        <v>-1743326.5022999942</v>
      </c>
      <c r="L10" s="578">
        <f aca="true" t="shared" si="2" ref="L10:L74">+I10/B10</f>
        <v>0.9838102282033326</v>
      </c>
      <c r="M10" s="506"/>
      <c r="N10" s="506"/>
      <c r="O10" s="508"/>
      <c r="P10" s="509"/>
      <c r="Q10" s="509"/>
    </row>
    <row r="11" spans="1:17" ht="14.25">
      <c r="A11" s="576" t="s">
        <v>26</v>
      </c>
      <c r="B11" s="577">
        <f>+'ANEXO II'!O11</f>
        <v>12921687.860276002</v>
      </c>
      <c r="C11" s="577">
        <v>4556246</v>
      </c>
      <c r="D11" s="577">
        <v>1000848</v>
      </c>
      <c r="E11" s="577">
        <v>4786215</v>
      </c>
      <c r="F11" s="577">
        <v>961078</v>
      </c>
      <c r="G11" s="577">
        <f t="shared" si="0"/>
        <v>11304387</v>
      </c>
      <c r="H11" s="577">
        <v>804661</v>
      </c>
      <c r="I11" s="577">
        <f t="shared" si="1"/>
        <v>12109048</v>
      </c>
      <c r="J11" s="377">
        <v>3017536</v>
      </c>
      <c r="K11" s="577">
        <f aca="true" t="shared" si="3" ref="K11:K19">+I11-B11</f>
        <v>-812639.8602760024</v>
      </c>
      <c r="L11" s="578">
        <f t="shared" si="2"/>
        <v>0.9371103938538689</v>
      </c>
      <c r="M11" s="506"/>
      <c r="N11" s="506"/>
      <c r="O11" s="508"/>
      <c r="P11" s="509"/>
      <c r="Q11" s="509"/>
    </row>
    <row r="12" spans="1:15" ht="14.25">
      <c r="A12" s="576" t="s">
        <v>27</v>
      </c>
      <c r="B12" s="577">
        <f>+'ANEXO II'!O12</f>
        <v>107680733.5023</v>
      </c>
      <c r="C12" s="577">
        <v>38561317</v>
      </c>
      <c r="D12" s="577">
        <v>8173418</v>
      </c>
      <c r="E12" s="577">
        <v>41948203</v>
      </c>
      <c r="F12" s="577">
        <v>8478117</v>
      </c>
      <c r="G12" s="577">
        <f t="shared" si="0"/>
        <v>97161055</v>
      </c>
      <c r="H12" s="577">
        <v>8395199</v>
      </c>
      <c r="I12" s="577">
        <f t="shared" si="1"/>
        <v>105556254</v>
      </c>
      <c r="J12" s="377">
        <v>51832018</v>
      </c>
      <c r="K12" s="577">
        <f t="shared" si="3"/>
        <v>-2124479.502299994</v>
      </c>
      <c r="L12" s="578">
        <f t="shared" si="2"/>
        <v>0.9802705699227559</v>
      </c>
      <c r="M12" s="506"/>
      <c r="N12" s="506"/>
      <c r="O12" s="508"/>
    </row>
    <row r="13" spans="1:15" ht="14.25">
      <c r="A13" s="576" t="s">
        <v>28</v>
      </c>
      <c r="B13" s="577">
        <f>+'ANEXO II'!O13</f>
        <v>67765966.25115</v>
      </c>
      <c r="C13" s="577">
        <v>22114340</v>
      </c>
      <c r="D13" s="577">
        <v>7805575</v>
      </c>
      <c r="E13" s="577">
        <v>24669097</v>
      </c>
      <c r="F13" s="577">
        <v>7268094</v>
      </c>
      <c r="G13" s="577">
        <f t="shared" si="0"/>
        <v>61857106</v>
      </c>
      <c r="H13" s="577">
        <v>4146374</v>
      </c>
      <c r="I13" s="577">
        <f t="shared" si="1"/>
        <v>66003480</v>
      </c>
      <c r="J13" s="377">
        <v>30737154</v>
      </c>
      <c r="K13" s="577">
        <f t="shared" si="3"/>
        <v>-1762486.251149997</v>
      </c>
      <c r="L13" s="578">
        <f t="shared" si="2"/>
        <v>0.9739915720434358</v>
      </c>
      <c r="M13" s="506"/>
      <c r="N13" s="506"/>
      <c r="O13" s="508"/>
    </row>
    <row r="14" spans="1:15" ht="14.25">
      <c r="A14" s="576" t="s">
        <v>29</v>
      </c>
      <c r="B14" s="577">
        <f>+'ANEXO II'!O14</f>
        <v>20000000</v>
      </c>
      <c r="C14" s="577">
        <v>0</v>
      </c>
      <c r="D14" s="577">
        <v>0</v>
      </c>
      <c r="E14" s="577">
        <v>0</v>
      </c>
      <c r="F14" s="577">
        <v>0</v>
      </c>
      <c r="G14" s="577">
        <f t="shared" si="0"/>
        <v>0</v>
      </c>
      <c r="H14" s="577">
        <v>17205886</v>
      </c>
      <c r="I14" s="577">
        <f t="shared" si="1"/>
        <v>17205886</v>
      </c>
      <c r="J14" s="377">
        <v>13352885</v>
      </c>
      <c r="K14" s="577">
        <f t="shared" si="3"/>
        <v>-2794114</v>
      </c>
      <c r="L14" s="578">
        <f t="shared" si="2"/>
        <v>0.8602943</v>
      </c>
      <c r="M14" s="506"/>
      <c r="N14" s="506"/>
      <c r="O14" s="508"/>
    </row>
    <row r="15" spans="1:15" ht="14.25">
      <c r="A15" s="576" t="s">
        <v>30</v>
      </c>
      <c r="B15" s="577">
        <f>+'ANEXO II'!O15</f>
        <v>324746196.04012406</v>
      </c>
      <c r="C15" s="577">
        <v>110217205</v>
      </c>
      <c r="D15" s="577">
        <v>32722053</v>
      </c>
      <c r="E15" s="577">
        <v>119496154</v>
      </c>
      <c r="F15" s="577">
        <v>31846320</v>
      </c>
      <c r="G15" s="577">
        <f t="shared" si="0"/>
        <v>294281732</v>
      </c>
      <c r="H15" s="577">
        <v>22245258</v>
      </c>
      <c r="I15" s="577">
        <f t="shared" si="1"/>
        <v>316526990</v>
      </c>
      <c r="J15" s="377">
        <v>154895494</v>
      </c>
      <c r="K15" s="577">
        <f t="shared" si="3"/>
        <v>-8219206.040124059</v>
      </c>
      <c r="L15" s="578">
        <f t="shared" si="2"/>
        <v>0.9746903700787044</v>
      </c>
      <c r="M15" s="506"/>
      <c r="N15" s="506"/>
      <c r="O15" s="508"/>
    </row>
    <row r="16" spans="1:15" ht="14.25">
      <c r="A16" s="576" t="s">
        <v>31</v>
      </c>
      <c r="B16" s="577">
        <f>+'ANEXO II'!O16</f>
        <v>60794404.88628307</v>
      </c>
      <c r="C16" s="577">
        <v>20514600</v>
      </c>
      <c r="D16" s="577">
        <v>6199200</v>
      </c>
      <c r="E16" s="577">
        <v>22338000</v>
      </c>
      <c r="F16" s="577">
        <v>6056700</v>
      </c>
      <c r="G16" s="577">
        <f t="shared" si="0"/>
        <v>55108500</v>
      </c>
      <c r="H16" s="577">
        <v>3891840</v>
      </c>
      <c r="I16" s="577">
        <f t="shared" si="1"/>
        <v>59000340</v>
      </c>
      <c r="J16" s="377">
        <v>28879600</v>
      </c>
      <c r="K16" s="577">
        <f t="shared" si="3"/>
        <v>-1794064.8862830698</v>
      </c>
      <c r="L16" s="578">
        <f t="shared" si="2"/>
        <v>0.9704896381560294</v>
      </c>
      <c r="M16" s="506"/>
      <c r="N16" s="506"/>
      <c r="O16" s="508"/>
    </row>
    <row r="17" spans="1:15" ht="14.25">
      <c r="A17" s="576" t="s">
        <v>32</v>
      </c>
      <c r="B17" s="577">
        <f>+'ANEXO II'!O17</f>
        <v>75993006.85785384</v>
      </c>
      <c r="C17" s="577">
        <v>25649200</v>
      </c>
      <c r="D17" s="577">
        <v>7748200</v>
      </c>
      <c r="E17" s="577">
        <v>27928800</v>
      </c>
      <c r="F17" s="577">
        <v>7570800</v>
      </c>
      <c r="G17" s="577">
        <f t="shared" si="0"/>
        <v>68897000</v>
      </c>
      <c r="H17" s="577">
        <v>4865601</v>
      </c>
      <c r="I17" s="577">
        <f t="shared" si="1"/>
        <v>73762601</v>
      </c>
      <c r="J17" s="377">
        <v>36105141</v>
      </c>
      <c r="K17" s="577">
        <f t="shared" si="3"/>
        <v>-2230405.8578538448</v>
      </c>
      <c r="L17" s="578">
        <f t="shared" si="2"/>
        <v>0.970649853847396</v>
      </c>
      <c r="M17" s="506"/>
      <c r="N17" s="506"/>
      <c r="O17" s="508"/>
    </row>
    <row r="18" spans="1:15" ht="14.25">
      <c r="A18" s="576" t="s">
        <v>33</v>
      </c>
      <c r="B18" s="577">
        <f>+'ANEXO II'!O18</f>
        <v>3000000</v>
      </c>
      <c r="C18" s="577">
        <v>300000</v>
      </c>
      <c r="D18" s="577">
        <v>300000</v>
      </c>
      <c r="E18" s="577">
        <v>896100</v>
      </c>
      <c r="F18" s="577">
        <v>300000</v>
      </c>
      <c r="G18" s="577">
        <f t="shared" si="0"/>
        <v>1796100</v>
      </c>
      <c r="H18" s="577">
        <v>900000</v>
      </c>
      <c r="I18" s="577">
        <f t="shared" si="1"/>
        <v>2696100</v>
      </c>
      <c r="J18" s="377">
        <v>2396100</v>
      </c>
      <c r="K18" s="577">
        <f t="shared" si="3"/>
        <v>-303900</v>
      </c>
      <c r="L18" s="578">
        <f t="shared" si="2"/>
        <v>0.8987</v>
      </c>
      <c r="M18" s="506"/>
      <c r="N18" s="506"/>
      <c r="O18" s="508"/>
    </row>
    <row r="19" spans="1:15" ht="14.25">
      <c r="A19" s="576" t="s">
        <v>34</v>
      </c>
      <c r="B19" s="577">
        <f>+'ANEXO II'!O19</f>
        <v>124117076</v>
      </c>
      <c r="C19" s="376">
        <v>41840487</v>
      </c>
      <c r="D19" s="579">
        <v>0</v>
      </c>
      <c r="E19" s="376">
        <v>0</v>
      </c>
      <c r="F19" s="376">
        <v>0</v>
      </c>
      <c r="G19" s="577">
        <f t="shared" si="0"/>
        <v>41840487</v>
      </c>
      <c r="H19" s="577">
        <v>71250100</v>
      </c>
      <c r="I19" s="577">
        <f t="shared" si="1"/>
        <v>113090587</v>
      </c>
      <c r="J19" s="377">
        <v>55426167</v>
      </c>
      <c r="K19" s="577">
        <f t="shared" si="3"/>
        <v>-11026489</v>
      </c>
      <c r="L19" s="578">
        <f t="shared" si="2"/>
        <v>0.9111605803539877</v>
      </c>
      <c r="M19" s="506"/>
      <c r="N19" s="510"/>
      <c r="O19" s="508"/>
    </row>
    <row r="20" spans="1:15" ht="15">
      <c r="A20" s="580" t="s">
        <v>371</v>
      </c>
      <c r="B20" s="581">
        <f>SUM(B9:B19)</f>
        <v>2541658226.0573635</v>
      </c>
      <c r="C20" s="581">
        <f>SUM(C9:C19)</f>
        <v>829729129</v>
      </c>
      <c r="D20" s="581">
        <f>SUM(D9:D19)</f>
        <v>249466452</v>
      </c>
      <c r="E20" s="581">
        <f>SUM(E9:E19)</f>
        <v>847096905</v>
      </c>
      <c r="F20" s="581">
        <f>SUM(F9:F19)</f>
        <v>238567167</v>
      </c>
      <c r="G20" s="581">
        <f t="shared" si="0"/>
        <v>2164859653</v>
      </c>
      <c r="H20" s="581">
        <f>SUM(H9:H19)</f>
        <v>249106439</v>
      </c>
      <c r="I20" s="581">
        <f>SUM(I9:I19)</f>
        <v>2413966092</v>
      </c>
      <c r="J20" s="645">
        <v>1176034453</v>
      </c>
      <c r="K20" s="577">
        <f>+I20-B20</f>
        <v>-127692134.05736351</v>
      </c>
      <c r="L20" s="575">
        <f t="shared" si="2"/>
        <v>0.949760305005508</v>
      </c>
      <c r="M20" s="506"/>
      <c r="N20" s="506"/>
      <c r="O20" s="508"/>
    </row>
    <row r="21" spans="1:15" ht="15">
      <c r="A21" s="570" t="s">
        <v>36</v>
      </c>
      <c r="B21" s="577"/>
      <c r="C21" s="571"/>
      <c r="D21" s="571"/>
      <c r="E21" s="571"/>
      <c r="F21" s="571"/>
      <c r="G21" s="577"/>
      <c r="H21" s="581"/>
      <c r="I21" s="577"/>
      <c r="J21" s="377"/>
      <c r="K21" s="577"/>
      <c r="L21" s="575"/>
      <c r="M21" s="506"/>
      <c r="N21" s="506"/>
      <c r="O21" s="508"/>
    </row>
    <row r="22" spans="1:15" ht="14.25">
      <c r="A22" s="582" t="s">
        <v>105</v>
      </c>
      <c r="B22" s="577">
        <f>+'ANEXO II'!O22</f>
        <v>94531061.41600001</v>
      </c>
      <c r="C22" s="583">
        <v>13596852</v>
      </c>
      <c r="D22" s="583"/>
      <c r="E22" s="583">
        <v>11322938</v>
      </c>
      <c r="F22" s="583">
        <v>1500000</v>
      </c>
      <c r="G22" s="577">
        <f>+C22+D22+E22+F22</f>
        <v>26419790</v>
      </c>
      <c r="H22" s="577">
        <v>66545487.64</v>
      </c>
      <c r="I22" s="577">
        <f>+H22+G22</f>
        <v>92965277.64</v>
      </c>
      <c r="J22" s="646">
        <v>75223872.64</v>
      </c>
      <c r="K22" s="583">
        <f>+I22-B22</f>
        <v>-1565783.776000008</v>
      </c>
      <c r="L22" s="578">
        <f t="shared" si="2"/>
        <v>0.9834363038714914</v>
      </c>
      <c r="N22" s="506"/>
      <c r="O22" s="508"/>
    </row>
    <row r="23" spans="1:15" ht="14.25">
      <c r="A23" s="582" t="s">
        <v>38</v>
      </c>
      <c r="B23" s="577">
        <f>+'ANEXO II'!O23</f>
        <v>6349081.800000001</v>
      </c>
      <c r="C23" s="583"/>
      <c r="D23" s="583"/>
      <c r="E23" s="583"/>
      <c r="F23" s="583"/>
      <c r="G23" s="577">
        <f t="shared" si="0"/>
        <v>0</v>
      </c>
      <c r="H23" s="577">
        <v>6341250</v>
      </c>
      <c r="I23" s="577">
        <f aca="true" t="shared" si="4" ref="I23:I35">+G23+H23</f>
        <v>6341250</v>
      </c>
      <c r="J23" s="646">
        <v>4128800</v>
      </c>
      <c r="K23" s="583">
        <f aca="true" t="shared" si="5" ref="K23:K37">+I23-B23</f>
        <v>-7831.800000000745</v>
      </c>
      <c r="L23" s="578">
        <f t="shared" si="2"/>
        <v>0.9987664673024057</v>
      </c>
      <c r="M23" s="506"/>
      <c r="N23" s="506"/>
      <c r="O23" s="508"/>
    </row>
    <row r="24" spans="1:15" ht="14.25">
      <c r="A24" s="582" t="s">
        <v>39</v>
      </c>
      <c r="B24" s="577">
        <f>+'ANEXO II'!O24</f>
        <v>21999700</v>
      </c>
      <c r="C24" s="583"/>
      <c r="D24" s="583"/>
      <c r="E24" s="583">
        <v>4937510.8</v>
      </c>
      <c r="F24" s="583"/>
      <c r="G24" s="577">
        <f t="shared" si="0"/>
        <v>4937510.8</v>
      </c>
      <c r="H24" s="577">
        <v>17031699.8</v>
      </c>
      <c r="I24" s="577">
        <f t="shared" si="4"/>
        <v>21969210.6</v>
      </c>
      <c r="J24" s="646">
        <v>10853246.8</v>
      </c>
      <c r="K24" s="583">
        <f t="shared" si="5"/>
        <v>-30489.39999999851</v>
      </c>
      <c r="L24" s="578">
        <f t="shared" si="2"/>
        <v>0.9986140992831721</v>
      </c>
      <c r="M24" s="513"/>
      <c r="N24" s="513"/>
      <c r="O24" s="508"/>
    </row>
    <row r="25" spans="1:13" ht="14.25">
      <c r="A25" s="582" t="s">
        <v>40</v>
      </c>
      <c r="B25" s="577">
        <f>+'ANEXO II'!O25</f>
        <v>47105066.252399996</v>
      </c>
      <c r="C25" s="583">
        <v>6180000</v>
      </c>
      <c r="D25" s="583">
        <v>6180000</v>
      </c>
      <c r="E25" s="583">
        <v>6180000</v>
      </c>
      <c r="F25" s="583">
        <v>6180000</v>
      </c>
      <c r="G25" s="577">
        <f t="shared" si="0"/>
        <v>24720000</v>
      </c>
      <c r="H25" s="577">
        <v>18979782</v>
      </c>
      <c r="I25" s="577">
        <f t="shared" si="4"/>
        <v>43699782</v>
      </c>
      <c r="J25" s="377">
        <v>20305882</v>
      </c>
      <c r="K25" s="583">
        <f t="shared" si="5"/>
        <v>-3405284.252399996</v>
      </c>
      <c r="L25" s="578">
        <f t="shared" si="2"/>
        <v>0.9277087472045218</v>
      </c>
      <c r="M25" s="495"/>
    </row>
    <row r="26" spans="1:13" ht="14.25">
      <c r="A26" s="582" t="s">
        <v>41</v>
      </c>
      <c r="B26" s="577">
        <f>+'ANEXO II'!O26</f>
        <v>60967511.8519</v>
      </c>
      <c r="C26" s="577">
        <v>8707580.68</v>
      </c>
      <c r="D26" s="577">
        <v>3738128.56</v>
      </c>
      <c r="E26" s="577">
        <v>5765180</v>
      </c>
      <c r="F26" s="577">
        <v>6502841.4</v>
      </c>
      <c r="G26" s="577">
        <f t="shared" si="0"/>
        <v>24713730.64</v>
      </c>
      <c r="H26" s="577">
        <v>22215045.9</v>
      </c>
      <c r="I26" s="577">
        <f t="shared" si="4"/>
        <v>46928776.54</v>
      </c>
      <c r="J26" s="377">
        <v>21578697</v>
      </c>
      <c r="K26" s="583">
        <f t="shared" si="5"/>
        <v>-14038735.311899997</v>
      </c>
      <c r="L26" s="578">
        <f t="shared" si="2"/>
        <v>0.7697341602851964</v>
      </c>
      <c r="M26" s="495"/>
    </row>
    <row r="27" spans="1:13" ht="14.25">
      <c r="A27" s="582" t="s">
        <v>42</v>
      </c>
      <c r="B27" s="577">
        <f>+'ANEXO II'!O27</f>
        <v>48467499.5648</v>
      </c>
      <c r="C27" s="583">
        <v>2498909</v>
      </c>
      <c r="D27" s="583"/>
      <c r="E27" s="583">
        <v>4799899</v>
      </c>
      <c r="F27" s="583"/>
      <c r="G27" s="577">
        <f t="shared" si="0"/>
        <v>7298808</v>
      </c>
      <c r="H27" s="577">
        <v>41167498</v>
      </c>
      <c r="I27" s="577">
        <f t="shared" si="4"/>
        <v>48466306</v>
      </c>
      <c r="J27" s="377">
        <v>27056052</v>
      </c>
      <c r="K27" s="583">
        <f t="shared" si="5"/>
        <v>-1193.5648000016809</v>
      </c>
      <c r="L27" s="578">
        <f t="shared" si="2"/>
        <v>0.9999753739142576</v>
      </c>
      <c r="M27" s="495"/>
    </row>
    <row r="28" spans="1:13" ht="14.25">
      <c r="A28" s="582" t="s">
        <v>43</v>
      </c>
      <c r="B28" s="577">
        <f>+'ANEXO II'!O28</f>
        <v>232176000</v>
      </c>
      <c r="C28" s="577">
        <v>11000000</v>
      </c>
      <c r="D28" s="583">
        <v>14466375</v>
      </c>
      <c r="E28" s="577">
        <v>155062606</v>
      </c>
      <c r="F28" s="583">
        <v>15000000</v>
      </c>
      <c r="G28" s="577">
        <f t="shared" si="0"/>
        <v>195528981</v>
      </c>
      <c r="H28" s="577">
        <v>15920493</v>
      </c>
      <c r="I28" s="577">
        <f t="shared" si="4"/>
        <v>211449474</v>
      </c>
      <c r="J28" s="377">
        <v>100102139</v>
      </c>
      <c r="K28" s="583">
        <f t="shared" si="5"/>
        <v>-20726526</v>
      </c>
      <c r="L28" s="578">
        <f t="shared" si="2"/>
        <v>0.9107292485011371</v>
      </c>
      <c r="M28" s="495"/>
    </row>
    <row r="29" spans="1:13" ht="14.25">
      <c r="A29" s="582" t="s">
        <v>44</v>
      </c>
      <c r="B29" s="577">
        <f>+'ANEXO II'!O29</f>
        <v>46034945.6</v>
      </c>
      <c r="C29" s="577">
        <v>23886547</v>
      </c>
      <c r="D29" s="583"/>
      <c r="E29" s="577">
        <v>11300162</v>
      </c>
      <c r="F29" s="583"/>
      <c r="G29" s="577">
        <f t="shared" si="0"/>
        <v>35186709</v>
      </c>
      <c r="H29" s="577">
        <v>9726858</v>
      </c>
      <c r="I29" s="577">
        <f t="shared" si="4"/>
        <v>44913567</v>
      </c>
      <c r="J29" s="377">
        <v>13657604</v>
      </c>
      <c r="K29" s="583">
        <f t="shared" si="5"/>
        <v>-1121378.6000000015</v>
      </c>
      <c r="L29" s="578">
        <f t="shared" si="2"/>
        <v>0.9756407097828741</v>
      </c>
      <c r="M29" s="495"/>
    </row>
    <row r="30" spans="1:13" ht="14.25">
      <c r="A30" s="582" t="s">
        <v>45</v>
      </c>
      <c r="B30" s="577">
        <f>+'ANEXO II'!O30</f>
        <v>131337546</v>
      </c>
      <c r="C30" s="577">
        <v>34367087</v>
      </c>
      <c r="D30" s="583">
        <v>5995375</v>
      </c>
      <c r="E30" s="583">
        <v>42000000</v>
      </c>
      <c r="F30" s="583">
        <v>8474115</v>
      </c>
      <c r="G30" s="577">
        <f t="shared" si="0"/>
        <v>90836577</v>
      </c>
      <c r="H30" s="577">
        <v>10270465</v>
      </c>
      <c r="I30" s="577">
        <f t="shared" si="4"/>
        <v>101107042</v>
      </c>
      <c r="J30" s="377">
        <v>54337413</v>
      </c>
      <c r="K30" s="583">
        <f t="shared" si="5"/>
        <v>-30230504</v>
      </c>
      <c r="L30" s="578">
        <f t="shared" si="2"/>
        <v>0.7698258805596992</v>
      </c>
      <c r="M30" s="495"/>
    </row>
    <row r="31" spans="1:13" ht="14.25">
      <c r="A31" s="582" t="s">
        <v>46</v>
      </c>
      <c r="B31" s="577">
        <f>+'ANEXO II'!O31</f>
        <v>4655100</v>
      </c>
      <c r="C31" s="571"/>
      <c r="D31" s="583"/>
      <c r="E31" s="583">
        <v>1453800</v>
      </c>
      <c r="F31" s="583"/>
      <c r="G31" s="577">
        <f t="shared" si="0"/>
        <v>1453800</v>
      </c>
      <c r="H31" s="577">
        <v>3080900</v>
      </c>
      <c r="I31" s="577">
        <f t="shared" si="4"/>
        <v>4534700</v>
      </c>
      <c r="J31" s="377">
        <v>2172600</v>
      </c>
      <c r="K31" s="583">
        <f t="shared" si="5"/>
        <v>-120400</v>
      </c>
      <c r="L31" s="578">
        <f t="shared" si="2"/>
        <v>0.974135893965758</v>
      </c>
      <c r="M31" s="495"/>
    </row>
    <row r="32" spans="1:13" ht="14.25">
      <c r="A32" s="582" t="s">
        <v>47</v>
      </c>
      <c r="B32" s="577">
        <f>+'ANEXO II'!O32</f>
        <v>78505410.80236</v>
      </c>
      <c r="C32" s="583">
        <v>733150</v>
      </c>
      <c r="D32" s="583"/>
      <c r="E32" s="583">
        <v>35758805</v>
      </c>
      <c r="F32" s="583"/>
      <c r="G32" s="577">
        <f t="shared" si="0"/>
        <v>36491955</v>
      </c>
      <c r="H32" s="577">
        <v>16942010</v>
      </c>
      <c r="I32" s="577">
        <f t="shared" si="4"/>
        <v>53433965</v>
      </c>
      <c r="J32" s="377">
        <v>14770062</v>
      </c>
      <c r="K32" s="583">
        <f t="shared" si="5"/>
        <v>-25071445.80236</v>
      </c>
      <c r="L32" s="578">
        <f t="shared" si="2"/>
        <v>0.6806405374340604</v>
      </c>
      <c r="M32" s="495"/>
    </row>
    <row r="33" spans="1:13" ht="14.25">
      <c r="A33" s="582" t="s">
        <v>48</v>
      </c>
      <c r="B33" s="577">
        <f>+'ANEXO II'!O33</f>
        <v>12070600</v>
      </c>
      <c r="C33" s="583"/>
      <c r="D33" s="583"/>
      <c r="E33" s="583"/>
      <c r="F33" s="583"/>
      <c r="G33" s="577">
        <f t="shared" si="0"/>
        <v>0</v>
      </c>
      <c r="H33" s="577">
        <v>10281808</v>
      </c>
      <c r="I33" s="577">
        <f t="shared" si="4"/>
        <v>10281808</v>
      </c>
      <c r="J33" s="377">
        <v>5540857</v>
      </c>
      <c r="K33" s="583">
        <f t="shared" si="5"/>
        <v>-1788792</v>
      </c>
      <c r="L33" s="578">
        <f t="shared" si="2"/>
        <v>0.8518058754328699</v>
      </c>
      <c r="M33" s="495"/>
    </row>
    <row r="34" spans="1:13" ht="14.25">
      <c r="A34" s="582" t="s">
        <v>49</v>
      </c>
      <c r="B34" s="577">
        <f>+'ANEXO II'!O34</f>
        <v>94500000</v>
      </c>
      <c r="C34" s="583"/>
      <c r="D34" s="583"/>
      <c r="E34" s="583">
        <v>27338947.57</v>
      </c>
      <c r="F34" s="583"/>
      <c r="G34" s="577">
        <f t="shared" si="0"/>
        <v>27338947.57</v>
      </c>
      <c r="H34" s="577">
        <v>61053717.46</v>
      </c>
      <c r="I34" s="577">
        <f t="shared" si="4"/>
        <v>88392665.03</v>
      </c>
      <c r="J34" s="377">
        <v>44778545.010000005</v>
      </c>
      <c r="K34" s="583">
        <f t="shared" si="5"/>
        <v>-6107334.969999999</v>
      </c>
      <c r="L34" s="578">
        <f t="shared" si="2"/>
        <v>0.9353721167195768</v>
      </c>
      <c r="M34" s="495"/>
    </row>
    <row r="35" spans="1:13" ht="14.25">
      <c r="A35" s="582" t="s">
        <v>50</v>
      </c>
      <c r="B35" s="577">
        <f>+'ANEXO II'!O35</f>
        <v>31186455</v>
      </c>
      <c r="C35" s="583"/>
      <c r="D35" s="583"/>
      <c r="E35" s="583"/>
      <c r="F35" s="583"/>
      <c r="G35" s="577">
        <f t="shared" si="0"/>
        <v>0</v>
      </c>
      <c r="H35" s="577">
        <v>27390843</v>
      </c>
      <c r="I35" s="577">
        <f t="shared" si="4"/>
        <v>27390843</v>
      </c>
      <c r="J35" s="377">
        <v>0</v>
      </c>
      <c r="K35" s="583">
        <f t="shared" si="5"/>
        <v>-3795612</v>
      </c>
      <c r="L35" s="578">
        <f t="shared" si="2"/>
        <v>0.8782929319796046</v>
      </c>
      <c r="M35" s="495"/>
    </row>
    <row r="36" spans="1:14" ht="15">
      <c r="A36" s="580" t="s">
        <v>372</v>
      </c>
      <c r="B36" s="581">
        <f>SUM(B21:B35)</f>
        <v>909885978.2874601</v>
      </c>
      <c r="C36" s="581">
        <f aca="true" t="shared" si="6" ref="C36:H36">SUM(C22:C35)</f>
        <v>100970125.68</v>
      </c>
      <c r="D36" s="581">
        <f t="shared" si="6"/>
        <v>30379878.560000002</v>
      </c>
      <c r="E36" s="581">
        <f t="shared" si="6"/>
        <v>305919848.37</v>
      </c>
      <c r="F36" s="581">
        <f t="shared" si="6"/>
        <v>37656956.4</v>
      </c>
      <c r="G36" s="581">
        <f>SUM(G22:G35)</f>
        <v>474926809.01</v>
      </c>
      <c r="H36" s="581">
        <f t="shared" si="6"/>
        <v>326947857.8</v>
      </c>
      <c r="I36" s="581">
        <f>SUM(I21:I35)</f>
        <v>801874666.81</v>
      </c>
      <c r="J36" s="645">
        <v>394505770.45</v>
      </c>
      <c r="K36" s="606">
        <f t="shared" si="5"/>
        <v>-108011311.47746015</v>
      </c>
      <c r="L36" s="575">
        <f t="shared" si="2"/>
        <v>0.8812913771011689</v>
      </c>
      <c r="M36" s="514"/>
      <c r="N36" s="509"/>
    </row>
    <row r="37" spans="1:15" ht="15">
      <c r="A37" s="580" t="s">
        <v>373</v>
      </c>
      <c r="B37" s="581">
        <f aca="true" t="shared" si="7" ref="B37:I37">+B36+B20</f>
        <v>3451544204.344824</v>
      </c>
      <c r="C37" s="581">
        <f t="shared" si="7"/>
        <v>930699254.6800001</v>
      </c>
      <c r="D37" s="581">
        <f t="shared" si="7"/>
        <v>279846330.56</v>
      </c>
      <c r="E37" s="581">
        <f t="shared" si="7"/>
        <v>1153016753.37</v>
      </c>
      <c r="F37" s="581">
        <f t="shared" si="7"/>
        <v>276224123.4</v>
      </c>
      <c r="G37" s="581">
        <f t="shared" si="7"/>
        <v>2639786462.01</v>
      </c>
      <c r="H37" s="581">
        <f t="shared" si="7"/>
        <v>576054296.8</v>
      </c>
      <c r="I37" s="581">
        <f t="shared" si="7"/>
        <v>3215840758.81</v>
      </c>
      <c r="J37" s="645">
        <v>1570540223.4499998</v>
      </c>
      <c r="K37" s="606">
        <f t="shared" si="5"/>
        <v>-235703445.5348239</v>
      </c>
      <c r="L37" s="575">
        <f t="shared" si="2"/>
        <v>0.9317107266834018</v>
      </c>
      <c r="M37" s="514"/>
      <c r="N37" s="509"/>
      <c r="O37" s="515"/>
    </row>
    <row r="38" spans="1:14" ht="15">
      <c r="A38" s="582"/>
      <c r="B38" s="571"/>
      <c r="C38" s="571"/>
      <c r="D38" s="571"/>
      <c r="E38" s="571"/>
      <c r="F38" s="571"/>
      <c r="G38" s="571"/>
      <c r="H38" s="571"/>
      <c r="I38" s="571"/>
      <c r="J38" s="643"/>
      <c r="K38" s="571"/>
      <c r="L38" s="575"/>
      <c r="M38" s="516"/>
      <c r="N38" s="509"/>
    </row>
    <row r="39" spans="1:14" ht="15">
      <c r="A39" s="580" t="s">
        <v>374</v>
      </c>
      <c r="B39" s="581">
        <f>+B41+B69+B109+B136+B166</f>
        <v>11191012326.305641</v>
      </c>
      <c r="C39" s="581">
        <f>+C41</f>
        <v>1745247268.95</v>
      </c>
      <c r="D39" s="581">
        <f>+D41+D69+D109+D136+D164+D168+D166</f>
        <v>752554477.2</v>
      </c>
      <c r="E39" s="581">
        <f>+E41+E69+E109+E136+E164+E168</f>
        <v>4506394978.9</v>
      </c>
      <c r="F39" s="581">
        <f>+F41+F69+F109+F136+F164+F168</f>
        <v>2441049521.7999997</v>
      </c>
      <c r="G39" s="581">
        <f>+C39+D39+E39+F39</f>
        <v>9445246246.849998</v>
      </c>
      <c r="H39" s="581">
        <v>0</v>
      </c>
      <c r="I39" s="581">
        <f>+H39+G39</f>
        <v>9445246246.849998</v>
      </c>
      <c r="J39" s="645">
        <v>3909500299.42</v>
      </c>
      <c r="K39" s="581">
        <f>+I39-B39</f>
        <v>-1745766079.4556427</v>
      </c>
      <c r="L39" s="575">
        <f t="shared" si="2"/>
        <v>0.8440028454483928</v>
      </c>
      <c r="M39" s="517"/>
      <c r="N39" s="509"/>
    </row>
    <row r="40" spans="1:14" ht="15">
      <c r="A40" s="582"/>
      <c r="B40" s="571"/>
      <c r="C40" s="571"/>
      <c r="D40" s="571"/>
      <c r="E40" s="571"/>
      <c r="F40" s="571"/>
      <c r="G40" s="577"/>
      <c r="H40" s="571"/>
      <c r="I40" s="571"/>
      <c r="J40" s="643"/>
      <c r="K40" s="571"/>
      <c r="L40" s="575"/>
      <c r="M40" s="495"/>
      <c r="N40" s="509"/>
    </row>
    <row r="41" spans="1:14" ht="15">
      <c r="A41" s="570" t="s">
        <v>86</v>
      </c>
      <c r="B41" s="581">
        <f>+B42+B52+B58+B63</f>
        <v>1875257152.3750002</v>
      </c>
      <c r="C41" s="581">
        <f>+C42+C52+C58+C63</f>
        <v>1745247268.95</v>
      </c>
      <c r="D41" s="581"/>
      <c r="E41" s="581"/>
      <c r="F41" s="584"/>
      <c r="G41" s="581">
        <f>+SUM(C41:F41)</f>
        <v>1745247268.95</v>
      </c>
      <c r="H41" s="584"/>
      <c r="I41" s="581">
        <f>+G41+H41</f>
        <v>1745247268.95</v>
      </c>
      <c r="J41" s="647">
        <v>753504999.9999998</v>
      </c>
      <c r="K41" s="585">
        <f>+I41-B41</f>
        <v>-130009883.42500019</v>
      </c>
      <c r="L41" s="575">
        <f t="shared" si="2"/>
        <v>0.9306709038489236</v>
      </c>
      <c r="M41" s="518"/>
      <c r="N41" s="509"/>
    </row>
    <row r="42" spans="1:14" s="521" customFormat="1" ht="15.75" customHeight="1">
      <c r="A42" s="586" t="s">
        <v>87</v>
      </c>
      <c r="B42" s="581">
        <f>+B43+B46+B49+B50+B51</f>
        <v>1320016722.845</v>
      </c>
      <c r="C42" s="581">
        <f>+C43+C46+C49+C50+C51</f>
        <v>1199185219</v>
      </c>
      <c r="D42" s="584"/>
      <c r="E42" s="584"/>
      <c r="F42" s="584"/>
      <c r="G42" s="581">
        <f aca="true" t="shared" si="8" ref="G42:G67">+SUM(C42:F42)</f>
        <v>1199185219</v>
      </c>
      <c r="H42" s="584"/>
      <c r="I42" s="581">
        <f>+G42+H42</f>
        <v>1199185219</v>
      </c>
      <c r="J42" s="645">
        <v>463924287.99999976</v>
      </c>
      <c r="K42" s="581">
        <f>+I42-B42</f>
        <v>-120831503.84500003</v>
      </c>
      <c r="L42" s="575">
        <f t="shared" si="2"/>
        <v>0.9084621416124374</v>
      </c>
      <c r="M42" s="520"/>
      <c r="N42" s="509"/>
    </row>
    <row r="43" spans="1:14" s="521" customFormat="1" ht="15" customHeight="1" hidden="1" outlineLevel="1">
      <c r="A43" s="587" t="s">
        <v>375</v>
      </c>
      <c r="B43" s="574">
        <f>+B44+B45</f>
        <v>1040391966</v>
      </c>
      <c r="C43" s="574">
        <f>+C44+C45</f>
        <v>1019994100.0000001</v>
      </c>
      <c r="D43" s="584"/>
      <c r="E43" s="588"/>
      <c r="F43" s="584"/>
      <c r="G43" s="574">
        <f t="shared" si="8"/>
        <v>1019994100.0000001</v>
      </c>
      <c r="H43" s="584"/>
      <c r="I43" s="574">
        <f aca="true" t="shared" si="9" ref="I43:I67">+G43+H43</f>
        <v>1019994100.0000001</v>
      </c>
      <c r="J43" s="644">
        <v>396582109.9999998</v>
      </c>
      <c r="K43" s="574">
        <f aca="true" t="shared" si="10" ref="K43:K55">+I43-B43</f>
        <v>-20397865.99999988</v>
      </c>
      <c r="L43" s="578">
        <f t="shared" si="2"/>
        <v>0.9803940565992415</v>
      </c>
      <c r="M43" s="520"/>
      <c r="N43" s="509"/>
    </row>
    <row r="44" spans="1:14" s="521" customFormat="1" ht="15" customHeight="1" hidden="1" outlineLevel="2">
      <c r="A44" s="587" t="s">
        <v>121</v>
      </c>
      <c r="B44" s="376">
        <v>675757365</v>
      </c>
      <c r="C44" s="376">
        <v>673022860.7999998</v>
      </c>
      <c r="D44" s="584"/>
      <c r="E44" s="584"/>
      <c r="F44" s="584"/>
      <c r="G44" s="376">
        <f t="shared" si="8"/>
        <v>673022860.7999998</v>
      </c>
      <c r="H44" s="584"/>
      <c r="I44" s="376">
        <f t="shared" si="9"/>
        <v>673022860.7999998</v>
      </c>
      <c r="J44" s="648">
        <v>295808437.9999998</v>
      </c>
      <c r="K44" s="376">
        <f t="shared" si="10"/>
        <v>-2734504.200000167</v>
      </c>
      <c r="L44" s="578">
        <f t="shared" si="2"/>
        <v>0.9959534230159665</v>
      </c>
      <c r="M44" s="520"/>
      <c r="N44" s="509"/>
    </row>
    <row r="45" spans="1:14" s="521" customFormat="1" ht="15" customHeight="1" hidden="1" outlineLevel="2">
      <c r="A45" s="587" t="s">
        <v>376</v>
      </c>
      <c r="B45" s="376">
        <v>364634601</v>
      </c>
      <c r="C45" s="376">
        <v>346971239.2000003</v>
      </c>
      <c r="D45" s="584"/>
      <c r="E45" s="584"/>
      <c r="F45" s="584"/>
      <c r="G45" s="376">
        <f t="shared" si="8"/>
        <v>346971239.2000003</v>
      </c>
      <c r="H45" s="584"/>
      <c r="I45" s="376">
        <f t="shared" si="9"/>
        <v>346971239.2000003</v>
      </c>
      <c r="J45" s="648">
        <v>100773672</v>
      </c>
      <c r="K45" s="376">
        <f t="shared" si="10"/>
        <v>-17663361.799999714</v>
      </c>
      <c r="L45" s="578">
        <f t="shared" si="2"/>
        <v>0.9515587337253282</v>
      </c>
      <c r="M45" s="520"/>
      <c r="N45" s="509"/>
    </row>
    <row r="46" spans="1:14" s="521" customFormat="1" ht="15" customHeight="1" hidden="1" outlineLevel="1">
      <c r="A46" s="587" t="s">
        <v>377</v>
      </c>
      <c r="B46" s="574">
        <f>+B47+B48</f>
        <v>100000000</v>
      </c>
      <c r="C46" s="574">
        <f>+C47+C48</f>
        <v>0</v>
      </c>
      <c r="D46" s="585">
        <f>+D47+D48</f>
        <v>0</v>
      </c>
      <c r="E46" s="589">
        <f>+E47+E48</f>
        <v>0</v>
      </c>
      <c r="F46" s="584"/>
      <c r="G46" s="574">
        <f>+SUM(C46:F46)</f>
        <v>0</v>
      </c>
      <c r="H46" s="584"/>
      <c r="I46" s="574">
        <f t="shared" si="9"/>
        <v>0</v>
      </c>
      <c r="J46" s="644">
        <v>0</v>
      </c>
      <c r="K46" s="574">
        <f t="shared" si="10"/>
        <v>-100000000</v>
      </c>
      <c r="L46" s="575">
        <f t="shared" si="2"/>
        <v>0</v>
      </c>
      <c r="M46" s="520"/>
      <c r="N46" s="509"/>
    </row>
    <row r="47" spans="1:14" s="521" customFormat="1" ht="15" customHeight="1" hidden="1" outlineLevel="2">
      <c r="A47" s="587" t="s">
        <v>121</v>
      </c>
      <c r="B47" s="376">
        <v>40000000</v>
      </c>
      <c r="C47" s="376">
        <v>0</v>
      </c>
      <c r="D47" s="590"/>
      <c r="E47" s="591"/>
      <c r="F47" s="584"/>
      <c r="G47" s="376">
        <f t="shared" si="8"/>
        <v>0</v>
      </c>
      <c r="H47" s="584"/>
      <c r="I47" s="376">
        <f t="shared" si="9"/>
        <v>0</v>
      </c>
      <c r="J47" s="648">
        <v>0</v>
      </c>
      <c r="K47" s="376">
        <f t="shared" si="10"/>
        <v>-40000000</v>
      </c>
      <c r="L47" s="578">
        <f t="shared" si="2"/>
        <v>0</v>
      </c>
      <c r="M47" s="520"/>
      <c r="N47" s="509"/>
    </row>
    <row r="48" spans="1:14" s="521" customFormat="1" ht="15" customHeight="1" hidden="1" outlineLevel="2">
      <c r="A48" s="587" t="s">
        <v>378</v>
      </c>
      <c r="B48" s="376">
        <v>60000000</v>
      </c>
      <c r="C48" s="376">
        <v>0</v>
      </c>
      <c r="D48" s="590"/>
      <c r="E48" s="592"/>
      <c r="F48" s="584"/>
      <c r="G48" s="376">
        <f t="shared" si="8"/>
        <v>0</v>
      </c>
      <c r="H48" s="584"/>
      <c r="I48" s="376">
        <f t="shared" si="9"/>
        <v>0</v>
      </c>
      <c r="J48" s="648">
        <v>0</v>
      </c>
      <c r="K48" s="376">
        <f t="shared" si="10"/>
        <v>-60000000</v>
      </c>
      <c r="L48" s="578">
        <f t="shared" si="2"/>
        <v>0</v>
      </c>
      <c r="M48" s="520"/>
      <c r="N48" s="509"/>
    </row>
    <row r="49" spans="1:14" s="521" customFormat="1" ht="15" customHeight="1" hidden="1" outlineLevel="1">
      <c r="A49" s="593" t="s">
        <v>114</v>
      </c>
      <c r="B49" s="376">
        <v>29914190</v>
      </c>
      <c r="C49" s="577">
        <v>29659470</v>
      </c>
      <c r="D49" s="584"/>
      <c r="E49" s="584"/>
      <c r="F49" s="584"/>
      <c r="G49" s="376">
        <f t="shared" si="8"/>
        <v>29659470</v>
      </c>
      <c r="H49" s="584"/>
      <c r="I49" s="376">
        <f t="shared" si="9"/>
        <v>29659470</v>
      </c>
      <c r="J49" s="377">
        <v>7759650</v>
      </c>
      <c r="K49" s="577">
        <f t="shared" si="10"/>
        <v>-254720</v>
      </c>
      <c r="L49" s="578">
        <f t="shared" si="2"/>
        <v>0.9914849775307304</v>
      </c>
      <c r="M49" s="520"/>
      <c r="N49" s="509"/>
    </row>
    <row r="50" spans="1:14" s="521" customFormat="1" ht="15" customHeight="1" hidden="1" outlineLevel="1">
      <c r="A50" s="593" t="s">
        <v>115</v>
      </c>
      <c r="B50" s="376">
        <v>108450566.845</v>
      </c>
      <c r="C50" s="577">
        <v>108299677</v>
      </c>
      <c r="D50" s="581"/>
      <c r="E50" s="584"/>
      <c r="F50" s="584"/>
      <c r="G50" s="376">
        <f t="shared" si="8"/>
        <v>108299677</v>
      </c>
      <c r="H50" s="584"/>
      <c r="I50" s="376">
        <f t="shared" si="9"/>
        <v>108299677</v>
      </c>
      <c r="J50" s="377">
        <v>43786042</v>
      </c>
      <c r="K50" s="577">
        <f t="shared" si="10"/>
        <v>-150889.8449999988</v>
      </c>
      <c r="L50" s="578">
        <f t="shared" si="2"/>
        <v>0.9986086762901327</v>
      </c>
      <c r="M50" s="520"/>
      <c r="N50" s="509"/>
    </row>
    <row r="51" spans="1:14" s="521" customFormat="1" ht="15" customHeight="1" hidden="1" outlineLevel="1">
      <c r="A51" s="593" t="s">
        <v>116</v>
      </c>
      <c r="B51" s="376">
        <v>41260000</v>
      </c>
      <c r="C51" s="376">
        <v>41231972</v>
      </c>
      <c r="D51" s="584"/>
      <c r="E51" s="584"/>
      <c r="F51" s="584"/>
      <c r="G51" s="376">
        <f t="shared" si="8"/>
        <v>41231972</v>
      </c>
      <c r="H51" s="584"/>
      <c r="I51" s="376">
        <f t="shared" si="9"/>
        <v>41231972</v>
      </c>
      <c r="J51" s="648">
        <v>15796486</v>
      </c>
      <c r="K51" s="376">
        <f t="shared" si="10"/>
        <v>-28028</v>
      </c>
      <c r="L51" s="578">
        <f t="shared" si="2"/>
        <v>0.999320698012603</v>
      </c>
      <c r="M51" s="520"/>
      <c r="N51" s="509"/>
    </row>
    <row r="52" spans="1:14" s="521" customFormat="1" ht="15" collapsed="1">
      <c r="A52" s="586" t="s">
        <v>88</v>
      </c>
      <c r="B52" s="581">
        <f>+B53+B54+B55+B56</f>
        <v>121635767.4</v>
      </c>
      <c r="C52" s="581">
        <f>+C53+C54+C55+C56</f>
        <v>121635766.95</v>
      </c>
      <c r="D52" s="584"/>
      <c r="E52" s="584"/>
      <c r="F52" s="584"/>
      <c r="G52" s="581">
        <f t="shared" si="8"/>
        <v>121635766.95</v>
      </c>
      <c r="H52" s="584"/>
      <c r="I52" s="581">
        <f>+G52+H52</f>
        <v>121635766.95</v>
      </c>
      <c r="J52" s="645">
        <v>51601987</v>
      </c>
      <c r="K52" s="581">
        <f t="shared" si="10"/>
        <v>-0.45000000298023224</v>
      </c>
      <c r="L52" s="575">
        <f t="shared" si="2"/>
        <v>0.9999999963004302</v>
      </c>
      <c r="M52" s="520"/>
      <c r="N52" s="509"/>
    </row>
    <row r="53" spans="1:14" s="521" customFormat="1" ht="15" customHeight="1" hidden="1" outlineLevel="2">
      <c r="A53" s="593" t="s">
        <v>89</v>
      </c>
      <c r="B53" s="376">
        <v>35349600</v>
      </c>
      <c r="C53" s="577">
        <v>35349600</v>
      </c>
      <c r="D53" s="584"/>
      <c r="E53" s="584"/>
      <c r="F53" s="584"/>
      <c r="G53" s="577">
        <f t="shared" si="8"/>
        <v>35349600</v>
      </c>
      <c r="H53" s="584"/>
      <c r="I53" s="376">
        <f t="shared" si="9"/>
        <v>35349600</v>
      </c>
      <c r="J53" s="377">
        <v>17674800</v>
      </c>
      <c r="K53" s="577">
        <f t="shared" si="10"/>
        <v>0</v>
      </c>
      <c r="L53" s="578">
        <f t="shared" si="2"/>
        <v>1</v>
      </c>
      <c r="M53" s="520"/>
      <c r="N53" s="509"/>
    </row>
    <row r="54" spans="1:14" s="521" customFormat="1" ht="15" customHeight="1" hidden="1" outlineLevel="2">
      <c r="A54" s="593" t="s">
        <v>90</v>
      </c>
      <c r="B54" s="376">
        <v>30000000</v>
      </c>
      <c r="C54" s="577">
        <v>29999999.95</v>
      </c>
      <c r="D54" s="584"/>
      <c r="E54" s="584"/>
      <c r="F54" s="584"/>
      <c r="G54" s="577">
        <f t="shared" si="8"/>
        <v>29999999.95</v>
      </c>
      <c r="H54" s="584"/>
      <c r="I54" s="376">
        <f t="shared" si="9"/>
        <v>29999999.95</v>
      </c>
      <c r="J54" s="377">
        <v>10409784</v>
      </c>
      <c r="K54" s="577">
        <f t="shared" si="10"/>
        <v>-0.05000000074505806</v>
      </c>
      <c r="L54" s="578">
        <f t="shared" si="2"/>
        <v>0.9999999983333333</v>
      </c>
      <c r="M54" s="520"/>
      <c r="N54" s="509"/>
    </row>
    <row r="55" spans="1:14" s="521" customFormat="1" ht="15" customHeight="1" hidden="1" outlineLevel="2">
      <c r="A55" s="593" t="s">
        <v>188</v>
      </c>
      <c r="B55" s="376">
        <v>56286167.400000006</v>
      </c>
      <c r="C55" s="577">
        <v>56286167</v>
      </c>
      <c r="D55" s="584"/>
      <c r="E55" s="584"/>
      <c r="F55" s="584"/>
      <c r="G55" s="577">
        <f t="shared" si="8"/>
        <v>56286167</v>
      </c>
      <c r="H55" s="584"/>
      <c r="I55" s="376">
        <f t="shared" si="9"/>
        <v>56286167</v>
      </c>
      <c r="J55" s="377">
        <v>23517403</v>
      </c>
      <c r="K55" s="577">
        <f t="shared" si="10"/>
        <v>-0.4000000059604645</v>
      </c>
      <c r="L55" s="578">
        <f t="shared" si="2"/>
        <v>0.9999999928934581</v>
      </c>
      <c r="M55" s="520"/>
      <c r="N55" s="509"/>
    </row>
    <row r="56" spans="1:14" s="521" customFormat="1" ht="15" customHeight="1" hidden="1" outlineLevel="2">
      <c r="A56" s="593" t="s">
        <v>379</v>
      </c>
      <c r="B56" s="376">
        <v>0</v>
      </c>
      <c r="C56" s="577">
        <v>0</v>
      </c>
      <c r="D56" s="584"/>
      <c r="E56" s="584"/>
      <c r="F56" s="584"/>
      <c r="G56" s="577">
        <f t="shared" si="8"/>
        <v>0</v>
      </c>
      <c r="H56" s="584"/>
      <c r="I56" s="376">
        <f t="shared" si="9"/>
        <v>0</v>
      </c>
      <c r="J56" s="377">
        <v>0</v>
      </c>
      <c r="K56" s="577"/>
      <c r="L56" s="578">
        <v>0</v>
      </c>
      <c r="M56" s="520"/>
      <c r="N56" s="509"/>
    </row>
    <row r="57" spans="1:14" s="521" customFormat="1" ht="15" customHeight="1" hidden="1" outlineLevel="2">
      <c r="A57" s="593"/>
      <c r="B57" s="376"/>
      <c r="C57" s="577"/>
      <c r="D57" s="584"/>
      <c r="E57" s="584"/>
      <c r="F57" s="584"/>
      <c r="G57" s="577"/>
      <c r="H57" s="584"/>
      <c r="I57" s="376"/>
      <c r="J57" s="377"/>
      <c r="K57" s="577"/>
      <c r="L57" s="575"/>
      <c r="M57" s="520"/>
      <c r="N57" s="509"/>
    </row>
    <row r="58" spans="1:14" s="521" customFormat="1" ht="15" collapsed="1">
      <c r="A58" s="586" t="s">
        <v>91</v>
      </c>
      <c r="B58" s="574">
        <f>+B59+B60+B62+B61</f>
        <v>210955619.13000003</v>
      </c>
      <c r="C58" s="574">
        <f>+C59+C60+C62</f>
        <v>202592940</v>
      </c>
      <c r="D58" s="594"/>
      <c r="E58" s="577"/>
      <c r="F58" s="581"/>
      <c r="G58" s="574">
        <f t="shared" si="8"/>
        <v>202592940</v>
      </c>
      <c r="H58" s="595"/>
      <c r="I58" s="574">
        <f t="shared" si="9"/>
        <v>202592940</v>
      </c>
      <c r="J58" s="645">
        <v>130807304</v>
      </c>
      <c r="K58" s="581">
        <f aca="true" t="shared" si="11" ref="K58:K64">+I58-B58</f>
        <v>-8362679.130000025</v>
      </c>
      <c r="L58" s="575">
        <f t="shared" si="2"/>
        <v>0.9603581115094803</v>
      </c>
      <c r="M58" s="520"/>
      <c r="N58" s="509"/>
    </row>
    <row r="59" spans="1:14" s="521" customFormat="1" ht="14.25" customHeight="1" hidden="1" outlineLevel="1">
      <c r="A59" s="596" t="s">
        <v>92</v>
      </c>
      <c r="B59" s="577">
        <v>85157247.00000001</v>
      </c>
      <c r="C59" s="577">
        <v>84876066</v>
      </c>
      <c r="D59" s="571"/>
      <c r="E59" s="571"/>
      <c r="F59" s="577"/>
      <c r="G59" s="577">
        <f t="shared" si="8"/>
        <v>84876066</v>
      </c>
      <c r="H59" s="571"/>
      <c r="I59" s="577">
        <f t="shared" si="9"/>
        <v>84876066</v>
      </c>
      <c r="J59" s="377">
        <v>46891122</v>
      </c>
      <c r="K59" s="577">
        <f t="shared" si="11"/>
        <v>-281181.0000000149</v>
      </c>
      <c r="L59" s="578">
        <f t="shared" si="2"/>
        <v>0.9966980966399722</v>
      </c>
      <c r="M59" s="520"/>
      <c r="N59" s="509"/>
    </row>
    <row r="60" spans="1:14" s="521" customFormat="1" ht="14.25" customHeight="1" hidden="1" outlineLevel="1">
      <c r="A60" s="596" t="s">
        <v>93</v>
      </c>
      <c r="B60" s="577">
        <v>29943269.130000003</v>
      </c>
      <c r="C60" s="577">
        <v>29880253</v>
      </c>
      <c r="D60" s="571"/>
      <c r="E60" s="571"/>
      <c r="F60" s="577"/>
      <c r="G60" s="577">
        <f t="shared" si="8"/>
        <v>29880253</v>
      </c>
      <c r="H60" s="571"/>
      <c r="I60" s="577">
        <f t="shared" si="9"/>
        <v>29880253</v>
      </c>
      <c r="J60" s="377">
        <v>15220661</v>
      </c>
      <c r="K60" s="577">
        <f t="shared" si="11"/>
        <v>-63016.13000000268</v>
      </c>
      <c r="L60" s="578">
        <f t="shared" si="2"/>
        <v>0.9978954826299555</v>
      </c>
      <c r="M60" s="520"/>
      <c r="N60" s="509"/>
    </row>
    <row r="61" spans="1:14" s="521" customFormat="1" ht="14.25" customHeight="1" hidden="1" outlineLevel="1">
      <c r="A61" s="596" t="s">
        <v>305</v>
      </c>
      <c r="B61" s="577">
        <v>8000000</v>
      </c>
      <c r="C61" s="577"/>
      <c r="D61" s="571"/>
      <c r="E61" s="571"/>
      <c r="F61" s="577"/>
      <c r="G61" s="577"/>
      <c r="H61" s="571"/>
      <c r="I61" s="577"/>
      <c r="J61" s="377"/>
      <c r="K61" s="577">
        <f t="shared" si="11"/>
        <v>-8000000</v>
      </c>
      <c r="L61" s="578"/>
      <c r="M61" s="520"/>
      <c r="N61" s="509"/>
    </row>
    <row r="62" spans="1:14" s="521" customFormat="1" ht="14.25" customHeight="1" hidden="1" outlineLevel="1">
      <c r="A62" s="596" t="s">
        <v>187</v>
      </c>
      <c r="B62" s="577">
        <v>87855103</v>
      </c>
      <c r="C62" s="577">
        <v>87836621</v>
      </c>
      <c r="D62" s="571"/>
      <c r="E62" s="571"/>
      <c r="F62" s="577"/>
      <c r="G62" s="577">
        <f t="shared" si="8"/>
        <v>87836621</v>
      </c>
      <c r="H62" s="571"/>
      <c r="I62" s="577">
        <f t="shared" si="9"/>
        <v>87836621</v>
      </c>
      <c r="J62" s="377">
        <v>68695521</v>
      </c>
      <c r="K62" s="577">
        <f t="shared" si="11"/>
        <v>-18482</v>
      </c>
      <c r="L62" s="578">
        <f t="shared" si="2"/>
        <v>0.9997896308880316</v>
      </c>
      <c r="M62" s="520"/>
      <c r="N62" s="509"/>
    </row>
    <row r="63" spans="1:14" s="521" customFormat="1" ht="15" collapsed="1">
      <c r="A63" s="586" t="s">
        <v>94</v>
      </c>
      <c r="B63" s="574">
        <f>+B64+B65+B66+B67</f>
        <v>222649043</v>
      </c>
      <c r="C63" s="574">
        <f>+C64+C65+C66+C67</f>
        <v>221833343</v>
      </c>
      <c r="D63" s="595"/>
      <c r="E63" s="595"/>
      <c r="F63" s="595"/>
      <c r="G63" s="574">
        <f t="shared" si="8"/>
        <v>221833343</v>
      </c>
      <c r="H63" s="595"/>
      <c r="I63" s="574">
        <f>+G63+H63</f>
        <v>221833343</v>
      </c>
      <c r="J63" s="644">
        <v>107171421</v>
      </c>
      <c r="K63" s="574">
        <f t="shared" si="11"/>
        <v>-815700</v>
      </c>
      <c r="L63" s="575">
        <f t="shared" si="2"/>
        <v>0.9963363866782935</v>
      </c>
      <c r="M63" s="525"/>
      <c r="N63" s="509"/>
    </row>
    <row r="64" spans="1:14" s="521" customFormat="1" ht="15" customHeight="1" hidden="1" outlineLevel="1">
      <c r="A64" s="596" t="s">
        <v>95</v>
      </c>
      <c r="B64" s="376">
        <v>103969400</v>
      </c>
      <c r="C64" s="376">
        <v>103203994</v>
      </c>
      <c r="D64" s="595"/>
      <c r="E64" s="595"/>
      <c r="F64" s="595"/>
      <c r="G64" s="376">
        <f t="shared" si="8"/>
        <v>103203994</v>
      </c>
      <c r="H64" s="597"/>
      <c r="I64" s="376">
        <f t="shared" si="9"/>
        <v>103203994</v>
      </c>
      <c r="J64" s="648">
        <v>48179533</v>
      </c>
      <c r="K64" s="376">
        <f t="shared" si="11"/>
        <v>-765406</v>
      </c>
      <c r="L64" s="578">
        <f t="shared" si="2"/>
        <v>0.992638160843479</v>
      </c>
      <c r="M64" s="520"/>
      <c r="N64" s="509"/>
    </row>
    <row r="65" spans="1:14" s="521" customFormat="1" ht="15" customHeight="1" hidden="1" outlineLevel="1">
      <c r="A65" s="596" t="s">
        <v>139</v>
      </c>
      <c r="B65" s="376">
        <v>10668000</v>
      </c>
      <c r="C65" s="376">
        <v>10650937</v>
      </c>
      <c r="D65" s="595"/>
      <c r="E65" s="595"/>
      <c r="F65" s="595"/>
      <c r="G65" s="376">
        <f t="shared" si="8"/>
        <v>10650937</v>
      </c>
      <c r="H65" s="597"/>
      <c r="I65" s="376">
        <f t="shared" si="9"/>
        <v>10650937</v>
      </c>
      <c r="J65" s="648">
        <v>10650937</v>
      </c>
      <c r="K65" s="376">
        <f>+I65-I65</f>
        <v>0</v>
      </c>
      <c r="L65" s="578">
        <f t="shared" si="2"/>
        <v>0.9984005436820398</v>
      </c>
      <c r="M65" s="520"/>
      <c r="N65" s="509"/>
    </row>
    <row r="66" spans="1:14" s="521" customFormat="1" ht="15" customHeight="1" hidden="1" outlineLevel="1">
      <c r="A66" s="598" t="s">
        <v>140</v>
      </c>
      <c r="B66" s="376">
        <v>28596643</v>
      </c>
      <c r="C66" s="376">
        <v>28566138</v>
      </c>
      <c r="D66" s="595"/>
      <c r="E66" s="595"/>
      <c r="F66" s="595"/>
      <c r="G66" s="376">
        <f t="shared" si="8"/>
        <v>28566138</v>
      </c>
      <c r="H66" s="597"/>
      <c r="I66" s="376">
        <f t="shared" si="9"/>
        <v>28566138</v>
      </c>
      <c r="J66" s="648">
        <v>15851196</v>
      </c>
      <c r="K66" s="376">
        <f>+I66-B66</f>
        <v>-30505</v>
      </c>
      <c r="L66" s="578">
        <f t="shared" si="2"/>
        <v>0.9989332663977377</v>
      </c>
      <c r="M66" s="520"/>
      <c r="N66" s="509"/>
    </row>
    <row r="67" spans="1:14" s="521" customFormat="1" ht="15" customHeight="1" hidden="1" outlineLevel="1">
      <c r="A67" s="599" t="s">
        <v>218</v>
      </c>
      <c r="B67" s="376">
        <v>79415000</v>
      </c>
      <c r="C67" s="376">
        <v>79412274</v>
      </c>
      <c r="D67" s="595"/>
      <c r="E67" s="595"/>
      <c r="F67" s="595"/>
      <c r="G67" s="376">
        <f t="shared" si="8"/>
        <v>79412274</v>
      </c>
      <c r="H67" s="597"/>
      <c r="I67" s="376">
        <f t="shared" si="9"/>
        <v>79412274</v>
      </c>
      <c r="J67" s="648">
        <v>32489755</v>
      </c>
      <c r="K67" s="376">
        <f>+I67-B67</f>
        <v>-2726</v>
      </c>
      <c r="L67" s="578">
        <f t="shared" si="2"/>
        <v>0.9999656739910596</v>
      </c>
      <c r="M67" s="520"/>
      <c r="N67" s="509"/>
    </row>
    <row r="68" spans="1:14" s="521" customFormat="1" ht="15" collapsed="1">
      <c r="A68" s="596"/>
      <c r="B68" s="577"/>
      <c r="C68" s="577"/>
      <c r="D68" s="584"/>
      <c r="E68" s="584"/>
      <c r="F68" s="588"/>
      <c r="G68" s="577"/>
      <c r="H68" s="584"/>
      <c r="I68" s="577"/>
      <c r="J68" s="377"/>
      <c r="K68" s="577"/>
      <c r="L68" s="575"/>
      <c r="M68" s="520"/>
      <c r="N68" s="509"/>
    </row>
    <row r="69" spans="1:14" ht="15">
      <c r="A69" s="570" t="s">
        <v>106</v>
      </c>
      <c r="B69" s="581">
        <f>+B70+B76+B82+B89+B100+B104+B106</f>
        <v>2509178139.5964</v>
      </c>
      <c r="C69" s="585"/>
      <c r="D69" s="577"/>
      <c r="E69" s="577"/>
      <c r="F69" s="574">
        <f>+F70+F76+F82+F89+F100+F104+F106</f>
        <v>2441049521.7999997</v>
      </c>
      <c r="G69" s="574">
        <f>+G70+G76+G82+G89+G100+G104+G106</f>
        <v>2441049521.7999997</v>
      </c>
      <c r="H69" s="571"/>
      <c r="I69" s="581">
        <f>+H69+G69</f>
        <v>2441049521.7999997</v>
      </c>
      <c r="J69" s="644">
        <v>911994906</v>
      </c>
      <c r="K69" s="574">
        <f aca="true" t="shared" si="12" ref="K69:K90">+I69-B69</f>
        <v>-68128617.79640007</v>
      </c>
      <c r="L69" s="575">
        <f t="shared" si="2"/>
        <v>0.9728482339610377</v>
      </c>
      <c r="M69" s="518"/>
      <c r="N69" s="509"/>
    </row>
    <row r="70" spans="1:14" ht="15">
      <c r="A70" s="586" t="s">
        <v>107</v>
      </c>
      <c r="B70" s="581">
        <f>+B71+B72+B73+B74+B75</f>
        <v>135018368.388</v>
      </c>
      <c r="C70" s="585"/>
      <c r="D70" s="577"/>
      <c r="E70" s="577"/>
      <c r="F70" s="574">
        <f>SUM(F71:F75)</f>
        <v>130677326</v>
      </c>
      <c r="G70" s="581">
        <f>+G71+G72+G73+G74+G75</f>
        <v>130677326</v>
      </c>
      <c r="H70" s="571"/>
      <c r="I70" s="581">
        <f>+I71+I72+I73+I74+I75</f>
        <v>130677326</v>
      </c>
      <c r="J70" s="644">
        <v>5376600</v>
      </c>
      <c r="K70" s="574">
        <f t="shared" si="12"/>
        <v>-4341042.388000011</v>
      </c>
      <c r="L70" s="575">
        <f t="shared" si="2"/>
        <v>0.9678485050602506</v>
      </c>
      <c r="M70" s="495"/>
      <c r="N70" s="509"/>
    </row>
    <row r="71" spans="1:14" ht="15" customHeight="1" hidden="1" outlineLevel="1">
      <c r="A71" s="600" t="s">
        <v>195</v>
      </c>
      <c r="B71" s="376">
        <v>34507018.800000004</v>
      </c>
      <c r="C71" s="585"/>
      <c r="D71" s="577"/>
      <c r="E71" s="577"/>
      <c r="F71" s="376">
        <v>34507019</v>
      </c>
      <c r="G71" s="376">
        <f aca="true" t="shared" si="13" ref="G71:G105">+F71+E71+D71+C71</f>
        <v>34507019</v>
      </c>
      <c r="H71" s="571"/>
      <c r="I71" s="376">
        <f aca="true" t="shared" si="14" ref="I71:I105">+H71+G71</f>
        <v>34507019</v>
      </c>
      <c r="J71" s="648">
        <v>0</v>
      </c>
      <c r="K71" s="376">
        <f t="shared" si="12"/>
        <v>0.19999999552965164</v>
      </c>
      <c r="L71" s="578">
        <f t="shared" si="2"/>
        <v>1.0000000057959222</v>
      </c>
      <c r="M71" s="495"/>
      <c r="N71" s="509"/>
    </row>
    <row r="72" spans="1:14" ht="15" customHeight="1" hidden="1" outlineLevel="1">
      <c r="A72" s="600" t="s">
        <v>196</v>
      </c>
      <c r="B72" s="376">
        <v>56758149.58799999</v>
      </c>
      <c r="C72" s="585"/>
      <c r="D72" s="577"/>
      <c r="E72" s="577"/>
      <c r="F72" s="376">
        <v>56758150</v>
      </c>
      <c r="G72" s="376">
        <f t="shared" si="13"/>
        <v>56758150</v>
      </c>
      <c r="H72" s="571"/>
      <c r="I72" s="376">
        <f t="shared" si="14"/>
        <v>56758150</v>
      </c>
      <c r="J72" s="648">
        <v>0</v>
      </c>
      <c r="K72" s="376">
        <f t="shared" si="12"/>
        <v>0.41200000792741776</v>
      </c>
      <c r="L72" s="578">
        <f t="shared" si="2"/>
        <v>1.0000000072588697</v>
      </c>
      <c r="M72" s="495"/>
      <c r="N72" s="509"/>
    </row>
    <row r="73" spans="1:14" ht="15" customHeight="1" hidden="1" outlineLevel="1">
      <c r="A73" s="600" t="s">
        <v>197</v>
      </c>
      <c r="B73" s="376">
        <v>0</v>
      </c>
      <c r="C73" s="585"/>
      <c r="D73" s="577"/>
      <c r="E73" s="577"/>
      <c r="F73" s="376">
        <v>0</v>
      </c>
      <c r="G73" s="376">
        <f t="shared" si="13"/>
        <v>0</v>
      </c>
      <c r="H73" s="571"/>
      <c r="I73" s="376">
        <f t="shared" si="14"/>
        <v>0</v>
      </c>
      <c r="J73" s="648">
        <v>0</v>
      </c>
      <c r="K73" s="376">
        <f t="shared" si="12"/>
        <v>0</v>
      </c>
      <c r="L73" s="578">
        <v>0</v>
      </c>
      <c r="M73" s="495"/>
      <c r="N73" s="509"/>
    </row>
    <row r="74" spans="1:14" ht="15" customHeight="1" hidden="1" outlineLevel="1">
      <c r="A74" s="600" t="s">
        <v>198</v>
      </c>
      <c r="B74" s="376">
        <v>10753200</v>
      </c>
      <c r="C74" s="585"/>
      <c r="D74" s="577"/>
      <c r="E74" s="577"/>
      <c r="F74" s="376">
        <v>10753200</v>
      </c>
      <c r="G74" s="376">
        <f t="shared" si="13"/>
        <v>10753200</v>
      </c>
      <c r="H74" s="571"/>
      <c r="I74" s="376">
        <f t="shared" si="14"/>
        <v>10753200</v>
      </c>
      <c r="J74" s="648">
        <v>5376600</v>
      </c>
      <c r="K74" s="376">
        <f t="shared" si="12"/>
        <v>0</v>
      </c>
      <c r="L74" s="578">
        <f t="shared" si="2"/>
        <v>1</v>
      </c>
      <c r="M74" s="495"/>
      <c r="N74" s="509"/>
    </row>
    <row r="75" spans="1:14" ht="15" customHeight="1" hidden="1" outlineLevel="1">
      <c r="A75" s="600" t="s">
        <v>380</v>
      </c>
      <c r="B75" s="376">
        <v>33000000</v>
      </c>
      <c r="C75" s="585"/>
      <c r="D75" s="577"/>
      <c r="E75" s="577"/>
      <c r="F75" s="376">
        <v>28658957</v>
      </c>
      <c r="G75" s="376">
        <f t="shared" si="13"/>
        <v>28658957</v>
      </c>
      <c r="H75" s="571"/>
      <c r="I75" s="376">
        <f t="shared" si="14"/>
        <v>28658957</v>
      </c>
      <c r="J75" s="648">
        <v>0</v>
      </c>
      <c r="K75" s="376">
        <f t="shared" si="12"/>
        <v>-4341043</v>
      </c>
      <c r="L75" s="578">
        <f aca="true" t="shared" si="15" ref="L75:L138">+I75/B75</f>
        <v>0.8684532424242424</v>
      </c>
      <c r="M75" s="495"/>
      <c r="N75" s="509"/>
    </row>
    <row r="76" spans="1:14" ht="17.25" customHeight="1" collapsed="1">
      <c r="A76" s="601" t="s">
        <v>199</v>
      </c>
      <c r="B76" s="574">
        <f>+B77+B78+B79+B80+B81</f>
        <v>273410413</v>
      </c>
      <c r="C76" s="585"/>
      <c r="D76" s="577"/>
      <c r="E76" s="577"/>
      <c r="F76" s="574">
        <f>SUM(F77:F81)</f>
        <v>273137052</v>
      </c>
      <c r="G76" s="574">
        <f>SUM(G77:G81)</f>
        <v>273137052</v>
      </c>
      <c r="H76" s="571"/>
      <c r="I76" s="574">
        <f t="shared" si="14"/>
        <v>273137052</v>
      </c>
      <c r="J76" s="644">
        <v>149617002</v>
      </c>
      <c r="K76" s="574">
        <f t="shared" si="12"/>
        <v>-273361</v>
      </c>
      <c r="L76" s="575">
        <f t="shared" si="15"/>
        <v>0.9990001807283031</v>
      </c>
      <c r="M76" s="495"/>
      <c r="N76" s="509"/>
    </row>
    <row r="77" spans="1:14" ht="15" customHeight="1" hidden="1" outlineLevel="1">
      <c r="A77" s="600" t="s">
        <v>200</v>
      </c>
      <c r="B77" s="376">
        <v>65836620</v>
      </c>
      <c r="C77" s="585"/>
      <c r="D77" s="577"/>
      <c r="E77" s="577"/>
      <c r="F77" s="376">
        <v>65675632</v>
      </c>
      <c r="G77" s="376">
        <f t="shared" si="13"/>
        <v>65675632</v>
      </c>
      <c r="H77" s="571"/>
      <c r="I77" s="376">
        <f t="shared" si="14"/>
        <v>65675632</v>
      </c>
      <c r="J77" s="648">
        <v>32840262</v>
      </c>
      <c r="K77" s="376">
        <f t="shared" si="12"/>
        <v>-160988</v>
      </c>
      <c r="L77" s="578">
        <f t="shared" si="15"/>
        <v>0.9975547347357747</v>
      </c>
      <c r="M77" s="495"/>
      <c r="N77" s="509"/>
    </row>
    <row r="78" spans="1:14" ht="15" customHeight="1" hidden="1" outlineLevel="1">
      <c r="A78" s="600" t="s">
        <v>148</v>
      </c>
      <c r="B78" s="376">
        <v>10000000</v>
      </c>
      <c r="C78" s="585"/>
      <c r="D78" s="577"/>
      <c r="E78" s="577"/>
      <c r="F78" s="376">
        <v>9940428</v>
      </c>
      <c r="G78" s="376">
        <f t="shared" si="13"/>
        <v>9940428</v>
      </c>
      <c r="H78" s="571"/>
      <c r="I78" s="376">
        <f t="shared" si="14"/>
        <v>9940428</v>
      </c>
      <c r="J78" s="648">
        <v>4942389</v>
      </c>
      <c r="K78" s="376">
        <f t="shared" si="12"/>
        <v>-59572</v>
      </c>
      <c r="L78" s="578">
        <f t="shared" si="15"/>
        <v>0.9940428</v>
      </c>
      <c r="M78" s="495"/>
      <c r="N78" s="509"/>
    </row>
    <row r="79" spans="1:14" ht="15" customHeight="1" hidden="1" outlineLevel="1">
      <c r="A79" s="600" t="s">
        <v>149</v>
      </c>
      <c r="B79" s="376">
        <v>2945893</v>
      </c>
      <c r="C79" s="585"/>
      <c r="D79" s="577"/>
      <c r="E79" s="577"/>
      <c r="F79" s="376">
        <v>2945893</v>
      </c>
      <c r="G79" s="376">
        <f t="shared" si="13"/>
        <v>2945893</v>
      </c>
      <c r="H79" s="571"/>
      <c r="I79" s="376">
        <f t="shared" si="14"/>
        <v>2945893</v>
      </c>
      <c r="J79" s="648">
        <v>2574693</v>
      </c>
      <c r="K79" s="376">
        <f t="shared" si="12"/>
        <v>0</v>
      </c>
      <c r="L79" s="578">
        <f t="shared" si="15"/>
        <v>1</v>
      </c>
      <c r="M79" s="495"/>
      <c r="N79" s="509"/>
    </row>
    <row r="80" spans="1:14" ht="15" customHeight="1" hidden="1" outlineLevel="1">
      <c r="A80" s="600" t="s">
        <v>201</v>
      </c>
      <c r="B80" s="376">
        <v>15000000</v>
      </c>
      <c r="C80" s="585"/>
      <c r="D80" s="577"/>
      <c r="E80" s="577"/>
      <c r="F80" s="376">
        <v>14997962</v>
      </c>
      <c r="G80" s="376">
        <f t="shared" si="13"/>
        <v>14997962</v>
      </c>
      <c r="H80" s="571"/>
      <c r="I80" s="376">
        <f t="shared" si="14"/>
        <v>14997962</v>
      </c>
      <c r="J80" s="648">
        <v>14997962</v>
      </c>
      <c r="K80" s="376">
        <f t="shared" si="12"/>
        <v>-2038</v>
      </c>
      <c r="L80" s="578">
        <f t="shared" si="15"/>
        <v>0.9998641333333333</v>
      </c>
      <c r="M80" s="495"/>
      <c r="N80" s="509"/>
    </row>
    <row r="81" spans="1:14" s="529" customFormat="1" ht="14.25" customHeight="1" hidden="1" outlineLevel="1">
      <c r="A81" s="600" t="s">
        <v>202</v>
      </c>
      <c r="B81" s="376">
        <v>179627900</v>
      </c>
      <c r="C81" s="583"/>
      <c r="D81" s="577"/>
      <c r="E81" s="577"/>
      <c r="F81" s="376">
        <v>179577137</v>
      </c>
      <c r="G81" s="376">
        <f t="shared" si="13"/>
        <v>179577137</v>
      </c>
      <c r="H81" s="571"/>
      <c r="I81" s="376">
        <f t="shared" si="14"/>
        <v>179577137</v>
      </c>
      <c r="J81" s="648">
        <v>94261696</v>
      </c>
      <c r="K81" s="376">
        <f t="shared" si="12"/>
        <v>-50763</v>
      </c>
      <c r="L81" s="578">
        <f t="shared" si="15"/>
        <v>0.9997173991345443</v>
      </c>
      <c r="M81" s="495"/>
      <c r="N81" s="509"/>
    </row>
    <row r="82" spans="1:14" ht="15" collapsed="1">
      <c r="A82" s="602" t="s">
        <v>203</v>
      </c>
      <c r="B82" s="581">
        <f>+B83+B84+B85+B86+B87+B88</f>
        <v>422560367.85</v>
      </c>
      <c r="C82" s="585"/>
      <c r="D82" s="577"/>
      <c r="E82" s="577"/>
      <c r="F82" s="574">
        <f>SUM(F83:F88)</f>
        <v>420399524</v>
      </c>
      <c r="G82" s="581">
        <f>+G83+G84+G85+G87+G88+G86</f>
        <v>420399524</v>
      </c>
      <c r="H82" s="571"/>
      <c r="I82" s="581">
        <f>+I83+I84+I85+I87+I88+I86</f>
        <v>420399524</v>
      </c>
      <c r="J82" s="644">
        <v>218054079</v>
      </c>
      <c r="K82" s="574">
        <f t="shared" si="12"/>
        <v>-2160843.850000024</v>
      </c>
      <c r="L82" s="575">
        <f t="shared" si="15"/>
        <v>0.9948863073435058</v>
      </c>
      <c r="M82" s="495"/>
      <c r="N82" s="509"/>
    </row>
    <row r="83" spans="1:14" ht="15" customHeight="1" hidden="1" outlineLevel="1">
      <c r="A83" s="600" t="s">
        <v>151</v>
      </c>
      <c r="B83" s="376">
        <v>162766578</v>
      </c>
      <c r="C83" s="585"/>
      <c r="D83" s="577"/>
      <c r="E83" s="577"/>
      <c r="F83" s="376">
        <v>162736864</v>
      </c>
      <c r="G83" s="376">
        <f t="shared" si="13"/>
        <v>162736864</v>
      </c>
      <c r="H83" s="571"/>
      <c r="I83" s="376">
        <f t="shared" si="14"/>
        <v>162736864</v>
      </c>
      <c r="J83" s="648">
        <v>76260228</v>
      </c>
      <c r="K83" s="376">
        <f t="shared" si="12"/>
        <v>-29714</v>
      </c>
      <c r="L83" s="578">
        <f t="shared" si="15"/>
        <v>0.9998174440946962</v>
      </c>
      <c r="M83" s="495"/>
      <c r="N83" s="509"/>
    </row>
    <row r="84" spans="1:14" ht="15" customHeight="1" hidden="1" outlineLevel="1">
      <c r="A84" s="600" t="s">
        <v>152</v>
      </c>
      <c r="B84" s="376">
        <v>111062789.85</v>
      </c>
      <c r="C84" s="585"/>
      <c r="D84" s="577"/>
      <c r="E84" s="577"/>
      <c r="F84" s="376">
        <v>109342421</v>
      </c>
      <c r="G84" s="376">
        <f t="shared" si="13"/>
        <v>109342421</v>
      </c>
      <c r="H84" s="571"/>
      <c r="I84" s="376">
        <f t="shared" si="14"/>
        <v>109342421</v>
      </c>
      <c r="J84" s="648">
        <v>50391662</v>
      </c>
      <c r="K84" s="376">
        <f t="shared" si="12"/>
        <v>-1720368.849999994</v>
      </c>
      <c r="L84" s="578">
        <f t="shared" si="15"/>
        <v>0.9845099438585732</v>
      </c>
      <c r="M84" s="495"/>
      <c r="N84" s="509"/>
    </row>
    <row r="85" spans="1:14" ht="15" customHeight="1" hidden="1" outlineLevel="1">
      <c r="A85" s="600" t="s">
        <v>204</v>
      </c>
      <c r="B85" s="376">
        <v>90945445</v>
      </c>
      <c r="C85" s="585"/>
      <c r="D85" s="577"/>
      <c r="E85" s="577"/>
      <c r="F85" s="376">
        <v>90544669</v>
      </c>
      <c r="G85" s="376">
        <f t="shared" si="13"/>
        <v>90544669</v>
      </c>
      <c r="H85" s="571"/>
      <c r="I85" s="376">
        <f t="shared" si="14"/>
        <v>90544669</v>
      </c>
      <c r="J85" s="648">
        <v>57236813</v>
      </c>
      <c r="K85" s="376">
        <f t="shared" si="12"/>
        <v>-400776</v>
      </c>
      <c r="L85" s="578">
        <f t="shared" si="15"/>
        <v>0.99559322624679</v>
      </c>
      <c r="M85" s="495"/>
      <c r="N85" s="509"/>
    </row>
    <row r="86" spans="1:14" ht="15" customHeight="1" hidden="1" outlineLevel="1">
      <c r="A86" s="600" t="s">
        <v>381</v>
      </c>
      <c r="B86" s="376">
        <v>27670000</v>
      </c>
      <c r="C86" s="585"/>
      <c r="D86" s="577"/>
      <c r="E86" s="577"/>
      <c r="F86" s="376">
        <v>27660368</v>
      </c>
      <c r="G86" s="376">
        <f t="shared" si="13"/>
        <v>27660368</v>
      </c>
      <c r="H86" s="571"/>
      <c r="I86" s="376">
        <f t="shared" si="14"/>
        <v>27660368</v>
      </c>
      <c r="J86" s="648">
        <v>13664360</v>
      </c>
      <c r="K86" s="376">
        <f t="shared" si="12"/>
        <v>-9632</v>
      </c>
      <c r="L86" s="578">
        <f t="shared" si="15"/>
        <v>0.9996518973617636</v>
      </c>
      <c r="M86" s="495"/>
      <c r="N86" s="509"/>
    </row>
    <row r="87" spans="1:14" ht="15" customHeight="1" hidden="1" outlineLevel="1">
      <c r="A87" s="600" t="s">
        <v>150</v>
      </c>
      <c r="B87" s="376">
        <v>10115555</v>
      </c>
      <c r="C87" s="585"/>
      <c r="D87" s="577"/>
      <c r="E87" s="577"/>
      <c r="F87" s="376">
        <v>10115202</v>
      </c>
      <c r="G87" s="376">
        <f t="shared" si="13"/>
        <v>10115202</v>
      </c>
      <c r="H87" s="571"/>
      <c r="I87" s="376">
        <f t="shared" si="14"/>
        <v>10115202</v>
      </c>
      <c r="J87" s="648">
        <v>1731880</v>
      </c>
      <c r="K87" s="376">
        <f t="shared" si="12"/>
        <v>-353</v>
      </c>
      <c r="L87" s="578">
        <f t="shared" si="15"/>
        <v>0.9999651032494016</v>
      </c>
      <c r="M87" s="495"/>
      <c r="N87" s="509"/>
    </row>
    <row r="88" spans="1:14" ht="15" customHeight="1" hidden="1" outlineLevel="1">
      <c r="A88" s="600" t="s">
        <v>153</v>
      </c>
      <c r="B88" s="376">
        <v>20000000</v>
      </c>
      <c r="C88" s="585"/>
      <c r="D88" s="577"/>
      <c r="E88" s="577"/>
      <c r="F88" s="376">
        <v>20000000</v>
      </c>
      <c r="G88" s="376">
        <f t="shared" si="13"/>
        <v>20000000</v>
      </c>
      <c r="H88" s="571"/>
      <c r="I88" s="376">
        <f t="shared" si="14"/>
        <v>20000000</v>
      </c>
      <c r="J88" s="648">
        <v>18769136</v>
      </c>
      <c r="K88" s="376">
        <f t="shared" si="12"/>
        <v>0</v>
      </c>
      <c r="L88" s="578">
        <f t="shared" si="15"/>
        <v>1</v>
      </c>
      <c r="M88" s="495"/>
      <c r="N88" s="509"/>
    </row>
    <row r="89" spans="1:14" ht="15" collapsed="1">
      <c r="A89" s="601" t="s">
        <v>119</v>
      </c>
      <c r="B89" s="581">
        <f>+B90+B91+B92+B93+B94+B95+B96+B97+B98</f>
        <v>1186321859</v>
      </c>
      <c r="C89" s="585"/>
      <c r="D89" s="577"/>
      <c r="E89" s="577"/>
      <c r="F89" s="574">
        <f>SUM(F90:F98)</f>
        <v>1130994465.6</v>
      </c>
      <c r="G89" s="581">
        <f>+G90+G91+G92+G93+G94+G95+G96+G97+G98</f>
        <v>1130994465.6</v>
      </c>
      <c r="H89" s="571"/>
      <c r="I89" s="581">
        <f>+I90+I91+I92+I93+I94+I95+I96+I97+I98</f>
        <v>1130994465.6</v>
      </c>
      <c r="J89" s="644">
        <v>404714685</v>
      </c>
      <c r="K89" s="574">
        <f t="shared" si="12"/>
        <v>-55327393.400000095</v>
      </c>
      <c r="L89" s="575">
        <f t="shared" si="15"/>
        <v>0.9533622406261334</v>
      </c>
      <c r="M89" s="495"/>
      <c r="N89" s="509"/>
    </row>
    <row r="90" spans="1:14" ht="15" customHeight="1" hidden="1" outlineLevel="1">
      <c r="A90" s="603" t="s">
        <v>205</v>
      </c>
      <c r="B90" s="376">
        <v>123502181</v>
      </c>
      <c r="C90" s="585"/>
      <c r="D90" s="577"/>
      <c r="E90" s="577"/>
      <c r="F90" s="376">
        <v>123502181</v>
      </c>
      <c r="G90" s="376">
        <f t="shared" si="13"/>
        <v>123502181</v>
      </c>
      <c r="H90" s="571"/>
      <c r="I90" s="376">
        <f>+G90+H90</f>
        <v>123502181</v>
      </c>
      <c r="J90" s="648">
        <v>56704792</v>
      </c>
      <c r="K90" s="376">
        <f t="shared" si="12"/>
        <v>0</v>
      </c>
      <c r="L90" s="578">
        <f t="shared" si="15"/>
        <v>1</v>
      </c>
      <c r="M90" s="495"/>
      <c r="N90" s="509"/>
    </row>
    <row r="91" spans="1:14" ht="15" customHeight="1" hidden="1" outlineLevel="1">
      <c r="A91" s="603" t="s">
        <v>206</v>
      </c>
      <c r="B91" s="376">
        <v>871272659</v>
      </c>
      <c r="C91" s="585"/>
      <c r="D91" s="577"/>
      <c r="E91" s="577"/>
      <c r="F91" s="376">
        <v>818936155</v>
      </c>
      <c r="G91" s="376">
        <f t="shared" si="13"/>
        <v>818936155</v>
      </c>
      <c r="H91" s="571"/>
      <c r="I91" s="376">
        <f>+H91+G91</f>
        <v>818936155</v>
      </c>
      <c r="J91" s="648">
        <v>295189354</v>
      </c>
      <c r="K91" s="376">
        <f aca="true" t="shared" si="16" ref="K91:K97">+I91-B91</f>
        <v>-52336504</v>
      </c>
      <c r="L91" s="578">
        <f t="shared" si="15"/>
        <v>0.9399309694165441</v>
      </c>
      <c r="M91" s="495"/>
      <c r="N91" s="509"/>
    </row>
    <row r="92" spans="1:14" ht="15" customHeight="1" hidden="1" outlineLevel="1">
      <c r="A92" s="600" t="s">
        <v>207</v>
      </c>
      <c r="B92" s="376">
        <v>0</v>
      </c>
      <c r="C92" s="585"/>
      <c r="D92" s="577"/>
      <c r="E92" s="577"/>
      <c r="F92" s="376">
        <v>0</v>
      </c>
      <c r="G92" s="376">
        <f t="shared" si="13"/>
        <v>0</v>
      </c>
      <c r="H92" s="571"/>
      <c r="I92" s="376">
        <f>+H92+G92</f>
        <v>0</v>
      </c>
      <c r="J92" s="648">
        <v>0</v>
      </c>
      <c r="K92" s="376">
        <f t="shared" si="16"/>
        <v>0</v>
      </c>
      <c r="L92" s="578">
        <v>0</v>
      </c>
      <c r="M92" s="495"/>
      <c r="N92" s="509"/>
    </row>
    <row r="93" spans="1:14" ht="15" customHeight="1" hidden="1" outlineLevel="1">
      <c r="A93" s="603" t="s">
        <v>208</v>
      </c>
      <c r="B93" s="376">
        <v>14056068</v>
      </c>
      <c r="C93" s="585"/>
      <c r="D93" s="577"/>
      <c r="E93" s="577"/>
      <c r="F93" s="376">
        <v>14056068</v>
      </c>
      <c r="G93" s="376">
        <f t="shared" si="13"/>
        <v>14056068</v>
      </c>
      <c r="H93" s="571"/>
      <c r="I93" s="376">
        <f aca="true" t="shared" si="17" ref="I93:I98">+G93+H93</f>
        <v>14056068</v>
      </c>
      <c r="J93" s="648">
        <v>0</v>
      </c>
      <c r="K93" s="376">
        <f t="shared" si="16"/>
        <v>0</v>
      </c>
      <c r="L93" s="578">
        <f t="shared" si="15"/>
        <v>1</v>
      </c>
      <c r="M93" s="495"/>
      <c r="N93" s="509"/>
    </row>
    <row r="94" spans="1:14" ht="15" customHeight="1" hidden="1" outlineLevel="1">
      <c r="A94" s="600" t="s">
        <v>209</v>
      </c>
      <c r="B94" s="376">
        <v>45841751</v>
      </c>
      <c r="C94" s="585"/>
      <c r="D94" s="577"/>
      <c r="E94" s="577"/>
      <c r="F94" s="376">
        <v>45803111.6</v>
      </c>
      <c r="G94" s="376">
        <f t="shared" si="13"/>
        <v>45803111.6</v>
      </c>
      <c r="H94" s="571"/>
      <c r="I94" s="376">
        <f t="shared" si="17"/>
        <v>45803111.6</v>
      </c>
      <c r="J94" s="648">
        <v>26507914</v>
      </c>
      <c r="K94" s="376">
        <f t="shared" si="16"/>
        <v>-38639.39999999851</v>
      </c>
      <c r="L94" s="578">
        <f t="shared" si="15"/>
        <v>0.9991571133484844</v>
      </c>
      <c r="M94" s="495"/>
      <c r="N94" s="509"/>
    </row>
    <row r="95" spans="1:14" ht="15" customHeight="1" hidden="1" outlineLevel="1">
      <c r="A95" s="600" t="s">
        <v>210</v>
      </c>
      <c r="B95" s="376">
        <v>4700000</v>
      </c>
      <c r="C95" s="585"/>
      <c r="D95" s="577"/>
      <c r="E95" s="577"/>
      <c r="F95" s="376">
        <v>4344250</v>
      </c>
      <c r="G95" s="376">
        <f t="shared" si="13"/>
        <v>4344250</v>
      </c>
      <c r="H95" s="571"/>
      <c r="I95" s="376">
        <f t="shared" si="17"/>
        <v>4344250</v>
      </c>
      <c r="J95" s="648">
        <v>1994250</v>
      </c>
      <c r="K95" s="376">
        <f t="shared" si="16"/>
        <v>-355750</v>
      </c>
      <c r="L95" s="578">
        <f t="shared" si="15"/>
        <v>0.9243085106382979</v>
      </c>
      <c r="M95" s="495"/>
      <c r="N95" s="509"/>
    </row>
    <row r="96" spans="1:14" ht="15" customHeight="1" hidden="1" outlineLevel="1">
      <c r="A96" s="600" t="s">
        <v>211</v>
      </c>
      <c r="B96" s="376">
        <v>15300000</v>
      </c>
      <c r="C96" s="585"/>
      <c r="D96" s="577"/>
      <c r="E96" s="577"/>
      <c r="F96" s="376">
        <v>15010671</v>
      </c>
      <c r="G96" s="376">
        <f t="shared" si="13"/>
        <v>15010671</v>
      </c>
      <c r="H96" s="571"/>
      <c r="I96" s="376">
        <f t="shared" si="17"/>
        <v>15010671</v>
      </c>
      <c r="J96" s="648">
        <v>8998427</v>
      </c>
      <c r="K96" s="376">
        <f t="shared" si="16"/>
        <v>-289329</v>
      </c>
      <c r="L96" s="578">
        <f t="shared" si="15"/>
        <v>0.9810896078431373</v>
      </c>
      <c r="M96" s="495"/>
      <c r="N96" s="509"/>
    </row>
    <row r="97" spans="1:14" ht="15" customHeight="1" hidden="1" outlineLevel="1">
      <c r="A97" s="600" t="s">
        <v>212</v>
      </c>
      <c r="B97" s="376">
        <v>41649200</v>
      </c>
      <c r="C97" s="585"/>
      <c r="D97" s="577"/>
      <c r="E97" s="577"/>
      <c r="F97" s="376">
        <v>39343173</v>
      </c>
      <c r="G97" s="376">
        <f t="shared" si="13"/>
        <v>39343173</v>
      </c>
      <c r="H97" s="571"/>
      <c r="I97" s="376">
        <f t="shared" si="17"/>
        <v>39343173</v>
      </c>
      <c r="J97" s="648">
        <v>15319948</v>
      </c>
      <c r="K97" s="376">
        <f t="shared" si="16"/>
        <v>-2306027</v>
      </c>
      <c r="L97" s="578">
        <f t="shared" si="15"/>
        <v>0.94463214179384</v>
      </c>
      <c r="M97" s="495"/>
      <c r="N97" s="509"/>
    </row>
    <row r="98" spans="1:14" ht="15" customHeight="1" hidden="1" outlineLevel="1">
      <c r="A98" s="600" t="s">
        <v>213</v>
      </c>
      <c r="B98" s="376">
        <v>70000000</v>
      </c>
      <c r="C98" s="585"/>
      <c r="D98" s="577"/>
      <c r="E98" s="577"/>
      <c r="F98" s="376">
        <v>69998856</v>
      </c>
      <c r="G98" s="376">
        <f t="shared" si="13"/>
        <v>69998856</v>
      </c>
      <c r="H98" s="571"/>
      <c r="I98" s="376">
        <f t="shared" si="17"/>
        <v>69998856</v>
      </c>
      <c r="J98" s="648"/>
      <c r="K98" s="376">
        <f>+I98-B98</f>
        <v>-1144</v>
      </c>
      <c r="L98" s="578">
        <f t="shared" si="15"/>
        <v>0.9999836571428572</v>
      </c>
      <c r="M98" s="495"/>
      <c r="N98" s="509"/>
    </row>
    <row r="99" spans="1:14" ht="15" customHeight="1" hidden="1" outlineLevel="1">
      <c r="A99" s="600"/>
      <c r="B99" s="581"/>
      <c r="C99" s="585"/>
      <c r="D99" s="577"/>
      <c r="E99" s="577"/>
      <c r="F99" s="376"/>
      <c r="G99" s="581"/>
      <c r="H99" s="571"/>
      <c r="I99" s="581"/>
      <c r="J99" s="648"/>
      <c r="K99" s="376"/>
      <c r="L99" s="578"/>
      <c r="M99" s="495"/>
      <c r="N99" s="509"/>
    </row>
    <row r="100" spans="1:14" ht="15" collapsed="1">
      <c r="A100" s="601" t="s">
        <v>120</v>
      </c>
      <c r="B100" s="581">
        <f>+B101+B102+B103</f>
        <v>376139131.3584</v>
      </c>
      <c r="C100" s="585"/>
      <c r="D100" s="577"/>
      <c r="E100" s="577"/>
      <c r="F100" s="574">
        <f>SUM(F101:F103)</f>
        <v>373223910</v>
      </c>
      <c r="G100" s="581">
        <f>+G101+G102+G103</f>
        <v>373223910</v>
      </c>
      <c r="H100" s="571"/>
      <c r="I100" s="581">
        <f>+I101+I102+I103</f>
        <v>373223910</v>
      </c>
      <c r="J100" s="644">
        <v>80814640</v>
      </c>
      <c r="K100" s="574">
        <f aca="true" t="shared" si="18" ref="K100:K105">+I100-B100</f>
        <v>-2915221.358399987</v>
      </c>
      <c r="L100" s="575">
        <f t="shared" si="15"/>
        <v>0.9922496195812653</v>
      </c>
      <c r="M100" s="495"/>
      <c r="N100" s="509"/>
    </row>
    <row r="101" spans="1:14" ht="15" customHeight="1" hidden="1" outlineLevel="1">
      <c r="A101" s="603" t="s">
        <v>214</v>
      </c>
      <c r="B101" s="376">
        <v>77893011.3584</v>
      </c>
      <c r="C101" s="585"/>
      <c r="D101" s="577"/>
      <c r="E101" s="577"/>
      <c r="F101" s="376">
        <v>77443011</v>
      </c>
      <c r="G101" s="376">
        <f t="shared" si="13"/>
        <v>77443011</v>
      </c>
      <c r="H101" s="571"/>
      <c r="I101" s="376">
        <f t="shared" si="14"/>
        <v>77443011</v>
      </c>
      <c r="J101" s="648">
        <v>39350480</v>
      </c>
      <c r="K101" s="376">
        <f t="shared" si="18"/>
        <v>-450000.3584000021</v>
      </c>
      <c r="L101" s="578">
        <f t="shared" si="15"/>
        <v>0.9942228403992565</v>
      </c>
      <c r="M101" s="495"/>
      <c r="N101" s="509"/>
    </row>
    <row r="102" spans="1:14" ht="15" customHeight="1" hidden="1" outlineLevel="1">
      <c r="A102" s="603" t="s">
        <v>215</v>
      </c>
      <c r="B102" s="376">
        <v>28400000</v>
      </c>
      <c r="C102" s="585"/>
      <c r="D102" s="577"/>
      <c r="E102" s="577"/>
      <c r="F102" s="376">
        <v>28400000</v>
      </c>
      <c r="G102" s="376">
        <f t="shared" si="13"/>
        <v>28400000</v>
      </c>
      <c r="H102" s="571"/>
      <c r="I102" s="376">
        <f t="shared" si="14"/>
        <v>28400000</v>
      </c>
      <c r="J102" s="648">
        <v>0</v>
      </c>
      <c r="K102" s="376">
        <f t="shared" si="18"/>
        <v>0</v>
      </c>
      <c r="L102" s="578">
        <f t="shared" si="15"/>
        <v>1</v>
      </c>
      <c r="M102" s="495"/>
      <c r="N102" s="509"/>
    </row>
    <row r="103" spans="1:14" ht="15" customHeight="1" hidden="1" outlineLevel="1">
      <c r="A103" s="603" t="s">
        <v>216</v>
      </c>
      <c r="B103" s="376">
        <v>269846120</v>
      </c>
      <c r="C103" s="585"/>
      <c r="D103" s="577"/>
      <c r="E103" s="577"/>
      <c r="F103" s="376">
        <v>267380899</v>
      </c>
      <c r="G103" s="376">
        <f t="shared" si="13"/>
        <v>267380899</v>
      </c>
      <c r="H103" s="571"/>
      <c r="I103" s="376">
        <f t="shared" si="14"/>
        <v>267380899</v>
      </c>
      <c r="J103" s="648">
        <v>41464160</v>
      </c>
      <c r="K103" s="376">
        <f t="shared" si="18"/>
        <v>-2465221</v>
      </c>
      <c r="L103" s="578">
        <f t="shared" si="15"/>
        <v>0.9908643452053341</v>
      </c>
      <c r="M103" s="495"/>
      <c r="N103" s="509"/>
    </row>
    <row r="104" spans="1:14" ht="15" collapsed="1">
      <c r="A104" s="601" t="s">
        <v>154</v>
      </c>
      <c r="B104" s="581">
        <f>+B105</f>
        <v>115728000</v>
      </c>
      <c r="C104" s="585"/>
      <c r="D104" s="577"/>
      <c r="E104" s="577"/>
      <c r="F104" s="574">
        <f>+F105</f>
        <v>112617244.2</v>
      </c>
      <c r="G104" s="581">
        <f>+G105</f>
        <v>112617244.2</v>
      </c>
      <c r="H104" s="571"/>
      <c r="I104" s="581">
        <f>+I105</f>
        <v>112617244.2</v>
      </c>
      <c r="J104" s="644">
        <v>53417900</v>
      </c>
      <c r="K104" s="574">
        <f t="shared" si="18"/>
        <v>-3110755.799999997</v>
      </c>
      <c r="L104" s="575">
        <f t="shared" si="15"/>
        <v>0.9731201109498134</v>
      </c>
      <c r="M104" s="495"/>
      <c r="N104" s="509"/>
    </row>
    <row r="105" spans="1:14" ht="15" hidden="1" outlineLevel="1">
      <c r="A105" s="600" t="s">
        <v>382</v>
      </c>
      <c r="B105" s="376">
        <v>115728000</v>
      </c>
      <c r="C105" s="585"/>
      <c r="D105" s="577"/>
      <c r="E105" s="577"/>
      <c r="F105" s="376">
        <v>112617244.2</v>
      </c>
      <c r="G105" s="376">
        <f t="shared" si="13"/>
        <v>112617244.2</v>
      </c>
      <c r="H105" s="571"/>
      <c r="I105" s="376">
        <f t="shared" si="14"/>
        <v>112617244.2</v>
      </c>
      <c r="J105" s="648">
        <v>53417900</v>
      </c>
      <c r="K105" s="376">
        <f t="shared" si="18"/>
        <v>-3110755.799999997</v>
      </c>
      <c r="L105" s="578">
        <f t="shared" si="15"/>
        <v>0.9731201109498134</v>
      </c>
      <c r="M105" s="495"/>
      <c r="N105" s="509"/>
    </row>
    <row r="106" spans="1:14" ht="15" hidden="1" collapsed="1">
      <c r="A106" s="601" t="s">
        <v>383</v>
      </c>
      <c r="B106" s="581">
        <f>+B107</f>
        <v>0</v>
      </c>
      <c r="C106" s="585"/>
      <c r="D106" s="577"/>
      <c r="E106" s="577"/>
      <c r="F106" s="574">
        <f>+F107</f>
        <v>0</v>
      </c>
      <c r="G106" s="581">
        <f>+G107</f>
        <v>0</v>
      </c>
      <c r="H106" s="571"/>
      <c r="I106" s="581">
        <f>+I107</f>
        <v>0</v>
      </c>
      <c r="J106" s="644">
        <v>0</v>
      </c>
      <c r="K106" s="574"/>
      <c r="L106" s="575">
        <v>0</v>
      </c>
      <c r="M106" s="495"/>
      <c r="N106" s="509"/>
    </row>
    <row r="107" spans="1:14" ht="15" hidden="1" outlineLevel="1">
      <c r="A107" s="603" t="s">
        <v>384</v>
      </c>
      <c r="B107" s="376">
        <v>0</v>
      </c>
      <c r="C107" s="585"/>
      <c r="D107" s="577"/>
      <c r="E107" s="577"/>
      <c r="F107" s="376">
        <v>0</v>
      </c>
      <c r="G107" s="376">
        <f>+F107+E107+D107+C107</f>
        <v>0</v>
      </c>
      <c r="H107" s="571"/>
      <c r="I107" s="376">
        <f>+H107+G107</f>
        <v>0</v>
      </c>
      <c r="J107" s="648">
        <v>0</v>
      </c>
      <c r="K107" s="376">
        <f>+I107-B107</f>
        <v>0</v>
      </c>
      <c r="L107" s="578">
        <v>0</v>
      </c>
      <c r="M107" s="495"/>
      <c r="N107" s="509"/>
    </row>
    <row r="108" spans="1:14" ht="15" collapsed="1">
      <c r="A108" s="603"/>
      <c r="B108" s="581"/>
      <c r="C108" s="585"/>
      <c r="D108" s="577"/>
      <c r="E108" s="577"/>
      <c r="F108" s="376"/>
      <c r="G108" s="376"/>
      <c r="H108" s="571"/>
      <c r="I108" s="581"/>
      <c r="J108" s="648"/>
      <c r="K108" s="376"/>
      <c r="L108" s="578"/>
      <c r="M108" s="495"/>
      <c r="N108" s="509"/>
    </row>
    <row r="109" spans="1:14" s="521" customFormat="1" ht="15.75" customHeight="1">
      <c r="A109" s="570" t="s">
        <v>98</v>
      </c>
      <c r="B109" s="581">
        <f>+B110+B117+B128+B132</f>
        <v>723781737</v>
      </c>
      <c r="C109" s="585"/>
      <c r="D109" s="581">
        <f>+D110+D117+D128+D132</f>
        <v>675523569.2</v>
      </c>
      <c r="E109" s="577"/>
      <c r="F109" s="571"/>
      <c r="G109" s="581">
        <f>+G110+G117+G128+G132</f>
        <v>675523569.2</v>
      </c>
      <c r="H109" s="577"/>
      <c r="I109" s="581">
        <f>+I110+I117+I128+I132</f>
        <v>675523569.2</v>
      </c>
      <c r="J109" s="645">
        <v>223541766.2</v>
      </c>
      <c r="K109" s="581">
        <f aca="true" t="shared" si="19" ref="K109:K115">+I109-B109</f>
        <v>-48258167.79999995</v>
      </c>
      <c r="L109" s="575">
        <f t="shared" si="15"/>
        <v>0.9333249716965435</v>
      </c>
      <c r="M109" s="518"/>
      <c r="N109" s="509"/>
    </row>
    <row r="110" spans="1:14" s="521" customFormat="1" ht="15">
      <c r="A110" s="586" t="s">
        <v>99</v>
      </c>
      <c r="B110" s="581">
        <f>+B111+B112+B113+B114+B115</f>
        <v>79792321</v>
      </c>
      <c r="C110" s="585"/>
      <c r="D110" s="585">
        <f>+D111+D112+D113+D114+D115</f>
        <v>69757924</v>
      </c>
      <c r="E110" s="577"/>
      <c r="F110" s="571"/>
      <c r="G110" s="581">
        <f>+G111+G112+G113+G114+G115</f>
        <v>69757924</v>
      </c>
      <c r="H110" s="571"/>
      <c r="I110" s="581">
        <f>+I111+I112+I113+I114+I115</f>
        <v>69757924</v>
      </c>
      <c r="J110" s="647">
        <v>2053200</v>
      </c>
      <c r="K110" s="585">
        <f t="shared" si="19"/>
        <v>-10034397</v>
      </c>
      <c r="L110" s="575">
        <f t="shared" si="15"/>
        <v>0.8742435753936773</v>
      </c>
      <c r="M110" s="520"/>
      <c r="N110" s="509"/>
    </row>
    <row r="111" spans="1:14" s="521" customFormat="1" ht="15" customHeight="1" hidden="1" outlineLevel="1">
      <c r="A111" s="604" t="s">
        <v>385</v>
      </c>
      <c r="B111" s="376">
        <v>57792321</v>
      </c>
      <c r="C111" s="585"/>
      <c r="D111" s="583">
        <v>57792321</v>
      </c>
      <c r="E111" s="577"/>
      <c r="F111" s="597"/>
      <c r="G111" s="577">
        <f aca="true" t="shared" si="20" ref="G111:G166">+F111+E111+D111+C111</f>
        <v>57792321</v>
      </c>
      <c r="H111" s="597"/>
      <c r="I111" s="376">
        <f aca="true" t="shared" si="21" ref="I111:I156">+H111+G111</f>
        <v>57792321</v>
      </c>
      <c r="J111" s="646">
        <v>0</v>
      </c>
      <c r="K111" s="583">
        <f t="shared" si="19"/>
        <v>0</v>
      </c>
      <c r="L111" s="578">
        <f t="shared" si="15"/>
        <v>1</v>
      </c>
      <c r="M111" s="520"/>
      <c r="N111" s="509"/>
    </row>
    <row r="112" spans="1:14" s="521" customFormat="1" ht="15" customHeight="1" hidden="1" outlineLevel="1">
      <c r="A112" s="604" t="s">
        <v>386</v>
      </c>
      <c r="B112" s="583">
        <v>10000000</v>
      </c>
      <c r="C112" s="585"/>
      <c r="D112" s="583">
        <v>0</v>
      </c>
      <c r="E112" s="577"/>
      <c r="F112" s="597"/>
      <c r="G112" s="583">
        <f t="shared" si="20"/>
        <v>0</v>
      </c>
      <c r="H112" s="597"/>
      <c r="I112" s="583">
        <f t="shared" si="21"/>
        <v>0</v>
      </c>
      <c r="J112" s="646">
        <v>0</v>
      </c>
      <c r="K112" s="583">
        <f t="shared" si="19"/>
        <v>-10000000</v>
      </c>
      <c r="L112" s="578">
        <f t="shared" si="15"/>
        <v>0</v>
      </c>
      <c r="M112" s="520"/>
      <c r="N112" s="509"/>
    </row>
    <row r="113" spans="1:14" s="521" customFormat="1" ht="15" customHeight="1" hidden="1" outlineLevel="1">
      <c r="A113" s="604" t="s">
        <v>387</v>
      </c>
      <c r="B113" s="583">
        <v>0</v>
      </c>
      <c r="C113" s="585"/>
      <c r="D113" s="583">
        <v>0</v>
      </c>
      <c r="E113" s="577"/>
      <c r="F113" s="597"/>
      <c r="G113" s="583">
        <f t="shared" si="20"/>
        <v>0</v>
      </c>
      <c r="H113" s="597"/>
      <c r="I113" s="583">
        <f t="shared" si="21"/>
        <v>0</v>
      </c>
      <c r="J113" s="646">
        <v>0</v>
      </c>
      <c r="K113" s="583">
        <f t="shared" si="19"/>
        <v>0</v>
      </c>
      <c r="L113" s="578">
        <v>0</v>
      </c>
      <c r="M113" s="520"/>
      <c r="N113" s="509"/>
    </row>
    <row r="114" spans="1:14" s="521" customFormat="1" ht="15" customHeight="1" hidden="1" outlineLevel="1">
      <c r="A114" s="604" t="s">
        <v>388</v>
      </c>
      <c r="B114" s="583">
        <v>0</v>
      </c>
      <c r="C114" s="585"/>
      <c r="D114" s="583">
        <v>0</v>
      </c>
      <c r="E114" s="577"/>
      <c r="F114" s="597"/>
      <c r="G114" s="583">
        <f t="shared" si="20"/>
        <v>0</v>
      </c>
      <c r="H114" s="597"/>
      <c r="I114" s="583">
        <f t="shared" si="21"/>
        <v>0</v>
      </c>
      <c r="J114" s="646">
        <v>0</v>
      </c>
      <c r="K114" s="583">
        <f t="shared" si="19"/>
        <v>0</v>
      </c>
      <c r="L114" s="578">
        <v>0</v>
      </c>
      <c r="M114" s="520"/>
      <c r="N114" s="509"/>
    </row>
    <row r="115" spans="1:14" s="521" customFormat="1" ht="15" customHeight="1" hidden="1" outlineLevel="1">
      <c r="A115" s="596" t="s">
        <v>389</v>
      </c>
      <c r="B115" s="583">
        <v>12000000</v>
      </c>
      <c r="C115" s="585"/>
      <c r="D115" s="583">
        <v>11965603</v>
      </c>
      <c r="E115" s="577"/>
      <c r="F115" s="597"/>
      <c r="G115" s="583">
        <f t="shared" si="20"/>
        <v>11965603</v>
      </c>
      <c r="H115" s="597"/>
      <c r="I115" s="583">
        <f t="shared" si="21"/>
        <v>11965603</v>
      </c>
      <c r="J115" s="646">
        <v>2053200</v>
      </c>
      <c r="K115" s="583">
        <f t="shared" si="19"/>
        <v>-34397</v>
      </c>
      <c r="L115" s="578">
        <f t="shared" si="15"/>
        <v>0.9971335833333334</v>
      </c>
      <c r="M115" s="520"/>
      <c r="N115" s="509"/>
    </row>
    <row r="116" spans="1:14" s="521" customFormat="1" ht="15" customHeight="1" hidden="1" outlineLevel="1">
      <c r="A116" s="586"/>
      <c r="B116" s="581"/>
      <c r="C116" s="585"/>
      <c r="D116" s="585"/>
      <c r="E116" s="577"/>
      <c r="F116" s="571"/>
      <c r="G116" s="581"/>
      <c r="H116" s="571"/>
      <c r="I116" s="581"/>
      <c r="J116" s="647"/>
      <c r="K116" s="585"/>
      <c r="L116" s="575"/>
      <c r="M116" s="520"/>
      <c r="N116" s="509"/>
    </row>
    <row r="117" spans="1:14" s="521" customFormat="1" ht="15" collapsed="1">
      <c r="A117" s="586" t="s">
        <v>100</v>
      </c>
      <c r="B117" s="581">
        <f>+B118+B122</f>
        <v>149789416</v>
      </c>
      <c r="C117" s="581"/>
      <c r="D117" s="581">
        <f>+D118+D122</f>
        <v>112839828.2</v>
      </c>
      <c r="E117" s="571"/>
      <c r="F117" s="571"/>
      <c r="G117" s="581">
        <f>+G118+G122</f>
        <v>112839828.2</v>
      </c>
      <c r="H117" s="571"/>
      <c r="I117" s="581">
        <f>+I118+I122</f>
        <v>112839828.2</v>
      </c>
      <c r="J117" s="645">
        <v>53571465.2</v>
      </c>
      <c r="K117" s="581">
        <f>+I117-B117</f>
        <v>-36949587.8</v>
      </c>
      <c r="L117" s="575">
        <f t="shared" si="15"/>
        <v>0.7533231066205639</v>
      </c>
      <c r="M117" s="520"/>
      <c r="N117" s="509"/>
    </row>
    <row r="118" spans="1:14" s="521" customFormat="1" ht="14.25" customHeight="1" hidden="1" outlineLevel="1">
      <c r="A118" s="603" t="s">
        <v>101</v>
      </c>
      <c r="B118" s="376">
        <f>+B119+B120+B121</f>
        <v>39724300</v>
      </c>
      <c r="C118" s="577"/>
      <c r="D118" s="376">
        <f>+D119+D120+D121</f>
        <v>30038902</v>
      </c>
      <c r="E118" s="571"/>
      <c r="F118" s="571"/>
      <c r="G118" s="577">
        <f>+G119+G120+G121</f>
        <v>30038902</v>
      </c>
      <c r="H118" s="571"/>
      <c r="I118" s="376">
        <f>+I119+I120+I121</f>
        <v>30038902</v>
      </c>
      <c r="J118" s="648">
        <v>21829470</v>
      </c>
      <c r="K118" s="376">
        <f>+I118-B118</f>
        <v>-9685398</v>
      </c>
      <c r="L118" s="578">
        <f t="shared" si="15"/>
        <v>0.7561845520248311</v>
      </c>
      <c r="M118" s="520"/>
      <c r="N118" s="509"/>
    </row>
    <row r="119" spans="1:14" s="521" customFormat="1" ht="14.25" customHeight="1" hidden="1" outlineLevel="2">
      <c r="A119" s="596" t="s">
        <v>297</v>
      </c>
      <c r="B119" s="376">
        <v>0</v>
      </c>
      <c r="C119" s="577"/>
      <c r="D119" s="577">
        <v>0</v>
      </c>
      <c r="E119" s="571"/>
      <c r="F119" s="571"/>
      <c r="G119" s="577">
        <f t="shared" si="20"/>
        <v>0</v>
      </c>
      <c r="H119" s="571"/>
      <c r="I119" s="376">
        <f t="shared" si="21"/>
        <v>0</v>
      </c>
      <c r="J119" s="377">
        <v>0</v>
      </c>
      <c r="K119" s="577">
        <f>+I119-B119</f>
        <v>0</v>
      </c>
      <c r="L119" s="578">
        <v>0</v>
      </c>
      <c r="M119" s="520"/>
      <c r="N119" s="509"/>
    </row>
    <row r="120" spans="1:14" s="521" customFormat="1" ht="14.25" customHeight="1" hidden="1" outlineLevel="2">
      <c r="A120" s="596" t="s">
        <v>189</v>
      </c>
      <c r="B120" s="376">
        <v>17619778</v>
      </c>
      <c r="C120" s="577"/>
      <c r="D120" s="577">
        <v>8101000</v>
      </c>
      <c r="E120" s="571"/>
      <c r="F120" s="571"/>
      <c r="G120" s="577">
        <f t="shared" si="20"/>
        <v>8101000</v>
      </c>
      <c r="H120" s="571"/>
      <c r="I120" s="376">
        <f t="shared" si="21"/>
        <v>8101000</v>
      </c>
      <c r="J120" s="377">
        <v>3563750</v>
      </c>
      <c r="K120" s="577">
        <f aca="true" t="shared" si="22" ref="K120:K126">+I120-B120</f>
        <v>-9518778</v>
      </c>
      <c r="L120" s="578">
        <f t="shared" si="15"/>
        <v>0.4597674272627044</v>
      </c>
      <c r="M120" s="520"/>
      <c r="N120" s="509"/>
    </row>
    <row r="121" spans="1:14" s="521" customFormat="1" ht="14.25" customHeight="1" hidden="1" outlineLevel="2">
      <c r="A121" s="596" t="s">
        <v>190</v>
      </c>
      <c r="B121" s="376">
        <v>22104522</v>
      </c>
      <c r="C121" s="577"/>
      <c r="D121" s="577">
        <v>21937902</v>
      </c>
      <c r="E121" s="571"/>
      <c r="F121" s="571"/>
      <c r="G121" s="577">
        <f t="shared" si="20"/>
        <v>21937902</v>
      </c>
      <c r="H121" s="571"/>
      <c r="I121" s="376">
        <f t="shared" si="21"/>
        <v>21937902</v>
      </c>
      <c r="J121" s="377">
        <v>18265720</v>
      </c>
      <c r="K121" s="577">
        <f t="shared" si="22"/>
        <v>-166620</v>
      </c>
      <c r="L121" s="578">
        <f t="shared" si="15"/>
        <v>0.9924621758389528</v>
      </c>
      <c r="M121" s="520"/>
      <c r="N121" s="509"/>
    </row>
    <row r="122" spans="1:14" s="521" customFormat="1" ht="14.25" customHeight="1" hidden="1" outlineLevel="1">
      <c r="A122" s="603" t="s">
        <v>117</v>
      </c>
      <c r="B122" s="376">
        <f>+B123+B124+B125+B126</f>
        <v>110065116</v>
      </c>
      <c r="C122" s="577"/>
      <c r="D122" s="376">
        <f>+D123+D124+D125+D126</f>
        <v>82800926.2</v>
      </c>
      <c r="E122" s="571"/>
      <c r="F122" s="571"/>
      <c r="G122" s="577">
        <f>+G123+G124+G125+G126</f>
        <v>82800926.2</v>
      </c>
      <c r="H122" s="571"/>
      <c r="I122" s="376">
        <f>+I123+I124+I125+I126</f>
        <v>82800926.2</v>
      </c>
      <c r="J122" s="648">
        <v>31741995.2</v>
      </c>
      <c r="K122" s="577">
        <f t="shared" si="22"/>
        <v>-27264189.799999997</v>
      </c>
      <c r="L122" s="578">
        <f t="shared" si="15"/>
        <v>0.7522903641876869</v>
      </c>
      <c r="M122" s="520"/>
      <c r="N122" s="509"/>
    </row>
    <row r="123" spans="1:14" s="521" customFormat="1" ht="14.25" customHeight="1" hidden="1" outlineLevel="2">
      <c r="A123" s="596" t="s">
        <v>141</v>
      </c>
      <c r="B123" s="376">
        <v>25000000</v>
      </c>
      <c r="C123" s="577"/>
      <c r="D123" s="577">
        <v>24330124</v>
      </c>
      <c r="E123" s="571"/>
      <c r="F123" s="571"/>
      <c r="G123" s="577">
        <f t="shared" si="20"/>
        <v>24330124</v>
      </c>
      <c r="H123" s="571"/>
      <c r="I123" s="376">
        <f t="shared" si="21"/>
        <v>24330124</v>
      </c>
      <c r="J123" s="377">
        <v>9370136</v>
      </c>
      <c r="K123" s="577">
        <f t="shared" si="22"/>
        <v>-669876</v>
      </c>
      <c r="L123" s="578">
        <f t="shared" si="15"/>
        <v>0.97320496</v>
      </c>
      <c r="M123" s="520"/>
      <c r="N123" s="509"/>
    </row>
    <row r="124" spans="1:14" s="521" customFormat="1" ht="14.25" customHeight="1" hidden="1" outlineLevel="2">
      <c r="A124" s="596" t="s">
        <v>142</v>
      </c>
      <c r="B124" s="376">
        <v>62761066</v>
      </c>
      <c r="C124" s="577"/>
      <c r="D124" s="577">
        <v>42081355</v>
      </c>
      <c r="E124" s="571"/>
      <c r="F124" s="571"/>
      <c r="G124" s="577">
        <f t="shared" si="20"/>
        <v>42081355</v>
      </c>
      <c r="H124" s="571"/>
      <c r="I124" s="376">
        <f t="shared" si="21"/>
        <v>42081355</v>
      </c>
      <c r="J124" s="377">
        <v>16150200</v>
      </c>
      <c r="K124" s="577">
        <f t="shared" si="22"/>
        <v>-20679711</v>
      </c>
      <c r="L124" s="578">
        <f t="shared" si="15"/>
        <v>0.6705009599422674</v>
      </c>
      <c r="M124" s="520"/>
      <c r="N124" s="509"/>
    </row>
    <row r="125" spans="1:14" s="521" customFormat="1" ht="14.25" customHeight="1" hidden="1" outlineLevel="2">
      <c r="A125" s="596" t="s">
        <v>143</v>
      </c>
      <c r="B125" s="376">
        <v>20304050</v>
      </c>
      <c r="C125" s="577"/>
      <c r="D125" s="577">
        <v>14389447.2</v>
      </c>
      <c r="E125" s="571"/>
      <c r="F125" s="571"/>
      <c r="G125" s="577">
        <f t="shared" si="20"/>
        <v>14389447.2</v>
      </c>
      <c r="H125" s="571"/>
      <c r="I125" s="376">
        <f t="shared" si="21"/>
        <v>14389447.2</v>
      </c>
      <c r="J125" s="377">
        <v>6221659.2</v>
      </c>
      <c r="K125" s="577">
        <f t="shared" si="22"/>
        <v>-5914602.800000001</v>
      </c>
      <c r="L125" s="578">
        <f t="shared" si="15"/>
        <v>0.7086983729847001</v>
      </c>
      <c r="M125" s="520"/>
      <c r="N125" s="509"/>
    </row>
    <row r="126" spans="1:14" s="521" customFormat="1" ht="14.25" customHeight="1" hidden="1" outlineLevel="2">
      <c r="A126" s="596" t="s">
        <v>144</v>
      </c>
      <c r="B126" s="376">
        <v>2000000</v>
      </c>
      <c r="C126" s="577"/>
      <c r="D126" s="577">
        <v>2000000</v>
      </c>
      <c r="E126" s="571"/>
      <c r="F126" s="571"/>
      <c r="G126" s="577">
        <f t="shared" si="20"/>
        <v>2000000</v>
      </c>
      <c r="H126" s="571"/>
      <c r="I126" s="376">
        <f t="shared" si="21"/>
        <v>2000000</v>
      </c>
      <c r="J126" s="377">
        <v>0</v>
      </c>
      <c r="K126" s="577">
        <f t="shared" si="22"/>
        <v>0</v>
      </c>
      <c r="L126" s="578">
        <f t="shared" si="15"/>
        <v>1</v>
      </c>
      <c r="M126" s="520"/>
      <c r="N126" s="509"/>
    </row>
    <row r="127" spans="1:14" s="521" customFormat="1" ht="15" customHeight="1" hidden="1" outlineLevel="1">
      <c r="A127" s="603"/>
      <c r="B127" s="581"/>
      <c r="C127" s="577"/>
      <c r="D127" s="577"/>
      <c r="E127" s="571"/>
      <c r="F127" s="571"/>
      <c r="G127" s="577"/>
      <c r="H127" s="571"/>
      <c r="I127" s="581"/>
      <c r="J127" s="377"/>
      <c r="K127" s="577"/>
      <c r="L127" s="578"/>
      <c r="M127" s="520"/>
      <c r="N127" s="509"/>
    </row>
    <row r="128" spans="1:14" s="521" customFormat="1" ht="15" collapsed="1">
      <c r="A128" s="586" t="s">
        <v>102</v>
      </c>
      <c r="B128" s="581">
        <f>+B129+B130+B131</f>
        <v>158380000</v>
      </c>
      <c r="C128" s="581"/>
      <c r="D128" s="581">
        <f>+D129+D130+D131</f>
        <v>158216911</v>
      </c>
      <c r="E128" s="571"/>
      <c r="F128" s="571"/>
      <c r="G128" s="581">
        <f>+G129+G130+G131</f>
        <v>158216911</v>
      </c>
      <c r="H128" s="571"/>
      <c r="I128" s="581">
        <f>+I129+I130+I131</f>
        <v>158216911</v>
      </c>
      <c r="J128" s="645">
        <v>27889621</v>
      </c>
      <c r="K128" s="581">
        <f aca="true" t="shared" si="23" ref="K128:K134">+I128-B128</f>
        <v>-163089</v>
      </c>
      <c r="L128" s="575">
        <f t="shared" si="15"/>
        <v>0.9989702677105695</v>
      </c>
      <c r="M128" s="520"/>
      <c r="N128" s="509"/>
    </row>
    <row r="129" spans="1:14" s="521" customFormat="1" ht="15" customHeight="1" hidden="1" outlineLevel="1">
      <c r="A129" s="596" t="s">
        <v>185</v>
      </c>
      <c r="B129" s="376">
        <v>48225685</v>
      </c>
      <c r="C129" s="581"/>
      <c r="D129" s="577">
        <v>48225685</v>
      </c>
      <c r="E129" s="571"/>
      <c r="F129" s="571"/>
      <c r="G129" s="376">
        <f t="shared" si="20"/>
        <v>48225685</v>
      </c>
      <c r="H129" s="571"/>
      <c r="I129" s="376">
        <f t="shared" si="21"/>
        <v>48225685</v>
      </c>
      <c r="J129" s="377">
        <v>0</v>
      </c>
      <c r="K129" s="577">
        <f t="shared" si="23"/>
        <v>0</v>
      </c>
      <c r="L129" s="578">
        <f t="shared" si="15"/>
        <v>1</v>
      </c>
      <c r="M129" s="520"/>
      <c r="N129" s="509"/>
    </row>
    <row r="130" spans="1:14" s="521" customFormat="1" ht="15" customHeight="1" hidden="1" outlineLevel="1">
      <c r="A130" s="596" t="s">
        <v>186</v>
      </c>
      <c r="B130" s="376">
        <v>34320439</v>
      </c>
      <c r="C130" s="581"/>
      <c r="D130" s="577">
        <v>34320439</v>
      </c>
      <c r="E130" s="577"/>
      <c r="F130" s="571"/>
      <c r="G130" s="376">
        <f t="shared" si="20"/>
        <v>34320439</v>
      </c>
      <c r="H130" s="571"/>
      <c r="I130" s="376">
        <f t="shared" si="21"/>
        <v>34320439</v>
      </c>
      <c r="J130" s="377">
        <v>11376458</v>
      </c>
      <c r="K130" s="577">
        <f t="shared" si="23"/>
        <v>0</v>
      </c>
      <c r="L130" s="578">
        <f t="shared" si="15"/>
        <v>1</v>
      </c>
      <c r="M130" s="520"/>
      <c r="N130" s="509"/>
    </row>
    <row r="131" spans="1:14" s="521" customFormat="1" ht="15" customHeight="1" hidden="1" outlineLevel="1">
      <c r="A131" s="596" t="s">
        <v>390</v>
      </c>
      <c r="B131" s="376">
        <v>75833876</v>
      </c>
      <c r="C131" s="581"/>
      <c r="D131" s="577">
        <v>75670787</v>
      </c>
      <c r="E131" s="577"/>
      <c r="F131" s="571"/>
      <c r="G131" s="376">
        <f t="shared" si="20"/>
        <v>75670787</v>
      </c>
      <c r="H131" s="571"/>
      <c r="I131" s="376">
        <f t="shared" si="21"/>
        <v>75670787</v>
      </c>
      <c r="J131" s="377">
        <v>16513163</v>
      </c>
      <c r="K131" s="577">
        <f t="shared" si="23"/>
        <v>-163089</v>
      </c>
      <c r="L131" s="578">
        <f t="shared" si="15"/>
        <v>0.9978493912140268</v>
      </c>
      <c r="M131" s="520"/>
      <c r="N131" s="509"/>
    </row>
    <row r="132" spans="1:14" s="521" customFormat="1" ht="15" collapsed="1">
      <c r="A132" s="586" t="s">
        <v>103</v>
      </c>
      <c r="B132" s="581">
        <f>+B133+B134</f>
        <v>335820000</v>
      </c>
      <c r="C132" s="376"/>
      <c r="D132" s="574">
        <f>+D133+D134</f>
        <v>334708906</v>
      </c>
      <c r="E132" s="595"/>
      <c r="F132" s="595"/>
      <c r="G132" s="574">
        <f>+G133+G134</f>
        <v>334708906</v>
      </c>
      <c r="H132" s="595"/>
      <c r="I132" s="581">
        <f>+I133+I134</f>
        <v>334708906</v>
      </c>
      <c r="J132" s="644">
        <v>140027480</v>
      </c>
      <c r="K132" s="574">
        <f t="shared" si="23"/>
        <v>-1111094</v>
      </c>
      <c r="L132" s="575">
        <f t="shared" si="15"/>
        <v>0.9966914001548448</v>
      </c>
      <c r="M132" s="520"/>
      <c r="N132" s="509"/>
    </row>
    <row r="133" spans="1:14" s="521" customFormat="1" ht="15" customHeight="1" hidden="1" outlineLevel="1">
      <c r="A133" s="596" t="s">
        <v>147</v>
      </c>
      <c r="B133" s="376">
        <v>146117336</v>
      </c>
      <c r="C133" s="581"/>
      <c r="D133" s="376">
        <v>146116486</v>
      </c>
      <c r="E133" s="577"/>
      <c r="F133" s="571"/>
      <c r="G133" s="376">
        <f t="shared" si="20"/>
        <v>146116486</v>
      </c>
      <c r="H133" s="571"/>
      <c r="I133" s="376">
        <f t="shared" si="21"/>
        <v>146116486</v>
      </c>
      <c r="J133" s="648">
        <v>67445664</v>
      </c>
      <c r="K133" s="376">
        <f t="shared" si="23"/>
        <v>-850</v>
      </c>
      <c r="L133" s="578">
        <f t="shared" si="15"/>
        <v>0.9999941827573423</v>
      </c>
      <c r="M133" s="520"/>
      <c r="N133" s="509"/>
    </row>
    <row r="134" spans="1:14" s="521" customFormat="1" ht="15" customHeight="1" hidden="1" outlineLevel="1">
      <c r="A134" s="596" t="s">
        <v>391</v>
      </c>
      <c r="B134" s="376">
        <v>189702664</v>
      </c>
      <c r="C134" s="581"/>
      <c r="D134" s="376">
        <v>188592420</v>
      </c>
      <c r="E134" s="577"/>
      <c r="F134" s="571"/>
      <c r="G134" s="376">
        <f t="shared" si="20"/>
        <v>188592420</v>
      </c>
      <c r="H134" s="571"/>
      <c r="I134" s="376">
        <f t="shared" si="21"/>
        <v>188592420</v>
      </c>
      <c r="J134" s="648">
        <v>72581816</v>
      </c>
      <c r="K134" s="376">
        <f t="shared" si="23"/>
        <v>-1110244</v>
      </c>
      <c r="L134" s="578">
        <f t="shared" si="15"/>
        <v>0.9941474517194973</v>
      </c>
      <c r="M134" s="520"/>
      <c r="N134" s="509"/>
    </row>
    <row r="135" spans="1:14" s="521" customFormat="1" ht="15" collapsed="1">
      <c r="A135" s="596"/>
      <c r="B135" s="581"/>
      <c r="C135" s="581"/>
      <c r="D135" s="577"/>
      <c r="E135" s="571"/>
      <c r="F135" s="577"/>
      <c r="G135" s="581"/>
      <c r="H135" s="571"/>
      <c r="I135" s="581"/>
      <c r="J135" s="377"/>
      <c r="K135" s="577"/>
      <c r="L135" s="575"/>
      <c r="M135" s="520"/>
      <c r="N135" s="509"/>
    </row>
    <row r="136" spans="1:14" ht="15">
      <c r="A136" s="570" t="s">
        <v>158</v>
      </c>
      <c r="B136" s="574">
        <f>+B137+B142+B150+B155+B157</f>
        <v>4642088269.33424</v>
      </c>
      <c r="C136" s="571"/>
      <c r="D136" s="581"/>
      <c r="E136" s="581">
        <f>+E137+E142+E150+E155+E157</f>
        <v>4506394978.9</v>
      </c>
      <c r="F136" s="584"/>
      <c r="G136" s="574">
        <f t="shared" si="20"/>
        <v>4506394978.9</v>
      </c>
      <c r="H136" s="584"/>
      <c r="I136" s="574">
        <f t="shared" si="21"/>
        <v>4506394978.9</v>
      </c>
      <c r="J136" s="645">
        <v>2020458627.22</v>
      </c>
      <c r="K136" s="581">
        <f aca="true" t="shared" si="24" ref="K136:K148">+I136-B136</f>
        <v>-135693290.43424034</v>
      </c>
      <c r="L136" s="575">
        <f t="shared" si="15"/>
        <v>0.9707689120582575</v>
      </c>
      <c r="M136" s="518"/>
      <c r="N136" s="509"/>
    </row>
    <row r="137" spans="1:14" s="521" customFormat="1" ht="15">
      <c r="A137" s="580" t="s">
        <v>159</v>
      </c>
      <c r="B137" s="574">
        <f>+B138+B139+B140+B141</f>
        <v>2526620226.00064</v>
      </c>
      <c r="C137" s="584"/>
      <c r="D137" s="577"/>
      <c r="E137" s="574">
        <f>+E138+E139+E140+E141</f>
        <v>2489274541.9</v>
      </c>
      <c r="F137" s="571"/>
      <c r="G137" s="574">
        <f>+G138+G139+G140+G141</f>
        <v>2489274541.9</v>
      </c>
      <c r="H137" s="571"/>
      <c r="I137" s="574">
        <f>+I138+I139+I140+I141</f>
        <v>2489274541.9</v>
      </c>
      <c r="J137" s="644">
        <v>1053731186.22</v>
      </c>
      <c r="K137" s="574">
        <f t="shared" si="24"/>
        <v>-37345684.10063982</v>
      </c>
      <c r="L137" s="575">
        <f t="shared" si="15"/>
        <v>0.9852191145640617</v>
      </c>
      <c r="M137" s="520"/>
      <c r="N137" s="509"/>
    </row>
    <row r="138" spans="1:14" s="521" customFormat="1" ht="15" customHeight="1" hidden="1" outlineLevel="1">
      <c r="A138" s="596" t="s">
        <v>392</v>
      </c>
      <c r="B138" s="376">
        <v>1577320138.58464</v>
      </c>
      <c r="C138" s="584"/>
      <c r="D138" s="577"/>
      <c r="E138" s="376">
        <v>1539984026.22</v>
      </c>
      <c r="F138" s="571"/>
      <c r="G138" s="376">
        <f t="shared" si="20"/>
        <v>1539984026.22</v>
      </c>
      <c r="H138" s="571"/>
      <c r="I138" s="376">
        <f t="shared" si="21"/>
        <v>1539984026.22</v>
      </c>
      <c r="J138" s="648">
        <v>586849924.22</v>
      </c>
      <c r="K138" s="376">
        <f t="shared" si="24"/>
        <v>-37336112.36464</v>
      </c>
      <c r="L138" s="578">
        <f t="shared" si="15"/>
        <v>0.9763294010826855</v>
      </c>
      <c r="M138" s="520"/>
      <c r="N138" s="509"/>
    </row>
    <row r="139" spans="1:14" s="521" customFormat="1" ht="15" customHeight="1" hidden="1" outlineLevel="1">
      <c r="A139" s="596" t="s">
        <v>161</v>
      </c>
      <c r="B139" s="376">
        <v>90875000</v>
      </c>
      <c r="C139" s="584"/>
      <c r="D139" s="577"/>
      <c r="E139" s="376">
        <v>90865847.68</v>
      </c>
      <c r="F139" s="571"/>
      <c r="G139" s="376">
        <f t="shared" si="20"/>
        <v>90865847.68</v>
      </c>
      <c r="H139" s="571"/>
      <c r="I139" s="376">
        <f t="shared" si="21"/>
        <v>90865847.68</v>
      </c>
      <c r="J139" s="648">
        <v>71940073</v>
      </c>
      <c r="K139" s="376">
        <f t="shared" si="24"/>
        <v>-9152.319999992847</v>
      </c>
      <c r="L139" s="578">
        <f aca="true" t="shared" si="25" ref="L139:L170">+I139/B139</f>
        <v>0.9998992867125173</v>
      </c>
      <c r="M139" s="520"/>
      <c r="N139" s="509"/>
    </row>
    <row r="140" spans="1:14" s="521" customFormat="1" ht="15" customHeight="1" hidden="1" outlineLevel="1">
      <c r="A140" s="596" t="s">
        <v>162</v>
      </c>
      <c r="B140" s="376">
        <v>651254024.7360001</v>
      </c>
      <c r="C140" s="584"/>
      <c r="D140" s="577"/>
      <c r="E140" s="376">
        <v>651253605</v>
      </c>
      <c r="F140" s="571"/>
      <c r="G140" s="376">
        <f t="shared" si="20"/>
        <v>651253605</v>
      </c>
      <c r="H140" s="571"/>
      <c r="I140" s="376">
        <f t="shared" si="21"/>
        <v>651253605</v>
      </c>
      <c r="J140" s="648">
        <v>322204416</v>
      </c>
      <c r="K140" s="376">
        <f t="shared" si="24"/>
        <v>-419.73600006103516</v>
      </c>
      <c r="L140" s="578">
        <f t="shared" si="25"/>
        <v>0.9999993554957296</v>
      </c>
      <c r="M140" s="520"/>
      <c r="N140" s="509"/>
    </row>
    <row r="141" spans="1:14" s="521" customFormat="1" ht="15" customHeight="1" hidden="1" outlineLevel="1">
      <c r="A141" s="596" t="s">
        <v>163</v>
      </c>
      <c r="B141" s="376">
        <v>207171062.68</v>
      </c>
      <c r="C141" s="584"/>
      <c r="D141" s="577"/>
      <c r="E141" s="376">
        <v>207171063</v>
      </c>
      <c r="F141" s="571"/>
      <c r="G141" s="376">
        <f t="shared" si="20"/>
        <v>207171063</v>
      </c>
      <c r="H141" s="571"/>
      <c r="I141" s="376">
        <f t="shared" si="21"/>
        <v>207171063</v>
      </c>
      <c r="J141" s="648">
        <v>72736773</v>
      </c>
      <c r="K141" s="376">
        <f t="shared" si="24"/>
        <v>0.3199999928474426</v>
      </c>
      <c r="L141" s="578">
        <f t="shared" si="25"/>
        <v>1.0000000015446173</v>
      </c>
      <c r="M141" s="520"/>
      <c r="N141" s="509"/>
    </row>
    <row r="142" spans="1:14" s="521" customFormat="1" ht="15" collapsed="1">
      <c r="A142" s="580" t="s">
        <v>164</v>
      </c>
      <c r="B142" s="574">
        <f>+B143+B147</f>
        <v>283325000</v>
      </c>
      <c r="C142" s="584"/>
      <c r="D142" s="577"/>
      <c r="E142" s="574">
        <f>+E143+E147</f>
        <v>266894114</v>
      </c>
      <c r="F142" s="571"/>
      <c r="G142" s="574">
        <f>+G143+G147</f>
        <v>266894114</v>
      </c>
      <c r="H142" s="571"/>
      <c r="I142" s="574">
        <f>+I143+I147</f>
        <v>266894114</v>
      </c>
      <c r="J142" s="644">
        <v>120687311</v>
      </c>
      <c r="K142" s="574">
        <f t="shared" si="24"/>
        <v>-16430886</v>
      </c>
      <c r="L142" s="575">
        <f t="shared" si="25"/>
        <v>0.9420069319685873</v>
      </c>
      <c r="M142" s="520"/>
      <c r="N142" s="509"/>
    </row>
    <row r="143" spans="1:14" s="521" customFormat="1" ht="15" customHeight="1" hidden="1" outlineLevel="1">
      <c r="A143" s="580" t="s">
        <v>165</v>
      </c>
      <c r="B143" s="574">
        <f>+B144+B145+B146</f>
        <v>217661670</v>
      </c>
      <c r="C143" s="584"/>
      <c r="D143" s="577"/>
      <c r="E143" s="574">
        <f>+E144+E145+E146</f>
        <v>201230784</v>
      </c>
      <c r="F143" s="571"/>
      <c r="G143" s="574">
        <f>+F143+E143</f>
        <v>201230784</v>
      </c>
      <c r="H143" s="571"/>
      <c r="I143" s="574">
        <f>+H143+G143</f>
        <v>201230784</v>
      </c>
      <c r="J143" s="644">
        <v>85951091</v>
      </c>
      <c r="K143" s="574">
        <f t="shared" si="24"/>
        <v>-16430886</v>
      </c>
      <c r="L143" s="575">
        <f t="shared" si="25"/>
        <v>0.9245118077059686</v>
      </c>
      <c r="M143" s="520"/>
      <c r="N143" s="509"/>
    </row>
    <row r="144" spans="1:14" s="521" customFormat="1" ht="15" customHeight="1" hidden="1" outlineLevel="2">
      <c r="A144" s="596" t="s">
        <v>191</v>
      </c>
      <c r="B144" s="376">
        <v>23593359</v>
      </c>
      <c r="C144" s="584"/>
      <c r="D144" s="577"/>
      <c r="E144" s="376">
        <v>23593359</v>
      </c>
      <c r="F144" s="571"/>
      <c r="G144" s="376">
        <f>+C144+D144+E144+F144</f>
        <v>23593359</v>
      </c>
      <c r="H144" s="597"/>
      <c r="I144" s="376">
        <f>+H144+G144</f>
        <v>23593359</v>
      </c>
      <c r="J144" s="648">
        <v>23593359</v>
      </c>
      <c r="K144" s="376">
        <f t="shared" si="24"/>
        <v>0</v>
      </c>
      <c r="L144" s="578">
        <f t="shared" si="25"/>
        <v>1</v>
      </c>
      <c r="M144" s="520"/>
      <c r="N144" s="509"/>
    </row>
    <row r="145" spans="1:14" s="521" customFormat="1" ht="15" customHeight="1" hidden="1" outlineLevel="2">
      <c r="A145" s="596" t="s">
        <v>173</v>
      </c>
      <c r="B145" s="376">
        <v>139552000</v>
      </c>
      <c r="C145" s="584"/>
      <c r="D145" s="577"/>
      <c r="E145" s="376">
        <v>123470334</v>
      </c>
      <c r="F145" s="571"/>
      <c r="G145" s="376">
        <f>+F145+E145+D145+C145</f>
        <v>123470334</v>
      </c>
      <c r="H145" s="571"/>
      <c r="I145" s="376">
        <f t="shared" si="21"/>
        <v>123470334</v>
      </c>
      <c r="J145" s="648">
        <v>47343229</v>
      </c>
      <c r="K145" s="376">
        <f t="shared" si="24"/>
        <v>-16081666</v>
      </c>
      <c r="L145" s="578">
        <f t="shared" si="25"/>
        <v>0.884762196170603</v>
      </c>
      <c r="M145" s="520"/>
      <c r="N145" s="509"/>
    </row>
    <row r="146" spans="1:14" s="521" customFormat="1" ht="15" customHeight="1" hidden="1" outlineLevel="2">
      <c r="A146" s="596" t="s">
        <v>174</v>
      </c>
      <c r="B146" s="376">
        <v>54516311</v>
      </c>
      <c r="C146" s="584"/>
      <c r="D146" s="577"/>
      <c r="E146" s="376">
        <v>54167091</v>
      </c>
      <c r="F146" s="571"/>
      <c r="G146" s="376">
        <f t="shared" si="20"/>
        <v>54167091</v>
      </c>
      <c r="H146" s="571"/>
      <c r="I146" s="376">
        <f t="shared" si="21"/>
        <v>54167091</v>
      </c>
      <c r="J146" s="648">
        <v>15014503</v>
      </c>
      <c r="K146" s="376">
        <f t="shared" si="24"/>
        <v>-349220</v>
      </c>
      <c r="L146" s="578">
        <f t="shared" si="25"/>
        <v>0.9935942107308031</v>
      </c>
      <c r="M146" s="520"/>
      <c r="N146" s="509"/>
    </row>
    <row r="147" spans="1:14" s="521" customFormat="1" ht="15" customHeight="1" hidden="1" outlineLevel="1">
      <c r="A147" s="580" t="s">
        <v>175</v>
      </c>
      <c r="B147" s="574">
        <f>+B148</f>
        <v>65663330</v>
      </c>
      <c r="C147" s="584"/>
      <c r="D147" s="577"/>
      <c r="E147" s="574">
        <f>+E148</f>
        <v>65663330</v>
      </c>
      <c r="F147" s="571"/>
      <c r="G147" s="574">
        <f>+G148</f>
        <v>65663330</v>
      </c>
      <c r="H147" s="571"/>
      <c r="I147" s="574">
        <f>+I148</f>
        <v>65663330</v>
      </c>
      <c r="J147" s="644">
        <v>34736220</v>
      </c>
      <c r="K147" s="574">
        <f t="shared" si="24"/>
        <v>0</v>
      </c>
      <c r="L147" s="575">
        <f t="shared" si="25"/>
        <v>1</v>
      </c>
      <c r="M147" s="520"/>
      <c r="N147" s="509"/>
    </row>
    <row r="148" spans="1:14" s="521" customFormat="1" ht="15" customHeight="1" hidden="1" outlineLevel="2">
      <c r="A148" s="596" t="s">
        <v>176</v>
      </c>
      <c r="B148" s="376">
        <v>65663330</v>
      </c>
      <c r="C148" s="584"/>
      <c r="D148" s="577"/>
      <c r="E148" s="376">
        <v>65663330</v>
      </c>
      <c r="F148" s="571"/>
      <c r="G148" s="376">
        <f t="shared" si="20"/>
        <v>65663330</v>
      </c>
      <c r="H148" s="571"/>
      <c r="I148" s="376">
        <f t="shared" si="21"/>
        <v>65663330</v>
      </c>
      <c r="J148" s="648">
        <v>34736220</v>
      </c>
      <c r="K148" s="376">
        <f t="shared" si="24"/>
        <v>0</v>
      </c>
      <c r="L148" s="578">
        <f t="shared" si="25"/>
        <v>1</v>
      </c>
      <c r="M148" s="520"/>
      <c r="N148" s="509"/>
    </row>
    <row r="149" spans="1:14" s="521" customFormat="1" ht="15" customHeight="1" hidden="1" outlineLevel="1">
      <c r="A149" s="596"/>
      <c r="B149" s="376"/>
      <c r="C149" s="584"/>
      <c r="D149" s="577"/>
      <c r="E149" s="376"/>
      <c r="F149" s="571"/>
      <c r="G149" s="376"/>
      <c r="H149" s="571"/>
      <c r="I149" s="376"/>
      <c r="J149" s="648"/>
      <c r="K149" s="376"/>
      <c r="L149" s="575"/>
      <c r="M149" s="520"/>
      <c r="N149" s="509"/>
    </row>
    <row r="150" spans="1:15" s="521" customFormat="1" ht="15" collapsed="1">
      <c r="A150" s="580" t="s">
        <v>166</v>
      </c>
      <c r="B150" s="574">
        <f>+B151+B152+B153+B154</f>
        <v>195300000</v>
      </c>
      <c r="C150" s="584"/>
      <c r="D150" s="577"/>
      <c r="E150" s="574">
        <f>+E151+E152+E153+E154</f>
        <v>193627242</v>
      </c>
      <c r="F150" s="577"/>
      <c r="G150" s="574">
        <f>+G151+G152+G153+G154</f>
        <v>193627242</v>
      </c>
      <c r="H150" s="571"/>
      <c r="I150" s="574">
        <f>+I151+I152+I153+I154</f>
        <v>193627242</v>
      </c>
      <c r="J150" s="644">
        <v>119996708</v>
      </c>
      <c r="K150" s="574">
        <f aca="true" t="shared" si="26" ref="K150:K162">+I150-B150</f>
        <v>-1672758</v>
      </c>
      <c r="L150" s="575">
        <f t="shared" si="25"/>
        <v>0.991434930875576</v>
      </c>
      <c r="M150" s="520"/>
      <c r="N150" s="509"/>
      <c r="O150" s="660"/>
    </row>
    <row r="151" spans="1:14" s="521" customFormat="1" ht="15" customHeight="1" hidden="1" outlineLevel="1">
      <c r="A151" s="593" t="s">
        <v>167</v>
      </c>
      <c r="B151" s="376">
        <v>145300000</v>
      </c>
      <c r="C151" s="584"/>
      <c r="D151" s="577"/>
      <c r="E151" s="376">
        <v>143632982</v>
      </c>
      <c r="F151" s="571"/>
      <c r="G151" s="376">
        <f t="shared" si="20"/>
        <v>143632982</v>
      </c>
      <c r="H151" s="597"/>
      <c r="I151" s="376">
        <f t="shared" si="21"/>
        <v>143632982</v>
      </c>
      <c r="J151" s="648">
        <v>79996982</v>
      </c>
      <c r="K151" s="376">
        <f t="shared" si="26"/>
        <v>-1667018</v>
      </c>
      <c r="L151" s="578">
        <f t="shared" si="25"/>
        <v>0.9885270612525808</v>
      </c>
      <c r="M151" s="520"/>
      <c r="N151" s="509"/>
    </row>
    <row r="152" spans="1:14" s="521" customFormat="1" ht="15" customHeight="1" hidden="1" outlineLevel="1">
      <c r="A152" s="593" t="s">
        <v>168</v>
      </c>
      <c r="B152" s="376">
        <v>25000000</v>
      </c>
      <c r="C152" s="584"/>
      <c r="D152" s="577"/>
      <c r="E152" s="376">
        <v>25000000</v>
      </c>
      <c r="F152" s="571"/>
      <c r="G152" s="376">
        <f t="shared" si="20"/>
        <v>25000000</v>
      </c>
      <c r="H152" s="597"/>
      <c r="I152" s="376">
        <f t="shared" si="21"/>
        <v>25000000</v>
      </c>
      <c r="J152" s="648">
        <v>25000000</v>
      </c>
      <c r="K152" s="376">
        <f t="shared" si="26"/>
        <v>0</v>
      </c>
      <c r="L152" s="578">
        <f t="shared" si="25"/>
        <v>1</v>
      </c>
      <c r="M152" s="520"/>
      <c r="N152" s="509"/>
    </row>
    <row r="153" spans="1:14" s="521" customFormat="1" ht="15" customHeight="1" hidden="1" outlineLevel="1">
      <c r="A153" s="593" t="s">
        <v>177</v>
      </c>
      <c r="B153" s="376">
        <v>20000000</v>
      </c>
      <c r="C153" s="584"/>
      <c r="D153" s="577"/>
      <c r="E153" s="605">
        <v>19994260</v>
      </c>
      <c r="F153" s="571"/>
      <c r="G153" s="376">
        <f t="shared" si="20"/>
        <v>19994260</v>
      </c>
      <c r="H153" s="597"/>
      <c r="I153" s="376">
        <f t="shared" si="21"/>
        <v>19994260</v>
      </c>
      <c r="J153" s="605">
        <v>9999726</v>
      </c>
      <c r="K153" s="376">
        <f t="shared" si="26"/>
        <v>-5740</v>
      </c>
      <c r="L153" s="578">
        <f t="shared" si="25"/>
        <v>0.999713</v>
      </c>
      <c r="M153" s="520"/>
      <c r="N153" s="509"/>
    </row>
    <row r="154" spans="1:14" s="521" customFormat="1" ht="15" customHeight="1" hidden="1" outlineLevel="1">
      <c r="A154" s="593" t="s">
        <v>192</v>
      </c>
      <c r="B154" s="376">
        <v>5000000</v>
      </c>
      <c r="C154" s="584"/>
      <c r="D154" s="577"/>
      <c r="E154" s="376">
        <v>5000000</v>
      </c>
      <c r="F154" s="571"/>
      <c r="G154" s="376">
        <f t="shared" si="20"/>
        <v>5000000</v>
      </c>
      <c r="H154" s="597"/>
      <c r="I154" s="376">
        <f t="shared" si="21"/>
        <v>5000000</v>
      </c>
      <c r="J154" s="648">
        <v>5000000</v>
      </c>
      <c r="K154" s="376">
        <f t="shared" si="26"/>
        <v>0</v>
      </c>
      <c r="L154" s="578">
        <f t="shared" si="25"/>
        <v>1</v>
      </c>
      <c r="M154" s="520"/>
      <c r="N154" s="509"/>
    </row>
    <row r="155" spans="1:14" ht="15" collapsed="1">
      <c r="A155" s="580" t="s">
        <v>169</v>
      </c>
      <c r="B155" s="574">
        <f>+B156</f>
        <v>210700000</v>
      </c>
      <c r="C155" s="571"/>
      <c r="D155" s="577"/>
      <c r="E155" s="574">
        <f>+E156</f>
        <v>192800007</v>
      </c>
      <c r="F155" s="571"/>
      <c r="G155" s="574">
        <f>+G156</f>
        <v>192800007</v>
      </c>
      <c r="H155" s="584"/>
      <c r="I155" s="574">
        <f>+I156</f>
        <v>192800007</v>
      </c>
      <c r="J155" s="644">
        <v>61881855</v>
      </c>
      <c r="K155" s="574">
        <f t="shared" si="26"/>
        <v>-17899993</v>
      </c>
      <c r="L155" s="575">
        <f t="shared" si="25"/>
        <v>0.9150451210251542</v>
      </c>
      <c r="M155" s="495"/>
      <c r="N155" s="509"/>
    </row>
    <row r="156" spans="1:14" ht="15" customHeight="1" hidden="1" outlineLevel="1">
      <c r="A156" s="596" t="s">
        <v>170</v>
      </c>
      <c r="B156" s="376">
        <v>210700000</v>
      </c>
      <c r="C156" s="571"/>
      <c r="D156" s="577"/>
      <c r="E156" s="376">
        <v>192800007</v>
      </c>
      <c r="F156" s="571"/>
      <c r="G156" s="376">
        <f t="shared" si="20"/>
        <v>192800007</v>
      </c>
      <c r="H156" s="584"/>
      <c r="I156" s="376">
        <f t="shared" si="21"/>
        <v>192800007</v>
      </c>
      <c r="J156" s="648">
        <v>61881855</v>
      </c>
      <c r="K156" s="376">
        <f t="shared" si="26"/>
        <v>-17899993</v>
      </c>
      <c r="L156" s="578">
        <f t="shared" si="25"/>
        <v>0.9150451210251542</v>
      </c>
      <c r="M156" s="495"/>
      <c r="N156" s="509"/>
    </row>
    <row r="157" spans="1:14" ht="15.75" customHeight="1" collapsed="1">
      <c r="A157" s="580" t="s">
        <v>178</v>
      </c>
      <c r="B157" s="574">
        <f>+B158+B159+B160+B161+B162</f>
        <v>1426143043.3336</v>
      </c>
      <c r="C157" s="571"/>
      <c r="D157" s="577"/>
      <c r="E157" s="574">
        <f>+E158+E159+E160+E161+E162</f>
        <v>1363799074</v>
      </c>
      <c r="F157" s="571"/>
      <c r="G157" s="574">
        <f t="shared" si="20"/>
        <v>1363799074</v>
      </c>
      <c r="H157" s="595"/>
      <c r="I157" s="574">
        <f aca="true" t="shared" si="27" ref="I157:I162">+G157+H157</f>
        <v>1363799074</v>
      </c>
      <c r="J157" s="644">
        <v>664161567</v>
      </c>
      <c r="K157" s="574">
        <f t="shared" si="26"/>
        <v>-62343969.333600044</v>
      </c>
      <c r="L157" s="575">
        <f t="shared" si="25"/>
        <v>0.9562849115135944</v>
      </c>
      <c r="M157" s="495"/>
      <c r="N157" s="509"/>
    </row>
    <row r="158" spans="1:14" ht="15.75" customHeight="1" hidden="1" outlineLevel="1">
      <c r="A158" s="603" t="s">
        <v>171</v>
      </c>
      <c r="B158" s="376">
        <v>1282784740.8416</v>
      </c>
      <c r="C158" s="571"/>
      <c r="D158" s="577"/>
      <c r="E158" s="376">
        <v>1234695850</v>
      </c>
      <c r="F158" s="376"/>
      <c r="G158" s="376">
        <f t="shared" si="20"/>
        <v>1234695850</v>
      </c>
      <c r="H158" s="376"/>
      <c r="I158" s="376">
        <f t="shared" si="27"/>
        <v>1234695850</v>
      </c>
      <c r="J158" s="648">
        <v>604317741</v>
      </c>
      <c r="K158" s="376">
        <f t="shared" si="26"/>
        <v>-48088890.84159994</v>
      </c>
      <c r="L158" s="578">
        <f t="shared" si="25"/>
        <v>0.962512111883986</v>
      </c>
      <c r="M158" s="495"/>
      <c r="N158" s="509"/>
    </row>
    <row r="159" spans="1:14" ht="15.75" customHeight="1" hidden="1" outlineLevel="1">
      <c r="A159" s="603" t="s">
        <v>43</v>
      </c>
      <c r="B159" s="376">
        <v>12000000</v>
      </c>
      <c r="C159" s="571"/>
      <c r="D159" s="577"/>
      <c r="E159" s="376">
        <v>10104679</v>
      </c>
      <c r="F159" s="376"/>
      <c r="G159" s="376">
        <f t="shared" si="20"/>
        <v>10104679</v>
      </c>
      <c r="H159" s="376"/>
      <c r="I159" s="376">
        <f t="shared" si="27"/>
        <v>10104679</v>
      </c>
      <c r="J159" s="648">
        <v>3760968</v>
      </c>
      <c r="K159" s="376">
        <f t="shared" si="26"/>
        <v>-1895321</v>
      </c>
      <c r="L159" s="578">
        <f t="shared" si="25"/>
        <v>0.8420565833333333</v>
      </c>
      <c r="M159" s="495"/>
      <c r="N159" s="509"/>
    </row>
    <row r="160" spans="1:14" ht="14.25" customHeight="1" hidden="1" outlineLevel="1">
      <c r="A160" s="603" t="s">
        <v>193</v>
      </c>
      <c r="B160" s="376">
        <v>86980302.492</v>
      </c>
      <c r="C160" s="571"/>
      <c r="D160" s="577"/>
      <c r="E160" s="376">
        <v>77756000</v>
      </c>
      <c r="F160" s="376"/>
      <c r="G160" s="376">
        <f t="shared" si="20"/>
        <v>77756000</v>
      </c>
      <c r="H160" s="376"/>
      <c r="I160" s="376">
        <f t="shared" si="27"/>
        <v>77756000</v>
      </c>
      <c r="J160" s="648">
        <v>36077000</v>
      </c>
      <c r="K160" s="376">
        <f t="shared" si="26"/>
        <v>-9224302.491999999</v>
      </c>
      <c r="L160" s="578">
        <f t="shared" si="25"/>
        <v>0.8939495238838885</v>
      </c>
      <c r="M160" s="495"/>
      <c r="N160" s="509"/>
    </row>
    <row r="161" spans="1:14" ht="14.25" customHeight="1" hidden="1" outlineLevel="1">
      <c r="A161" s="603" t="s">
        <v>179</v>
      </c>
      <c r="B161" s="376">
        <v>32378000</v>
      </c>
      <c r="C161" s="571"/>
      <c r="D161" s="577"/>
      <c r="E161" s="376">
        <v>30613976</v>
      </c>
      <c r="F161" s="376"/>
      <c r="G161" s="376">
        <f t="shared" si="20"/>
        <v>30613976</v>
      </c>
      <c r="H161" s="376"/>
      <c r="I161" s="376">
        <f t="shared" si="27"/>
        <v>30613976</v>
      </c>
      <c r="J161" s="648">
        <v>15261296</v>
      </c>
      <c r="K161" s="376">
        <f t="shared" si="26"/>
        <v>-1764024</v>
      </c>
      <c r="L161" s="578">
        <f t="shared" si="25"/>
        <v>0.9455178207424795</v>
      </c>
      <c r="M161" s="495"/>
      <c r="N161" s="509"/>
    </row>
    <row r="162" spans="1:14" ht="14.25" customHeight="1" hidden="1" outlineLevel="1">
      <c r="A162" s="603" t="s">
        <v>194</v>
      </c>
      <c r="B162" s="376">
        <v>12000000</v>
      </c>
      <c r="C162" s="571"/>
      <c r="D162" s="577"/>
      <c r="E162" s="376">
        <v>10628569</v>
      </c>
      <c r="F162" s="376"/>
      <c r="G162" s="376">
        <f t="shared" si="20"/>
        <v>10628569</v>
      </c>
      <c r="H162" s="376"/>
      <c r="I162" s="376">
        <f t="shared" si="27"/>
        <v>10628569</v>
      </c>
      <c r="J162" s="648">
        <v>4744562</v>
      </c>
      <c r="K162" s="376">
        <f t="shared" si="26"/>
        <v>-1371431</v>
      </c>
      <c r="L162" s="578">
        <f t="shared" si="25"/>
        <v>0.8857140833333333</v>
      </c>
      <c r="M162" s="495"/>
      <c r="N162" s="509"/>
    </row>
    <row r="163" spans="1:14" ht="15" collapsed="1">
      <c r="A163" s="596"/>
      <c r="B163" s="577"/>
      <c r="C163" s="571"/>
      <c r="D163" s="577"/>
      <c r="E163" s="376"/>
      <c r="F163" s="571"/>
      <c r="G163" s="574"/>
      <c r="H163" s="571"/>
      <c r="I163" s="577"/>
      <c r="J163" s="648"/>
      <c r="K163" s="376"/>
      <c r="L163" s="575"/>
      <c r="M163" s="495"/>
      <c r="N163" s="509"/>
    </row>
    <row r="164" spans="1:14" ht="15">
      <c r="A164" s="586" t="s">
        <v>58</v>
      </c>
      <c r="B164" s="581">
        <f>+'ANEXO II'!O164</f>
        <v>971471351.9932916</v>
      </c>
      <c r="C164" s="571"/>
      <c r="D164" s="571"/>
      <c r="E164" s="571"/>
      <c r="F164" s="577"/>
      <c r="G164" s="574">
        <v>0</v>
      </c>
      <c r="H164" s="581">
        <v>974589656.5</v>
      </c>
      <c r="I164" s="581">
        <f>+H164+G164</f>
        <v>974589656.5</v>
      </c>
      <c r="J164" s="645">
        <v>453488262.5</v>
      </c>
      <c r="K164" s="581">
        <f>+I164-B164</f>
        <v>3118304.5067083836</v>
      </c>
      <c r="L164" s="575">
        <f t="shared" si="25"/>
        <v>1.0032098779859129</v>
      </c>
      <c r="M164" s="518"/>
      <c r="N164" s="509"/>
    </row>
    <row r="165" spans="1:14" ht="15">
      <c r="A165" s="586"/>
      <c r="B165" s="581"/>
      <c r="C165" s="571"/>
      <c r="D165" s="571"/>
      <c r="E165" s="571"/>
      <c r="F165" s="577"/>
      <c r="G165" s="574"/>
      <c r="H165" s="581"/>
      <c r="I165" s="581"/>
      <c r="J165" s="644"/>
      <c r="K165" s="574"/>
      <c r="L165" s="575"/>
      <c r="M165" s="518"/>
      <c r="N165" s="509"/>
    </row>
    <row r="166" spans="1:14" ht="15">
      <c r="A166" s="586" t="s">
        <v>299</v>
      </c>
      <c r="B166" s="581">
        <f>+'ANEXO II'!O166</f>
        <v>1440707028</v>
      </c>
      <c r="C166" s="571"/>
      <c r="D166" s="606">
        <v>77030908</v>
      </c>
      <c r="E166" s="571"/>
      <c r="F166" s="577"/>
      <c r="G166" s="574">
        <f t="shared" si="20"/>
        <v>77030908</v>
      </c>
      <c r="H166" s="581">
        <v>0</v>
      </c>
      <c r="I166" s="581">
        <f>+H166+G166</f>
        <v>77030908</v>
      </c>
      <c r="J166" s="644">
        <v>0</v>
      </c>
      <c r="K166" s="574">
        <f>+I166-B166</f>
        <v>-1363676120</v>
      </c>
      <c r="L166" s="575">
        <f t="shared" si="25"/>
        <v>0.053467434046556205</v>
      </c>
      <c r="M166" s="518"/>
      <c r="N166" s="509"/>
    </row>
    <row r="167" spans="1:14" ht="15">
      <c r="A167" s="580"/>
      <c r="B167" s="581"/>
      <c r="C167" s="571"/>
      <c r="D167" s="571"/>
      <c r="E167" s="571"/>
      <c r="F167" s="577"/>
      <c r="G167" s="577"/>
      <c r="H167" s="577"/>
      <c r="I167" s="581"/>
      <c r="J167" s="377"/>
      <c r="K167" s="577"/>
      <c r="L167" s="575"/>
      <c r="M167" s="495"/>
      <c r="N167" s="509"/>
    </row>
    <row r="168" spans="1:14" ht="15">
      <c r="A168" s="586" t="s">
        <v>393</v>
      </c>
      <c r="B168" s="581">
        <f>+B169+B170</f>
        <v>899743842.4912109</v>
      </c>
      <c r="C168" s="581">
        <f>+C169+C170</f>
        <v>0</v>
      </c>
      <c r="D168" s="581">
        <f>+D169+D170</f>
        <v>0</v>
      </c>
      <c r="E168" s="581">
        <f>+E169+E170</f>
        <v>0</v>
      </c>
      <c r="F168" s="581">
        <f>+F169+F170</f>
        <v>0</v>
      </c>
      <c r="G168" s="581">
        <f>+C168+D168+E168+F168</f>
        <v>0</v>
      </c>
      <c r="H168" s="581">
        <f>+H169+H170</f>
        <v>0</v>
      </c>
      <c r="I168" s="581">
        <f>+I169+I170</f>
        <v>0</v>
      </c>
      <c r="J168" s="645">
        <v>0</v>
      </c>
      <c r="K168" s="581">
        <f>+I168-B168</f>
        <v>-899743842.4912109</v>
      </c>
      <c r="L168" s="575">
        <f t="shared" si="25"/>
        <v>0</v>
      </c>
      <c r="M168" s="495"/>
      <c r="N168" s="509"/>
    </row>
    <row r="169" spans="1:14" s="529" customFormat="1" ht="14.25">
      <c r="A169" s="582" t="s">
        <v>394</v>
      </c>
      <c r="B169" s="577">
        <v>350553823.57270813</v>
      </c>
      <c r="C169" s="571"/>
      <c r="D169" s="571"/>
      <c r="E169" s="571"/>
      <c r="F169" s="577"/>
      <c r="G169" s="577">
        <f>+C169+D169+E169+F169</f>
        <v>0</v>
      </c>
      <c r="H169" s="577">
        <f>+I177</f>
        <v>0</v>
      </c>
      <c r="I169" s="376">
        <f>+G169+H169</f>
        <v>0</v>
      </c>
      <c r="J169" s="377">
        <v>0</v>
      </c>
      <c r="K169" s="577">
        <f>+I169-B169</f>
        <v>-350553823.57270813</v>
      </c>
      <c r="L169" s="578">
        <f t="shared" si="25"/>
        <v>0</v>
      </c>
      <c r="M169" s="495"/>
      <c r="N169" s="509"/>
    </row>
    <row r="170" spans="1:14" s="529" customFormat="1" ht="14.25">
      <c r="A170" s="582" t="s">
        <v>395</v>
      </c>
      <c r="B170" s="577">
        <v>549190018.9185028</v>
      </c>
      <c r="C170" s="571"/>
      <c r="D170" s="571"/>
      <c r="E170" s="577"/>
      <c r="F170" s="577"/>
      <c r="G170" s="577">
        <f>+C170+D170+E170+F170</f>
        <v>0</v>
      </c>
      <c r="H170" s="577">
        <f>+I178</f>
        <v>0</v>
      </c>
      <c r="I170" s="376">
        <f>+G170+H170</f>
        <v>0</v>
      </c>
      <c r="J170" s="377">
        <v>0</v>
      </c>
      <c r="K170" s="577">
        <f>+I170-B170</f>
        <v>-549190018.9185028</v>
      </c>
      <c r="L170" s="578">
        <f t="shared" si="25"/>
        <v>0</v>
      </c>
      <c r="M170" s="518"/>
      <c r="N170" s="509"/>
    </row>
    <row r="171" spans="1:14" ht="15">
      <c r="A171" s="580"/>
      <c r="B171" s="577"/>
      <c r="C171" s="571"/>
      <c r="D171" s="571"/>
      <c r="E171" s="571"/>
      <c r="F171" s="577"/>
      <c r="G171" s="577"/>
      <c r="H171" s="577"/>
      <c r="I171" s="577"/>
      <c r="J171" s="377"/>
      <c r="K171" s="577"/>
      <c r="L171" s="575"/>
      <c r="M171" s="518"/>
      <c r="N171" s="509"/>
    </row>
    <row r="172" spans="1:14" ht="15">
      <c r="A172" s="580" t="s">
        <v>396</v>
      </c>
      <c r="B172" s="581">
        <f>+B168+B164+B39+B37</f>
        <v>16513771725.134968</v>
      </c>
      <c r="C172" s="581">
        <f>+C39+C37</f>
        <v>2675946523.63</v>
      </c>
      <c r="D172" s="581">
        <f>+D37+D39</f>
        <v>1032400807.76</v>
      </c>
      <c r="E172" s="581">
        <f>+E37+E39</f>
        <v>5659411732.2699995</v>
      </c>
      <c r="F172" s="581">
        <f>+F39+F37</f>
        <v>2717273645.2</v>
      </c>
      <c r="G172" s="581">
        <f>+C172+D172+E172+F172</f>
        <v>12085032708.86</v>
      </c>
      <c r="H172" s="581">
        <f>+H168+H164+H39+H37</f>
        <v>1550643953.3</v>
      </c>
      <c r="I172" s="581">
        <f>+I168+I164+I39+I37</f>
        <v>13635676662.159998</v>
      </c>
      <c r="J172" s="645">
        <v>5933528785.37</v>
      </c>
      <c r="K172" s="581">
        <f>+I172-B172</f>
        <v>-2878095062.97497</v>
      </c>
      <c r="L172" s="575">
        <f>+I172/(B172-B168)</f>
        <v>0.873296548760307</v>
      </c>
      <c r="M172" s="495"/>
      <c r="N172" s="509"/>
    </row>
    <row r="173" spans="1:14" ht="15.75" thickBot="1">
      <c r="A173" s="607"/>
      <c r="B173" s="608"/>
      <c r="C173" s="609"/>
      <c r="D173" s="608"/>
      <c r="E173" s="608"/>
      <c r="F173" s="608"/>
      <c r="G173" s="608"/>
      <c r="H173" s="608"/>
      <c r="I173" s="608"/>
      <c r="J173" s="649"/>
      <c r="K173" s="608"/>
      <c r="L173" s="610"/>
      <c r="M173" s="495"/>
      <c r="N173" s="509"/>
    </row>
    <row r="174" spans="1:13" ht="18.75" thickTop="1">
      <c r="A174" s="533"/>
      <c r="B174" s="518"/>
      <c r="C174" s="534"/>
      <c r="D174" s="495"/>
      <c r="E174" s="495"/>
      <c r="F174" s="495"/>
      <c r="G174" s="495"/>
      <c r="H174" s="518"/>
      <c r="I174" s="518"/>
      <c r="J174" s="518"/>
      <c r="K174" s="518"/>
      <c r="L174" s="535"/>
      <c r="M174" s="495"/>
    </row>
    <row r="175" spans="1:13" ht="12.75">
      <c r="A175" s="533"/>
      <c r="B175" s="514"/>
      <c r="C175" s="495"/>
      <c r="D175" s="495"/>
      <c r="E175" s="518"/>
      <c r="F175" s="495"/>
      <c r="G175" s="518"/>
      <c r="H175" s="518"/>
      <c r="I175" s="514"/>
      <c r="J175" s="514"/>
      <c r="K175" s="514"/>
      <c r="L175" s="536"/>
      <c r="M175" s="495"/>
    </row>
    <row r="176" spans="1:13" ht="15.75">
      <c r="A176" s="533"/>
      <c r="B176" s="514"/>
      <c r="C176" s="518"/>
      <c r="D176" s="495"/>
      <c r="E176" s="495"/>
      <c r="F176" s="537"/>
      <c r="G176" s="538" t="s">
        <v>397</v>
      </c>
      <c r="H176" s="538" t="s">
        <v>398</v>
      </c>
      <c r="I176" s="514"/>
      <c r="J176" s="539"/>
      <c r="K176" s="539"/>
      <c r="L176" s="495"/>
      <c r="M176" s="495"/>
    </row>
    <row r="177" spans="1:13" ht="15.75">
      <c r="A177" s="540"/>
      <c r="B177" s="514"/>
      <c r="C177" s="495"/>
      <c r="D177" s="495"/>
      <c r="E177" s="495"/>
      <c r="F177" s="537" t="s">
        <v>307</v>
      </c>
      <c r="G177" s="541">
        <f>+C172+D172+F172+H37+(H164*75%)</f>
        <v>7732617515.765</v>
      </c>
      <c r="H177" s="542">
        <f>+'[19]Anexo 1 Minagricultura'!M42</f>
        <v>0</v>
      </c>
      <c r="I177" s="514"/>
      <c r="J177" s="541"/>
      <c r="K177" s="541"/>
      <c r="L177" s="495"/>
      <c r="M177" s="495"/>
    </row>
    <row r="178" spans="1:13" ht="16.5" thickBot="1">
      <c r="A178" s="533"/>
      <c r="B178" s="514"/>
      <c r="C178" s="495"/>
      <c r="D178" s="495"/>
      <c r="E178" s="495"/>
      <c r="F178" s="537" t="s">
        <v>172</v>
      </c>
      <c r="G178" s="543">
        <f>+E172+(H164*25%)</f>
        <v>5903059146.3949995</v>
      </c>
      <c r="H178" s="544">
        <f>+'[19]Anexo 1 Minagricultura'!M43</f>
        <v>0</v>
      </c>
      <c r="I178" s="514"/>
      <c r="J178" s="545"/>
      <c r="K178" s="545"/>
      <c r="L178" s="495"/>
      <c r="M178" s="495"/>
    </row>
    <row r="179" spans="1:13" ht="16.5" thickTop="1">
      <c r="A179" s="533"/>
      <c r="B179" s="514"/>
      <c r="C179" s="495"/>
      <c r="D179" s="495"/>
      <c r="E179" s="495"/>
      <c r="F179" s="537"/>
      <c r="G179" s="546">
        <f>+G177+G178</f>
        <v>13635676662.16</v>
      </c>
      <c r="H179" s="547">
        <f>+H178+H177</f>
        <v>0</v>
      </c>
      <c r="I179" s="514"/>
      <c r="J179" s="547"/>
      <c r="K179" s="547"/>
      <c r="L179" s="495"/>
      <c r="M179" s="495"/>
    </row>
    <row r="180" spans="1:13" ht="15.75">
      <c r="A180" s="533"/>
      <c r="B180" s="514"/>
      <c r="C180" s="495"/>
      <c r="D180" s="495"/>
      <c r="E180" s="495"/>
      <c r="F180" s="537"/>
      <c r="G180" s="541"/>
      <c r="H180" s="537"/>
      <c r="I180" s="514"/>
      <c r="J180" s="537"/>
      <c r="K180" s="537"/>
      <c r="L180" s="495"/>
      <c r="M180" s="495"/>
    </row>
    <row r="181" spans="1:13" ht="12.75">
      <c r="A181" s="495"/>
      <c r="B181" s="514"/>
      <c r="C181" s="495"/>
      <c r="D181" s="495"/>
      <c r="E181" s="495"/>
      <c r="F181" s="495"/>
      <c r="G181" s="495"/>
      <c r="H181" s="495"/>
      <c r="I181" s="514"/>
      <c r="J181" s="495"/>
      <c r="K181" s="495"/>
      <c r="L181" s="495"/>
      <c r="M181" s="495"/>
    </row>
    <row r="182" spans="1:13" ht="12.75">
      <c r="A182" s="495"/>
      <c r="B182" s="495"/>
      <c r="C182" s="495"/>
      <c r="D182" s="495"/>
      <c r="E182" s="495"/>
      <c r="F182" s="495"/>
      <c r="G182" s="518"/>
      <c r="H182" s="518"/>
      <c r="I182" s="495"/>
      <c r="J182" s="495"/>
      <c r="K182" s="495"/>
      <c r="L182" s="495"/>
      <c r="M182" s="495"/>
    </row>
    <row r="183" spans="1:13" ht="12.75">
      <c r="A183" s="495"/>
      <c r="B183" s="495"/>
      <c r="C183" s="495"/>
      <c r="D183" s="495"/>
      <c r="E183" s="495"/>
      <c r="F183" s="495"/>
      <c r="G183" s="495"/>
      <c r="H183" s="495"/>
      <c r="I183" s="495"/>
      <c r="J183" s="495"/>
      <c r="K183" s="495"/>
      <c r="L183" s="495"/>
      <c r="M183" s="495"/>
    </row>
    <row r="184" spans="1:13" ht="12.75">
      <c r="A184" s="495"/>
      <c r="B184" s="495"/>
      <c r="C184" s="495"/>
      <c r="D184" s="495"/>
      <c r="E184" s="495"/>
      <c r="F184" s="495"/>
      <c r="G184" s="495"/>
      <c r="H184" s="495"/>
      <c r="I184" s="495"/>
      <c r="J184" s="495"/>
      <c r="K184" s="495"/>
      <c r="L184" s="495"/>
      <c r="M184" s="495"/>
    </row>
    <row r="185" spans="1:13" ht="12" customHeight="1">
      <c r="A185" s="495"/>
      <c r="B185" s="495"/>
      <c r="C185" s="495"/>
      <c r="D185" s="495"/>
      <c r="E185" s="495"/>
      <c r="F185" s="495"/>
      <c r="G185" s="495"/>
      <c r="H185" s="548"/>
      <c r="I185" s="495"/>
      <c r="J185" s="495"/>
      <c r="K185" s="495"/>
      <c r="L185" s="495"/>
      <c r="M185" s="495"/>
    </row>
    <row r="186" spans="1:13" ht="12.75">
      <c r="A186" s="495"/>
      <c r="B186" s="495"/>
      <c r="C186" s="495"/>
      <c r="D186" s="495"/>
      <c r="E186" s="495"/>
      <c r="F186" s="495"/>
      <c r="G186" s="495"/>
      <c r="H186" s="495"/>
      <c r="I186" s="495"/>
      <c r="J186" s="495"/>
      <c r="K186" s="495"/>
      <c r="L186" s="495"/>
      <c r="M186" s="495"/>
    </row>
    <row r="187" spans="1:13" ht="12.75">
      <c r="A187" s="495"/>
      <c r="B187" s="495"/>
      <c r="C187" s="495"/>
      <c r="D187" s="495"/>
      <c r="E187" s="495"/>
      <c r="F187" s="495"/>
      <c r="G187" s="495"/>
      <c r="H187" s="495"/>
      <c r="I187" s="495"/>
      <c r="J187" s="495"/>
      <c r="K187" s="495"/>
      <c r="L187" s="495"/>
      <c r="M187" s="495"/>
    </row>
    <row r="188" spans="1:13" ht="12.75">
      <c r="A188" s="495"/>
      <c r="B188" s="495"/>
      <c r="C188" s="495"/>
      <c r="D188" s="495"/>
      <c r="E188" s="495"/>
      <c r="F188" s="495"/>
      <c r="G188" s="495"/>
      <c r="H188" s="495"/>
      <c r="I188" s="495"/>
      <c r="J188" s="495"/>
      <c r="K188" s="495"/>
      <c r="L188" s="495"/>
      <c r="M188" s="495"/>
    </row>
    <row r="189" spans="1:13" ht="12.75">
      <c r="A189" s="495"/>
      <c r="B189" s="495"/>
      <c r="C189" s="495"/>
      <c r="D189" s="495"/>
      <c r="E189" s="495"/>
      <c r="F189" s="495"/>
      <c r="G189" s="495"/>
      <c r="H189" s="495"/>
      <c r="I189" s="495"/>
      <c r="J189" s="495"/>
      <c r="K189" s="495"/>
      <c r="L189" s="495"/>
      <c r="M189" s="495"/>
    </row>
    <row r="190" spans="1:13" ht="12.75">
      <c r="A190" s="495"/>
      <c r="B190" s="495"/>
      <c r="C190" s="495"/>
      <c r="D190" s="495"/>
      <c r="E190" s="495"/>
      <c r="F190" s="495"/>
      <c r="G190" s="495"/>
      <c r="H190" s="495"/>
      <c r="I190" s="495"/>
      <c r="J190" s="495"/>
      <c r="K190" s="495"/>
      <c r="L190" s="495"/>
      <c r="M190" s="495"/>
    </row>
    <row r="191" spans="1:13" ht="12.75">
      <c r="A191" s="495"/>
      <c r="B191" s="495"/>
      <c r="C191" s="495"/>
      <c r="D191" s="495"/>
      <c r="E191" s="495"/>
      <c r="F191" s="495"/>
      <c r="G191" s="495"/>
      <c r="H191" s="495"/>
      <c r="I191" s="495"/>
      <c r="J191" s="495"/>
      <c r="K191" s="495"/>
      <c r="L191" s="495"/>
      <c r="M191" s="495"/>
    </row>
    <row r="192" spans="1:13" ht="12.75">
      <c r="A192" s="495"/>
      <c r="B192" s="495"/>
      <c r="C192" s="495"/>
      <c r="D192" s="495"/>
      <c r="E192" s="495"/>
      <c r="F192" s="495"/>
      <c r="G192" s="495"/>
      <c r="H192" s="495"/>
      <c r="I192" s="495"/>
      <c r="J192" s="495"/>
      <c r="K192" s="495"/>
      <c r="L192" s="495"/>
      <c r="M192" s="495"/>
    </row>
    <row r="193" spans="1:13" ht="12.75">
      <c r="A193" s="495"/>
      <c r="B193" s="495"/>
      <c r="C193" s="495"/>
      <c r="D193" s="495"/>
      <c r="E193" s="495"/>
      <c r="F193" s="495"/>
      <c r="G193" s="495"/>
      <c r="H193" s="495"/>
      <c r="I193" s="495"/>
      <c r="J193" s="495"/>
      <c r="K193" s="495"/>
      <c r="L193" s="495"/>
      <c r="M193" s="495"/>
    </row>
    <row r="194" spans="1:13" ht="12.75">
      <c r="A194" s="495"/>
      <c r="B194" s="495"/>
      <c r="C194" s="495"/>
      <c r="D194" s="495"/>
      <c r="E194" s="495"/>
      <c r="F194" s="495"/>
      <c r="G194" s="495"/>
      <c r="H194" s="495"/>
      <c r="I194" s="495"/>
      <c r="J194" s="495"/>
      <c r="K194" s="495"/>
      <c r="L194" s="495"/>
      <c r="M194" s="495"/>
    </row>
    <row r="195" spans="1:13" ht="12.75">
      <c r="A195" s="495"/>
      <c r="B195" s="495"/>
      <c r="C195" s="495"/>
      <c r="D195" s="495"/>
      <c r="E195" s="495"/>
      <c r="F195" s="495"/>
      <c r="G195" s="495"/>
      <c r="H195" s="495"/>
      <c r="I195" s="495"/>
      <c r="J195" s="495"/>
      <c r="K195" s="495"/>
      <c r="L195" s="495"/>
      <c r="M195" s="495"/>
    </row>
    <row r="196" spans="1:13" ht="12.75">
      <c r="A196" s="495"/>
      <c r="B196" s="495"/>
      <c r="C196" s="495"/>
      <c r="D196" s="495"/>
      <c r="E196" s="495"/>
      <c r="F196" s="495"/>
      <c r="G196" s="495"/>
      <c r="H196" s="495"/>
      <c r="I196" s="495"/>
      <c r="J196" s="495"/>
      <c r="K196" s="495"/>
      <c r="L196" s="495"/>
      <c r="M196" s="495"/>
    </row>
    <row r="197" spans="1:13" ht="12.75">
      <c r="A197" s="495"/>
      <c r="B197" s="495"/>
      <c r="C197" s="495"/>
      <c r="D197" s="495"/>
      <c r="E197" s="495"/>
      <c r="F197" s="495"/>
      <c r="G197" s="495"/>
      <c r="H197" s="495"/>
      <c r="I197" s="495"/>
      <c r="J197" s="495"/>
      <c r="K197" s="495"/>
      <c r="L197" s="495"/>
      <c r="M197" s="495"/>
    </row>
    <row r="198" spans="1:13" ht="12.75">
      <c r="A198" s="495"/>
      <c r="B198" s="495"/>
      <c r="C198" s="495"/>
      <c r="D198" s="495"/>
      <c r="E198" s="495"/>
      <c r="F198" s="495"/>
      <c r="G198" s="495"/>
      <c r="H198" s="495"/>
      <c r="I198" s="495"/>
      <c r="J198" s="495"/>
      <c r="K198" s="495"/>
      <c r="L198" s="495"/>
      <c r="M198" s="495"/>
    </row>
    <row r="199" spans="1:13" ht="12.75">
      <c r="A199" s="495"/>
      <c r="B199" s="495"/>
      <c r="C199" s="495"/>
      <c r="D199" s="495"/>
      <c r="E199" s="495"/>
      <c r="F199" s="495"/>
      <c r="G199" s="495"/>
      <c r="H199" s="495"/>
      <c r="I199" s="495"/>
      <c r="J199" s="495"/>
      <c r="K199" s="495"/>
      <c r="L199" s="495"/>
      <c r="M199" s="495"/>
    </row>
    <row r="200" spans="1:13" ht="12.75">
      <c r="A200" s="495"/>
      <c r="B200" s="495"/>
      <c r="C200" s="495"/>
      <c r="D200" s="495"/>
      <c r="E200" s="495"/>
      <c r="F200" s="495"/>
      <c r="G200" s="495"/>
      <c r="H200" s="495"/>
      <c r="I200" s="495"/>
      <c r="J200" s="495"/>
      <c r="K200" s="495"/>
      <c r="L200" s="495"/>
      <c r="M200" s="495"/>
    </row>
    <row r="201" spans="1:13" ht="12.75">
      <c r="A201" s="495"/>
      <c r="B201" s="495"/>
      <c r="C201" s="495"/>
      <c r="D201" s="495"/>
      <c r="E201" s="495"/>
      <c r="F201" s="495"/>
      <c r="G201" s="495"/>
      <c r="H201" s="495"/>
      <c r="I201" s="495"/>
      <c r="J201" s="495"/>
      <c r="K201" s="495"/>
      <c r="L201" s="495"/>
      <c r="M201" s="495"/>
    </row>
    <row r="202" spans="1:13" ht="12.75">
      <c r="A202" s="495"/>
      <c r="B202" s="495"/>
      <c r="C202" s="495"/>
      <c r="D202" s="495"/>
      <c r="E202" s="495"/>
      <c r="F202" s="495"/>
      <c r="G202" s="495"/>
      <c r="H202" s="495"/>
      <c r="I202" s="495"/>
      <c r="J202" s="495"/>
      <c r="K202" s="495"/>
      <c r="L202" s="495"/>
      <c r="M202" s="495"/>
    </row>
    <row r="203" spans="1:13" ht="12.75">
      <c r="A203" s="495"/>
      <c r="B203" s="495"/>
      <c r="C203" s="495"/>
      <c r="D203" s="495"/>
      <c r="E203" s="495"/>
      <c r="F203" s="495"/>
      <c r="G203" s="495"/>
      <c r="H203" s="495"/>
      <c r="I203" s="495"/>
      <c r="J203" s="495"/>
      <c r="K203" s="495"/>
      <c r="L203" s="495"/>
      <c r="M203" s="495"/>
    </row>
    <row r="204" spans="1:13" ht="12.75">
      <c r="A204" s="495"/>
      <c r="B204" s="495"/>
      <c r="C204" s="495"/>
      <c r="D204" s="495"/>
      <c r="E204" s="495"/>
      <c r="F204" s="495"/>
      <c r="G204" s="495"/>
      <c r="H204" s="495"/>
      <c r="I204" s="495"/>
      <c r="J204" s="495"/>
      <c r="K204" s="495"/>
      <c r="L204" s="495"/>
      <c r="M204" s="495"/>
    </row>
    <row r="205" spans="1:13" ht="12.75">
      <c r="A205" s="495"/>
      <c r="B205" s="495"/>
      <c r="C205" s="495"/>
      <c r="D205" s="495"/>
      <c r="E205" s="495"/>
      <c r="F205" s="495"/>
      <c r="G205" s="495"/>
      <c r="H205" s="495"/>
      <c r="I205" s="495"/>
      <c r="J205" s="495"/>
      <c r="K205" s="495"/>
      <c r="L205" s="495"/>
      <c r="M205" s="495"/>
    </row>
    <row r="206" spans="1:13" ht="12.75">
      <c r="A206" s="495"/>
      <c r="B206" s="495"/>
      <c r="C206" s="495"/>
      <c r="D206" s="495"/>
      <c r="E206" s="495"/>
      <c r="F206" s="495"/>
      <c r="G206" s="495"/>
      <c r="H206" s="495"/>
      <c r="I206" s="495"/>
      <c r="J206" s="495"/>
      <c r="K206" s="495"/>
      <c r="L206" s="495"/>
      <c r="M206" s="495"/>
    </row>
    <row r="207" spans="1:13" ht="12.75">
      <c r="A207" s="495"/>
      <c r="B207" s="495"/>
      <c r="C207" s="495"/>
      <c r="D207" s="495"/>
      <c r="E207" s="495"/>
      <c r="F207" s="495"/>
      <c r="G207" s="495"/>
      <c r="H207" s="495"/>
      <c r="I207" s="495"/>
      <c r="J207" s="495"/>
      <c r="K207" s="495"/>
      <c r="L207" s="495"/>
      <c r="M207" s="495"/>
    </row>
    <row r="208" spans="1:13" ht="12.75">
      <c r="A208" s="495"/>
      <c r="B208" s="495"/>
      <c r="C208" s="495"/>
      <c r="D208" s="495"/>
      <c r="E208" s="495"/>
      <c r="F208" s="495"/>
      <c r="G208" s="495"/>
      <c r="H208" s="495"/>
      <c r="I208" s="495"/>
      <c r="J208" s="495"/>
      <c r="K208" s="495"/>
      <c r="L208" s="495"/>
      <c r="M208" s="495"/>
    </row>
    <row r="209" spans="1:13" ht="12.75">
      <c r="A209" s="495"/>
      <c r="B209" s="495"/>
      <c r="C209" s="495"/>
      <c r="D209" s="495"/>
      <c r="E209" s="495"/>
      <c r="F209" s="495"/>
      <c r="G209" s="495"/>
      <c r="H209" s="495"/>
      <c r="I209" s="495"/>
      <c r="J209" s="495"/>
      <c r="K209" s="495"/>
      <c r="L209" s="495"/>
      <c r="M209" s="495"/>
    </row>
    <row r="210" spans="1:13" ht="12.75">
      <c r="A210" s="495"/>
      <c r="B210" s="495"/>
      <c r="C210" s="495"/>
      <c r="D210" s="495"/>
      <c r="E210" s="495"/>
      <c r="F210" s="495"/>
      <c r="G210" s="495"/>
      <c r="H210" s="495"/>
      <c r="I210" s="495"/>
      <c r="J210" s="495"/>
      <c r="K210" s="495"/>
      <c r="L210" s="495"/>
      <c r="M210" s="495"/>
    </row>
    <row r="211" spans="1:13" ht="12.75">
      <c r="A211" s="495"/>
      <c r="B211" s="495"/>
      <c r="C211" s="495"/>
      <c r="D211" s="495"/>
      <c r="E211" s="495"/>
      <c r="F211" s="495"/>
      <c r="G211" s="495"/>
      <c r="H211" s="495"/>
      <c r="I211" s="495"/>
      <c r="J211" s="495"/>
      <c r="K211" s="495"/>
      <c r="L211" s="495"/>
      <c r="M211" s="495"/>
    </row>
    <row r="212" spans="1:13" ht="12.75">
      <c r="A212" s="495"/>
      <c r="B212" s="495"/>
      <c r="C212" s="495"/>
      <c r="D212" s="495"/>
      <c r="E212" s="495"/>
      <c r="F212" s="495"/>
      <c r="G212" s="495"/>
      <c r="H212" s="495"/>
      <c r="I212" s="495"/>
      <c r="J212" s="495"/>
      <c r="K212" s="495"/>
      <c r="L212" s="495"/>
      <c r="M212" s="495"/>
    </row>
    <row r="213" spans="1:13" ht="12.75">
      <c r="A213" s="495"/>
      <c r="B213" s="495"/>
      <c r="C213" s="495"/>
      <c r="D213" s="495"/>
      <c r="E213" s="495"/>
      <c r="F213" s="495"/>
      <c r="G213" s="495"/>
      <c r="H213" s="495"/>
      <c r="I213" s="495"/>
      <c r="J213" s="495"/>
      <c r="K213" s="495"/>
      <c r="L213" s="495"/>
      <c r="M213" s="495"/>
    </row>
    <row r="214" spans="1:13" ht="12.75">
      <c r="A214" s="495"/>
      <c r="B214" s="495"/>
      <c r="C214" s="495"/>
      <c r="D214" s="495"/>
      <c r="E214" s="495"/>
      <c r="F214" s="495"/>
      <c r="G214" s="495"/>
      <c r="H214" s="495"/>
      <c r="I214" s="495"/>
      <c r="J214" s="495"/>
      <c r="K214" s="495"/>
      <c r="L214" s="495"/>
      <c r="M214" s="495"/>
    </row>
    <row r="215" spans="1:13" ht="12.75">
      <c r="A215" s="495"/>
      <c r="B215" s="495"/>
      <c r="C215" s="495"/>
      <c r="D215" s="495"/>
      <c r="E215" s="495"/>
      <c r="F215" s="495"/>
      <c r="G215" s="495"/>
      <c r="H215" s="495"/>
      <c r="I215" s="495"/>
      <c r="J215" s="495"/>
      <c r="K215" s="495"/>
      <c r="L215" s="495"/>
      <c r="M215" s="495"/>
    </row>
    <row r="216" spans="1:13" ht="12.75">
      <c r="A216" s="495"/>
      <c r="B216" s="495"/>
      <c r="C216" s="495"/>
      <c r="D216" s="495"/>
      <c r="E216" s="495"/>
      <c r="F216" s="495"/>
      <c r="G216" s="495"/>
      <c r="H216" s="495"/>
      <c r="I216" s="495"/>
      <c r="J216" s="495"/>
      <c r="K216" s="495"/>
      <c r="L216" s="495"/>
      <c r="M216" s="495"/>
    </row>
    <row r="217" spans="1:13" ht="12.75">
      <c r="A217" s="495"/>
      <c r="B217" s="495"/>
      <c r="C217" s="495"/>
      <c r="D217" s="495"/>
      <c r="E217" s="495"/>
      <c r="F217" s="495"/>
      <c r="G217" s="495"/>
      <c r="H217" s="495"/>
      <c r="I217" s="495"/>
      <c r="J217" s="495"/>
      <c r="K217" s="495"/>
      <c r="L217" s="495"/>
      <c r="M217" s="495"/>
    </row>
    <row r="218" spans="1:13" ht="12.75">
      <c r="A218" s="495"/>
      <c r="B218" s="495"/>
      <c r="C218" s="495"/>
      <c r="D218" s="495"/>
      <c r="E218" s="495"/>
      <c r="F218" s="495"/>
      <c r="G218" s="495"/>
      <c r="H218" s="495"/>
      <c r="I218" s="495"/>
      <c r="J218" s="495"/>
      <c r="K218" s="495"/>
      <c r="L218" s="495"/>
      <c r="M218" s="495"/>
    </row>
    <row r="219" spans="1:13" ht="12.75">
      <c r="A219" s="495"/>
      <c r="B219" s="495"/>
      <c r="C219" s="495"/>
      <c r="D219" s="495"/>
      <c r="E219" s="495"/>
      <c r="F219" s="495"/>
      <c r="G219" s="495"/>
      <c r="H219" s="495"/>
      <c r="I219" s="495"/>
      <c r="J219" s="495"/>
      <c r="K219" s="495"/>
      <c r="L219" s="495"/>
      <c r="M219" s="495"/>
    </row>
    <row r="220" spans="1:13" ht="12.75">
      <c r="A220" s="495"/>
      <c r="B220" s="495"/>
      <c r="C220" s="495"/>
      <c r="D220" s="495"/>
      <c r="E220" s="495"/>
      <c r="F220" s="495"/>
      <c r="G220" s="495"/>
      <c r="H220" s="495"/>
      <c r="I220" s="495"/>
      <c r="J220" s="495"/>
      <c r="K220" s="495"/>
      <c r="L220" s="495"/>
      <c r="M220" s="495"/>
    </row>
    <row r="221" spans="1:13" ht="12.75">
      <c r="A221" s="495"/>
      <c r="B221" s="495"/>
      <c r="C221" s="495"/>
      <c r="D221" s="495"/>
      <c r="E221" s="495"/>
      <c r="F221" s="495"/>
      <c r="G221" s="495"/>
      <c r="H221" s="495"/>
      <c r="I221" s="495"/>
      <c r="J221" s="495"/>
      <c r="K221" s="495"/>
      <c r="L221" s="495"/>
      <c r="M221" s="495"/>
    </row>
    <row r="222" spans="1:13" ht="12.75">
      <c r="A222" s="495"/>
      <c r="B222" s="495"/>
      <c r="C222" s="495"/>
      <c r="D222" s="495"/>
      <c r="E222" s="495"/>
      <c r="F222" s="495"/>
      <c r="G222" s="495"/>
      <c r="H222" s="495"/>
      <c r="I222" s="495"/>
      <c r="J222" s="495"/>
      <c r="K222" s="495"/>
      <c r="L222" s="495"/>
      <c r="M222" s="495"/>
    </row>
    <row r="223" spans="1:13" ht="12.75">
      <c r="A223" s="495"/>
      <c r="B223" s="495"/>
      <c r="C223" s="495"/>
      <c r="D223" s="495"/>
      <c r="E223" s="495"/>
      <c r="F223" s="495"/>
      <c r="G223" s="495"/>
      <c r="H223" s="495"/>
      <c r="I223" s="495"/>
      <c r="J223" s="495"/>
      <c r="K223" s="495"/>
      <c r="L223" s="495"/>
      <c r="M223" s="495"/>
    </row>
    <row r="224" spans="1:13" ht="12.75">
      <c r="A224" s="495"/>
      <c r="B224" s="495"/>
      <c r="C224" s="495"/>
      <c r="D224" s="495"/>
      <c r="E224" s="495"/>
      <c r="F224" s="495"/>
      <c r="G224" s="495"/>
      <c r="H224" s="495"/>
      <c r="I224" s="495"/>
      <c r="J224" s="495"/>
      <c r="K224" s="495"/>
      <c r="L224" s="495"/>
      <c r="M224" s="495"/>
    </row>
    <row r="225" spans="1:13" ht="12.75">
      <c r="A225" s="495"/>
      <c r="B225" s="495"/>
      <c r="C225" s="495"/>
      <c r="D225" s="495"/>
      <c r="E225" s="495"/>
      <c r="F225" s="495"/>
      <c r="G225" s="495"/>
      <c r="H225" s="495"/>
      <c r="I225" s="495"/>
      <c r="J225" s="495"/>
      <c r="K225" s="495"/>
      <c r="L225" s="495"/>
      <c r="M225" s="495"/>
    </row>
    <row r="226" spans="1:13" ht="12.75">
      <c r="A226" s="495"/>
      <c r="B226" s="495"/>
      <c r="C226" s="495"/>
      <c r="D226" s="495"/>
      <c r="E226" s="495"/>
      <c r="F226" s="495"/>
      <c r="G226" s="495"/>
      <c r="H226" s="495"/>
      <c r="I226" s="495"/>
      <c r="J226" s="495"/>
      <c r="K226" s="495"/>
      <c r="L226" s="495"/>
      <c r="M226" s="495"/>
    </row>
    <row r="227" spans="1:13" ht="12.75">
      <c r="A227" s="495"/>
      <c r="B227" s="495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495"/>
    </row>
    <row r="228" spans="1:13" ht="12.75">
      <c r="A228" s="495"/>
      <c r="B228" s="495"/>
      <c r="C228" s="495"/>
      <c r="D228" s="495"/>
      <c r="E228" s="495"/>
      <c r="F228" s="495"/>
      <c r="G228" s="495"/>
      <c r="H228" s="495"/>
      <c r="I228" s="495"/>
      <c r="J228" s="495"/>
      <c r="K228" s="495"/>
      <c r="L228" s="495"/>
      <c r="M228" s="495"/>
    </row>
    <row r="229" spans="1:13" ht="12.75">
      <c r="A229" s="495"/>
      <c r="B229" s="495"/>
      <c r="C229" s="495"/>
      <c r="D229" s="495"/>
      <c r="E229" s="495"/>
      <c r="F229" s="495"/>
      <c r="G229" s="495"/>
      <c r="H229" s="495"/>
      <c r="I229" s="495"/>
      <c r="J229" s="495"/>
      <c r="K229" s="495"/>
      <c r="L229" s="495"/>
      <c r="M229" s="495"/>
    </row>
    <row r="230" spans="1:13" ht="12.75">
      <c r="A230" s="495"/>
      <c r="B230" s="495"/>
      <c r="C230" s="495"/>
      <c r="D230" s="495"/>
      <c r="E230" s="495"/>
      <c r="F230" s="495"/>
      <c r="G230" s="495"/>
      <c r="H230" s="495"/>
      <c r="I230" s="495"/>
      <c r="J230" s="495"/>
      <c r="K230" s="495"/>
      <c r="L230" s="495"/>
      <c r="M230" s="495"/>
    </row>
    <row r="231" spans="1:13" ht="12.75">
      <c r="A231" s="495"/>
      <c r="B231" s="495"/>
      <c r="C231" s="495"/>
      <c r="D231" s="495"/>
      <c r="E231" s="495"/>
      <c r="F231" s="495"/>
      <c r="G231" s="495"/>
      <c r="H231" s="495"/>
      <c r="I231" s="495"/>
      <c r="J231" s="495"/>
      <c r="K231" s="495"/>
      <c r="L231" s="495"/>
      <c r="M231" s="495"/>
    </row>
    <row r="232" spans="1:13" ht="12.75">
      <c r="A232" s="495"/>
      <c r="B232" s="495"/>
      <c r="C232" s="495"/>
      <c r="D232" s="495"/>
      <c r="E232" s="495"/>
      <c r="F232" s="495"/>
      <c r="G232" s="495"/>
      <c r="H232" s="495"/>
      <c r="I232" s="495"/>
      <c r="J232" s="495"/>
      <c r="K232" s="495"/>
      <c r="L232" s="495"/>
      <c r="M232" s="495"/>
    </row>
    <row r="233" spans="1:13" ht="12.75">
      <c r="A233" s="495"/>
      <c r="B233" s="495"/>
      <c r="C233" s="495"/>
      <c r="D233" s="495"/>
      <c r="E233" s="495"/>
      <c r="F233" s="495"/>
      <c r="G233" s="495"/>
      <c r="H233" s="495"/>
      <c r="I233" s="495"/>
      <c r="J233" s="495"/>
      <c r="K233" s="495"/>
      <c r="L233" s="495"/>
      <c r="M233" s="495"/>
    </row>
    <row r="234" spans="1:13" ht="12.75">
      <c r="A234" s="495"/>
      <c r="B234" s="495"/>
      <c r="C234" s="495"/>
      <c r="D234" s="495"/>
      <c r="E234" s="495"/>
      <c r="F234" s="495"/>
      <c r="G234" s="495"/>
      <c r="H234" s="495"/>
      <c r="I234" s="495"/>
      <c r="J234" s="495"/>
      <c r="K234" s="495"/>
      <c r="L234" s="495"/>
      <c r="M234" s="495"/>
    </row>
    <row r="235" spans="1:13" ht="12.75">
      <c r="A235" s="495"/>
      <c r="B235" s="495"/>
      <c r="C235" s="495"/>
      <c r="D235" s="495"/>
      <c r="E235" s="495"/>
      <c r="F235" s="495"/>
      <c r="G235" s="495"/>
      <c r="H235" s="495"/>
      <c r="I235" s="495"/>
      <c r="J235" s="495"/>
      <c r="K235" s="495"/>
      <c r="L235" s="495"/>
      <c r="M235" s="495"/>
    </row>
    <row r="236" spans="1:13" ht="12.75">
      <c r="A236" s="495"/>
      <c r="B236" s="495"/>
      <c r="C236" s="495"/>
      <c r="D236" s="495"/>
      <c r="E236" s="495"/>
      <c r="F236" s="495"/>
      <c r="G236" s="495"/>
      <c r="H236" s="495"/>
      <c r="I236" s="495"/>
      <c r="J236" s="495"/>
      <c r="K236" s="495"/>
      <c r="L236" s="495"/>
      <c r="M236" s="495"/>
    </row>
    <row r="237" spans="1:13" ht="12.75">
      <c r="A237" s="495"/>
      <c r="B237" s="495"/>
      <c r="C237" s="495"/>
      <c r="D237" s="495"/>
      <c r="E237" s="495"/>
      <c r="F237" s="495"/>
      <c r="G237" s="495"/>
      <c r="H237" s="495"/>
      <c r="I237" s="495"/>
      <c r="J237" s="495"/>
      <c r="K237" s="495"/>
      <c r="L237" s="495"/>
      <c r="M237" s="495"/>
    </row>
    <row r="238" spans="1:13" ht="12.75">
      <c r="A238" s="495"/>
      <c r="B238" s="495"/>
      <c r="C238" s="495"/>
      <c r="D238" s="495"/>
      <c r="E238" s="495"/>
      <c r="F238" s="495"/>
      <c r="G238" s="495"/>
      <c r="H238" s="495"/>
      <c r="I238" s="495"/>
      <c r="J238" s="495"/>
      <c r="K238" s="495"/>
      <c r="L238" s="495"/>
      <c r="M238" s="495"/>
    </row>
    <row r="239" spans="1:13" ht="12.75">
      <c r="A239" s="495"/>
      <c r="B239" s="495"/>
      <c r="C239" s="495"/>
      <c r="D239" s="495"/>
      <c r="E239" s="495"/>
      <c r="F239" s="495"/>
      <c r="G239" s="495"/>
      <c r="H239" s="495"/>
      <c r="I239" s="495"/>
      <c r="J239" s="495"/>
      <c r="K239" s="495"/>
      <c r="L239" s="495"/>
      <c r="M239" s="495"/>
    </row>
    <row r="240" spans="1:13" ht="12.75">
      <c r="A240" s="495"/>
      <c r="B240" s="495"/>
      <c r="C240" s="495"/>
      <c r="D240" s="495"/>
      <c r="E240" s="495"/>
      <c r="F240" s="495"/>
      <c r="G240" s="495"/>
      <c r="H240" s="495"/>
      <c r="I240" s="495"/>
      <c r="J240" s="495"/>
      <c r="K240" s="495"/>
      <c r="L240" s="495"/>
      <c r="M240" s="495"/>
    </row>
    <row r="241" spans="1:13" ht="12.75">
      <c r="A241" s="495"/>
      <c r="B241" s="495"/>
      <c r="C241" s="495"/>
      <c r="D241" s="495"/>
      <c r="E241" s="495"/>
      <c r="F241" s="495"/>
      <c r="G241" s="495"/>
      <c r="H241" s="495"/>
      <c r="I241" s="495"/>
      <c r="J241" s="495"/>
      <c r="K241" s="495"/>
      <c r="L241" s="495"/>
      <c r="M241" s="495"/>
    </row>
    <row r="242" spans="1:13" ht="12.75">
      <c r="A242" s="495"/>
      <c r="B242" s="495"/>
      <c r="C242" s="495"/>
      <c r="D242" s="495"/>
      <c r="E242" s="495"/>
      <c r="F242" s="495"/>
      <c r="G242" s="495"/>
      <c r="H242" s="495"/>
      <c r="I242" s="495"/>
      <c r="J242" s="495"/>
      <c r="K242" s="495"/>
      <c r="L242" s="495"/>
      <c r="M242" s="495"/>
    </row>
    <row r="243" spans="1:13" ht="12.75">
      <c r="A243" s="495"/>
      <c r="B243" s="495"/>
      <c r="C243" s="495"/>
      <c r="D243" s="495"/>
      <c r="E243" s="495"/>
      <c r="F243" s="495"/>
      <c r="G243" s="495"/>
      <c r="H243" s="495"/>
      <c r="I243" s="495"/>
      <c r="J243" s="495"/>
      <c r="K243" s="495"/>
      <c r="L243" s="495"/>
      <c r="M243" s="495"/>
    </row>
    <row r="244" spans="1:13" ht="12.75">
      <c r="A244" s="495"/>
      <c r="B244" s="495"/>
      <c r="C244" s="495"/>
      <c r="D244" s="495"/>
      <c r="E244" s="495"/>
      <c r="F244" s="495"/>
      <c r="G244" s="495"/>
      <c r="H244" s="495"/>
      <c r="I244" s="495"/>
      <c r="J244" s="495"/>
      <c r="K244" s="495"/>
      <c r="L244" s="495"/>
      <c r="M244" s="495"/>
    </row>
    <row r="245" spans="1:13" ht="12.75">
      <c r="A245" s="495"/>
      <c r="B245" s="495"/>
      <c r="C245" s="495"/>
      <c r="D245" s="495"/>
      <c r="E245" s="495"/>
      <c r="F245" s="495"/>
      <c r="G245" s="495"/>
      <c r="H245" s="495"/>
      <c r="I245" s="495"/>
      <c r="J245" s="495"/>
      <c r="K245" s="495"/>
      <c r="L245" s="495"/>
      <c r="M245" s="495"/>
    </row>
    <row r="246" spans="1:13" ht="12.75">
      <c r="A246" s="495"/>
      <c r="B246" s="495"/>
      <c r="C246" s="495"/>
      <c r="D246" s="495"/>
      <c r="E246" s="495"/>
      <c r="F246" s="495"/>
      <c r="G246" s="495"/>
      <c r="H246" s="495"/>
      <c r="I246" s="495"/>
      <c r="J246" s="495"/>
      <c r="K246" s="495"/>
      <c r="L246" s="495"/>
      <c r="M246" s="495"/>
    </row>
    <row r="247" spans="1:13" ht="12.75">
      <c r="A247" s="495"/>
      <c r="B247" s="495"/>
      <c r="C247" s="495"/>
      <c r="D247" s="495"/>
      <c r="E247" s="495"/>
      <c r="F247" s="495"/>
      <c r="G247" s="495"/>
      <c r="H247" s="495"/>
      <c r="I247" s="495"/>
      <c r="J247" s="495"/>
      <c r="K247" s="495"/>
      <c r="L247" s="495"/>
      <c r="M247" s="495"/>
    </row>
    <row r="248" spans="1:13" ht="12.75">
      <c r="A248" s="495"/>
      <c r="B248" s="495"/>
      <c r="C248" s="495"/>
      <c r="D248" s="495"/>
      <c r="E248" s="495"/>
      <c r="F248" s="495"/>
      <c r="G248" s="495"/>
      <c r="H248" s="495"/>
      <c r="I248" s="495"/>
      <c r="J248" s="495"/>
      <c r="K248" s="495"/>
      <c r="L248" s="495"/>
      <c r="M248" s="495"/>
    </row>
    <row r="249" spans="1:13" ht="12.75">
      <c r="A249" s="495"/>
      <c r="B249" s="495"/>
      <c r="C249" s="495"/>
      <c r="D249" s="495"/>
      <c r="E249" s="495"/>
      <c r="F249" s="495"/>
      <c r="G249" s="495"/>
      <c r="H249" s="495"/>
      <c r="I249" s="495"/>
      <c r="J249" s="495"/>
      <c r="K249" s="495"/>
      <c r="L249" s="495"/>
      <c r="M249" s="495"/>
    </row>
    <row r="250" spans="1:13" ht="12.75">
      <c r="A250" s="495"/>
      <c r="B250" s="495"/>
      <c r="C250" s="495"/>
      <c r="D250" s="495"/>
      <c r="E250" s="495"/>
      <c r="F250" s="495"/>
      <c r="G250" s="495"/>
      <c r="H250" s="495"/>
      <c r="I250" s="495"/>
      <c r="J250" s="495"/>
      <c r="K250" s="495"/>
      <c r="L250" s="495"/>
      <c r="M250" s="495"/>
    </row>
    <row r="251" spans="1:13" ht="12.75">
      <c r="A251" s="495"/>
      <c r="B251" s="495"/>
      <c r="C251" s="495"/>
      <c r="D251" s="495"/>
      <c r="E251" s="495"/>
      <c r="F251" s="495"/>
      <c r="G251" s="495"/>
      <c r="H251" s="495"/>
      <c r="I251" s="495"/>
      <c r="J251" s="495"/>
      <c r="K251" s="495"/>
      <c r="L251" s="495"/>
      <c r="M251" s="495"/>
    </row>
  </sheetData>
  <sheetProtection/>
  <mergeCells count="4">
    <mergeCell ref="A1:L1"/>
    <mergeCell ref="A2:L2"/>
    <mergeCell ref="A3:L3"/>
    <mergeCell ref="A4:L4"/>
  </mergeCells>
  <printOptions horizontalCentered="1" verticalCentered="1"/>
  <pageMargins left="0.2362204724409449" right="0.1968503937007874" top="0.1968503937007874" bottom="0.1968503937007874" header="0" footer="0"/>
  <pageSetup horizontalDpi="300" verticalDpi="300" orientation="portrait" scale="4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3">
      <selection activeCell="A9" sqref="A9"/>
    </sheetView>
  </sheetViews>
  <sheetFormatPr defaultColWidth="11.421875" defaultRowHeight="12.75"/>
  <cols>
    <col min="1" max="1" width="57.57421875" style="0" bestFit="1" customWidth="1"/>
    <col min="2" max="2" width="16.140625" style="0" bestFit="1" customWidth="1"/>
    <col min="3" max="3" width="14.8515625" style="0" bestFit="1" customWidth="1"/>
    <col min="4" max="4" width="13.8515625" style="0" bestFit="1" customWidth="1"/>
  </cols>
  <sheetData>
    <row r="1" spans="1:3" ht="15.75">
      <c r="A1" s="685" t="s">
        <v>439</v>
      </c>
      <c r="B1" s="685"/>
      <c r="C1" s="685"/>
    </row>
    <row r="2" spans="1:3" ht="12.75">
      <c r="A2" s="491"/>
      <c r="B2" s="491"/>
      <c r="C2" s="491"/>
    </row>
    <row r="3" spans="1:3" ht="12.75">
      <c r="A3" s="652" t="s">
        <v>425</v>
      </c>
      <c r="B3" s="652" t="s">
        <v>440</v>
      </c>
      <c r="C3" s="652" t="s">
        <v>426</v>
      </c>
    </row>
    <row r="4" spans="1:3" ht="12.75">
      <c r="A4" s="653"/>
      <c r="B4" s="653"/>
      <c r="C4" s="653"/>
    </row>
    <row r="5" spans="1:3" ht="12.75">
      <c r="A5" s="654" t="s">
        <v>271</v>
      </c>
      <c r="B5" s="653"/>
      <c r="C5" s="655">
        <f>SUM(B7:B11)</f>
        <v>11146517681.81</v>
      </c>
    </row>
    <row r="6" spans="1:3" ht="12.75">
      <c r="A6" s="654" t="s">
        <v>255</v>
      </c>
      <c r="B6" s="656"/>
      <c r="C6" s="653"/>
    </row>
    <row r="7" spans="1:3" ht="12.75">
      <c r="A7" s="653" t="s">
        <v>427</v>
      </c>
      <c r="B7" s="657">
        <f>+ingresos!Z14</f>
        <v>7333750587.13</v>
      </c>
      <c r="C7" s="653"/>
    </row>
    <row r="8" spans="1:3" ht="12.75">
      <c r="A8" s="653" t="s">
        <v>428</v>
      </c>
      <c r="B8" s="657">
        <f>+ingresos!Z15</f>
        <v>2444566816.37</v>
      </c>
      <c r="C8" s="653"/>
    </row>
    <row r="9" spans="1:3" ht="12.75">
      <c r="A9" s="653" t="s">
        <v>429</v>
      </c>
      <c r="B9" s="657">
        <f>+ingresos!Z18</f>
        <v>71352130.98</v>
      </c>
      <c r="C9" s="653"/>
    </row>
    <row r="10" spans="1:3" ht="12.75">
      <c r="A10" s="653" t="s">
        <v>430</v>
      </c>
      <c r="B10" s="657">
        <f>+ingresos!Z19</f>
        <v>23798426.33</v>
      </c>
      <c r="C10" s="653"/>
    </row>
    <row r="11" spans="1:3" ht="12.75">
      <c r="A11" s="653" t="s">
        <v>431</v>
      </c>
      <c r="B11" s="657">
        <f>+ingresos!Z21</f>
        <v>1273049721</v>
      </c>
      <c r="C11" s="653"/>
    </row>
    <row r="12" spans="1:3" ht="12.75">
      <c r="A12" s="653"/>
      <c r="B12" s="653"/>
      <c r="C12" s="656"/>
    </row>
    <row r="13" spans="1:3" ht="12.75">
      <c r="A13" s="654" t="s">
        <v>261</v>
      </c>
      <c r="B13" s="653"/>
      <c r="C13" s="655">
        <f>SUM(B14:B21)</f>
        <v>5645274727.33</v>
      </c>
    </row>
    <row r="14" spans="1:3" ht="12.75">
      <c r="A14" s="653" t="s">
        <v>263</v>
      </c>
      <c r="B14" s="657">
        <f>+ingresos!Z28</f>
        <v>27245434.78</v>
      </c>
      <c r="C14" s="655"/>
    </row>
    <row r="15" spans="1:3" ht="12.75">
      <c r="A15" s="653" t="s">
        <v>264</v>
      </c>
      <c r="B15" s="657">
        <f>+ingresos!Z29</f>
        <v>3046255.75</v>
      </c>
      <c r="C15" s="655"/>
    </row>
    <row r="16" spans="1:3" ht="12.75">
      <c r="A16" s="653" t="s">
        <v>266</v>
      </c>
      <c r="B16" s="657">
        <f>+ingresos!Z32</f>
        <v>3846489471</v>
      </c>
      <c r="C16" s="655"/>
    </row>
    <row r="17" spans="1:3" ht="12.75">
      <c r="A17" s="653" t="s">
        <v>267</v>
      </c>
      <c r="B17" s="657">
        <f>+ingresos!Z33</f>
        <v>7846142</v>
      </c>
      <c r="C17" s="655"/>
    </row>
    <row r="18" spans="1:3" ht="12.75">
      <c r="A18" s="653" t="s">
        <v>268</v>
      </c>
      <c r="B18" s="657">
        <f>+ingresos!Z34</f>
        <v>11488771</v>
      </c>
      <c r="C18" s="655"/>
    </row>
    <row r="19" spans="1:3" ht="12.75">
      <c r="A19" s="653" t="s">
        <v>269</v>
      </c>
      <c r="B19" s="657">
        <f>+ingresos!Z35</f>
        <v>153400357</v>
      </c>
      <c r="C19" s="655"/>
    </row>
    <row r="20" spans="1:3" ht="12.75">
      <c r="A20" s="653" t="s">
        <v>270</v>
      </c>
      <c r="B20" s="657">
        <f>+ingresos!Z36</f>
        <v>1541748295.8</v>
      </c>
      <c r="C20" s="655"/>
    </row>
    <row r="21" spans="1:3" ht="12.75">
      <c r="A21" s="653" t="s">
        <v>432</v>
      </c>
      <c r="B21" s="657">
        <f>+ingresos!Z37</f>
        <v>54010000</v>
      </c>
      <c r="C21" s="655"/>
    </row>
    <row r="22" spans="1:3" ht="12.75">
      <c r="A22" s="653"/>
      <c r="B22" s="653"/>
      <c r="C22" s="653"/>
    </row>
    <row r="23" spans="1:3" ht="12.75">
      <c r="A23" s="654" t="s">
        <v>433</v>
      </c>
      <c r="B23" s="653"/>
      <c r="C23" s="655">
        <f>SUM(B24:B27)</f>
        <v>13635676662.16</v>
      </c>
    </row>
    <row r="24" spans="1:3" ht="12.75">
      <c r="A24" s="653" t="s">
        <v>434</v>
      </c>
      <c r="B24" s="657">
        <f>+'Anexo 2 x Areas'!I20</f>
        <v>2413966092</v>
      </c>
      <c r="C24" s="653"/>
    </row>
    <row r="25" spans="1:3" ht="12.75">
      <c r="A25" s="653" t="s">
        <v>435</v>
      </c>
      <c r="B25" s="657">
        <f>+'Anexo 2 x Areas'!I36</f>
        <v>801874666.81</v>
      </c>
      <c r="C25" s="653"/>
    </row>
    <row r="26" spans="1:4" ht="12.75">
      <c r="A26" s="653" t="s">
        <v>436</v>
      </c>
      <c r="B26" s="657">
        <f>+'Anexo 2 x Areas'!I164</f>
        <v>974589656.5</v>
      </c>
      <c r="C26" s="653"/>
      <c r="D26" s="639"/>
    </row>
    <row r="27" spans="1:3" ht="12.75">
      <c r="A27" s="653" t="s">
        <v>437</v>
      </c>
      <c r="B27" s="657">
        <f>+'Anexo 2 x Areas'!I166+'Anexo 2 x Areas'!I136+'Anexo 2 x Areas'!I109+'Anexo 2 x Areas'!I69+'Anexo 2 x Areas'!I41</f>
        <v>9445246246.85</v>
      </c>
      <c r="C27" s="653"/>
    </row>
    <row r="28" spans="1:3" ht="12.75">
      <c r="A28" s="686" t="s">
        <v>442</v>
      </c>
      <c r="B28" s="688"/>
      <c r="C28" s="690">
        <f>+C5+C13-C23</f>
        <v>3156115746.9799995</v>
      </c>
    </row>
    <row r="29" spans="1:3" ht="12.75">
      <c r="A29" s="687"/>
      <c r="B29" s="689"/>
      <c r="C29" s="691"/>
    </row>
    <row r="30" spans="1:3" ht="12.75">
      <c r="A30" s="529"/>
      <c r="B30" s="529"/>
      <c r="C30" s="529"/>
    </row>
    <row r="31" spans="1:3" ht="15.75">
      <c r="A31" s="685" t="s">
        <v>441</v>
      </c>
      <c r="B31" s="685"/>
      <c r="C31" s="529"/>
    </row>
    <row r="32" spans="1:3" ht="12.75">
      <c r="A32" s="652" t="s">
        <v>425</v>
      </c>
      <c r="B32" s="652" t="s">
        <v>440</v>
      </c>
      <c r="C32" s="652" t="s">
        <v>426</v>
      </c>
    </row>
    <row r="33" spans="1:3" ht="12.75">
      <c r="A33" s="653"/>
      <c r="B33" s="653"/>
      <c r="C33" s="653"/>
    </row>
    <row r="34" spans="1:3" ht="12.75">
      <c r="A34" s="654" t="s">
        <v>271</v>
      </c>
      <c r="B34" s="653"/>
      <c r="C34" s="655">
        <f>SUM(B36:B38)</f>
        <v>3319602561.7</v>
      </c>
    </row>
    <row r="35" spans="1:3" ht="12.75">
      <c r="A35" s="654" t="s">
        <v>255</v>
      </c>
      <c r="B35" s="653"/>
      <c r="C35" s="653"/>
    </row>
    <row r="36" spans="1:3" ht="12.75">
      <c r="A36" s="653" t="s">
        <v>428</v>
      </c>
      <c r="B36" s="656">
        <f>+ingresos!Z15</f>
        <v>2444566816.37</v>
      </c>
      <c r="C36" s="653"/>
    </row>
    <row r="37" spans="1:3" ht="12.75">
      <c r="A37" s="653" t="s">
        <v>431</v>
      </c>
      <c r="B37" s="657">
        <f>+ingresos!Z23</f>
        <v>851237319</v>
      </c>
      <c r="C37" s="653"/>
    </row>
    <row r="38" spans="1:3" ht="12.75">
      <c r="A38" s="653" t="s">
        <v>430</v>
      </c>
      <c r="B38" s="656">
        <f>+ingresos!Z19</f>
        <v>23798426.33</v>
      </c>
      <c r="C38" s="656"/>
    </row>
    <row r="39" spans="1:3" ht="12.75">
      <c r="A39" s="653"/>
      <c r="B39" s="653"/>
      <c r="C39" s="656"/>
    </row>
    <row r="40" spans="1:3" ht="12.75">
      <c r="A40" s="654" t="s">
        <v>261</v>
      </c>
      <c r="B40" s="653"/>
      <c r="C40" s="658">
        <f>SUM(B41:B44)</f>
        <v>3915034497.75</v>
      </c>
    </row>
    <row r="41" spans="1:3" ht="12.75">
      <c r="A41" s="653" t="s">
        <v>264</v>
      </c>
      <c r="B41" s="656">
        <f>+ingresos!Z29</f>
        <v>3046255.75</v>
      </c>
      <c r="C41" s="658"/>
    </row>
    <row r="42" spans="1:3" ht="12.75">
      <c r="A42" s="653" t="s">
        <v>266</v>
      </c>
      <c r="B42" s="656">
        <f>+ingresos!Z32</f>
        <v>3846489471</v>
      </c>
      <c r="C42" s="658"/>
    </row>
    <row r="43" spans="1:3" ht="12.75">
      <c r="A43" s="653" t="s">
        <v>268</v>
      </c>
      <c r="B43" s="656">
        <f>+ingresos!Z34</f>
        <v>11488771</v>
      </c>
      <c r="C43" s="658"/>
    </row>
    <row r="44" spans="1:3" ht="12.75">
      <c r="A44" s="653" t="s">
        <v>432</v>
      </c>
      <c r="B44" s="656">
        <f>+ingresos!Z37</f>
        <v>54010000</v>
      </c>
      <c r="C44" s="658"/>
    </row>
    <row r="45" spans="1:3" ht="12.75">
      <c r="A45" s="653"/>
      <c r="B45" s="653"/>
      <c r="C45" s="653"/>
    </row>
    <row r="46" spans="1:3" ht="12.75">
      <c r="A46" s="654" t="s">
        <v>433</v>
      </c>
      <c r="B46" s="653"/>
      <c r="C46" s="655">
        <f>SUM(B47:B50)</f>
        <v>5902012509.2699995</v>
      </c>
    </row>
    <row r="47" spans="1:4" ht="12.75">
      <c r="A47" s="653" t="s">
        <v>434</v>
      </c>
      <c r="B47" s="657">
        <f>+'Anexo 2 x Areas'!E20</f>
        <v>847096905</v>
      </c>
      <c r="C47" s="655"/>
      <c r="D47" s="639"/>
    </row>
    <row r="48" spans="1:3" ht="12.75">
      <c r="A48" s="653" t="s">
        <v>435</v>
      </c>
      <c r="B48" s="657">
        <f>+'Anexo 2 x Areas'!E36</f>
        <v>305919848.37</v>
      </c>
      <c r="C48" s="655"/>
    </row>
    <row r="49" spans="1:5" ht="12.75">
      <c r="A49" s="653" t="s">
        <v>436</v>
      </c>
      <c r="B49" s="657">
        <v>242600777</v>
      </c>
      <c r="C49" s="655"/>
      <c r="E49" s="639"/>
    </row>
    <row r="50" spans="1:3" ht="12.75">
      <c r="A50" s="653" t="s">
        <v>438</v>
      </c>
      <c r="B50" s="657">
        <f>+'Anexo 2 x Areas'!E136</f>
        <v>4506394978.9</v>
      </c>
      <c r="C50" s="653"/>
    </row>
    <row r="51" spans="1:3" ht="12.75">
      <c r="A51" s="686" t="s">
        <v>442</v>
      </c>
      <c r="B51" s="688"/>
      <c r="C51" s="690">
        <f>+C34+C40-C46</f>
        <v>1332624550.1800003</v>
      </c>
    </row>
    <row r="52" spans="1:3" ht="12.75">
      <c r="A52" s="687"/>
      <c r="B52" s="689"/>
      <c r="C52" s="692"/>
    </row>
    <row r="53" spans="1:3" ht="12.75">
      <c r="A53" s="640"/>
      <c r="B53" s="640"/>
      <c r="C53" s="529"/>
    </row>
    <row r="54" spans="1:3" ht="12.75">
      <c r="A54" s="640"/>
      <c r="B54" s="640"/>
      <c r="C54" s="529"/>
    </row>
    <row r="55" spans="1:3" ht="15.75">
      <c r="A55" s="685" t="s">
        <v>444</v>
      </c>
      <c r="B55" s="685"/>
      <c r="C55" s="685"/>
    </row>
    <row r="56" spans="1:3" ht="12.75">
      <c r="A56" s="652" t="s">
        <v>425</v>
      </c>
      <c r="B56" s="652" t="s">
        <v>440</v>
      </c>
      <c r="C56" s="653"/>
    </row>
    <row r="57" spans="1:3" ht="12.75">
      <c r="A57" s="653"/>
      <c r="B57" s="653"/>
      <c r="C57" s="653"/>
    </row>
    <row r="58" spans="1:3" ht="12.75">
      <c r="A58" s="654" t="s">
        <v>271</v>
      </c>
      <c r="B58" s="653"/>
      <c r="C58" s="655">
        <f>SUM(B60:B62)</f>
        <v>7826915120.11</v>
      </c>
    </row>
    <row r="59" spans="1:3" ht="12.75">
      <c r="A59" s="654" t="s">
        <v>255</v>
      </c>
      <c r="B59" s="653"/>
      <c r="C59" s="653"/>
    </row>
    <row r="60" spans="1:3" ht="12.75">
      <c r="A60" s="653" t="s">
        <v>427</v>
      </c>
      <c r="B60" s="656">
        <f>+ingresos!Z14</f>
        <v>7333750587.13</v>
      </c>
      <c r="C60" s="653"/>
    </row>
    <row r="61" spans="1:3" ht="12.75">
      <c r="A61" s="653" t="s">
        <v>431</v>
      </c>
      <c r="B61" s="657">
        <f>+ingresos!Z22</f>
        <v>421812402</v>
      </c>
      <c r="C61" s="653"/>
    </row>
    <row r="62" spans="1:3" ht="12.75">
      <c r="A62" s="653" t="str">
        <f>+A9</f>
        <v>Cuota de Fomento (vigencias anteriores)</v>
      </c>
      <c r="B62" s="656">
        <f>+ingresos!Z18</f>
        <v>71352130.98</v>
      </c>
      <c r="C62" s="653"/>
    </row>
    <row r="63" spans="1:3" ht="12.75">
      <c r="A63" s="653"/>
      <c r="B63" s="653"/>
      <c r="C63" s="653"/>
    </row>
    <row r="64" spans="1:3" ht="12.75">
      <c r="A64" s="653"/>
      <c r="B64" s="653"/>
      <c r="C64" s="653"/>
    </row>
    <row r="65" spans="1:3" ht="12.75">
      <c r="A65" s="654" t="s">
        <v>261</v>
      </c>
      <c r="B65" s="653"/>
      <c r="C65" s="655">
        <f>SUM(B66:B69)</f>
        <v>1730240229.58</v>
      </c>
    </row>
    <row r="66" spans="1:3" ht="12.75">
      <c r="A66" s="653" t="str">
        <f>+A14</f>
        <v>Rendimientos Financieros FNP</v>
      </c>
      <c r="B66" s="657">
        <f>+ingresos!Z28</f>
        <v>27245434.78</v>
      </c>
      <c r="C66" s="653"/>
    </row>
    <row r="67" spans="1:3" ht="12.75">
      <c r="A67" s="653" t="str">
        <f>+A17</f>
        <v>Financieros FNP</v>
      </c>
      <c r="B67" s="657">
        <f>+ingresos!Z33</f>
        <v>7846142</v>
      </c>
      <c r="C67" s="653"/>
    </row>
    <row r="68" spans="1:3" ht="12.75">
      <c r="A68" s="653" t="str">
        <f>+A19</f>
        <v>Extraordinarios FNP</v>
      </c>
      <c r="B68" s="657">
        <f>+ingresos!Z35</f>
        <v>153400357</v>
      </c>
      <c r="C68" s="653"/>
    </row>
    <row r="69" spans="1:3" ht="12.75">
      <c r="A69" s="653" t="str">
        <f>+A20</f>
        <v>Programas y proyectos FNP</v>
      </c>
      <c r="B69" s="659">
        <f>+ingresos!Z36</f>
        <v>1541748295.8</v>
      </c>
      <c r="C69" s="653"/>
    </row>
    <row r="70" spans="1:3" ht="12.75">
      <c r="A70" s="653"/>
      <c r="B70" s="653"/>
      <c r="C70" s="653"/>
    </row>
    <row r="71" spans="1:3" ht="12.75">
      <c r="A71" s="654" t="s">
        <v>433</v>
      </c>
      <c r="B71" s="653"/>
      <c r="C71" s="655">
        <f>SUM(B72:B75)</f>
        <v>7733664153.389999</v>
      </c>
    </row>
    <row r="72" spans="1:3" ht="12.75">
      <c r="A72" s="653" t="s">
        <v>434</v>
      </c>
      <c r="B72" s="657">
        <f>+'Anexo 2 x Areas'!C20+'Anexo 2 x Areas'!D20+'Anexo 2 x Areas'!F20+'Anexo 2 x Areas'!H20</f>
        <v>1566869187</v>
      </c>
      <c r="C72" s="653"/>
    </row>
    <row r="73" spans="1:3" ht="12.75">
      <c r="A73" s="653" t="s">
        <v>435</v>
      </c>
      <c r="B73" s="657">
        <f>+'Anexo 2 x Areas'!C36+'Anexo 2 x Areas'!D36+'Anexo 2 x Areas'!F36+'Anexo 2 x Areas'!H36</f>
        <v>495954818.44000006</v>
      </c>
      <c r="C73" s="653"/>
    </row>
    <row r="74" spans="1:4" ht="12.75">
      <c r="A74" s="653" t="s">
        <v>436</v>
      </c>
      <c r="B74" s="657">
        <v>731988880</v>
      </c>
      <c r="C74" s="653"/>
      <c r="D74" s="639"/>
    </row>
    <row r="75" spans="1:3" ht="12.75">
      <c r="A75" s="653" t="s">
        <v>437</v>
      </c>
      <c r="B75" s="657">
        <f>+'Anexo 2 x Areas'!C41+'Anexo 2 x Areas'!D109+'Anexo 2 x Areas'!F69+'Anexo 2 x Areas'!D166</f>
        <v>4938851267.95</v>
      </c>
      <c r="C75" s="653"/>
    </row>
    <row r="76" spans="1:3" ht="12.75">
      <c r="A76" s="686" t="s">
        <v>442</v>
      </c>
      <c r="B76" s="688"/>
      <c r="C76" s="690">
        <f>+C58+C65-C71</f>
        <v>1823491196.2999992</v>
      </c>
    </row>
    <row r="77" spans="1:4" ht="12.75">
      <c r="A77" s="687"/>
      <c r="B77" s="689"/>
      <c r="C77" s="692"/>
      <c r="D77" s="639"/>
    </row>
    <row r="78" ht="12.75">
      <c r="D78" s="639"/>
    </row>
    <row r="79" ht="12.75">
      <c r="C79" s="639"/>
    </row>
  </sheetData>
  <sheetProtection/>
  <mergeCells count="12">
    <mergeCell ref="A55:C55"/>
    <mergeCell ref="A76:A77"/>
    <mergeCell ref="B76:B77"/>
    <mergeCell ref="C76:C77"/>
    <mergeCell ref="A1:C1"/>
    <mergeCell ref="A28:A29"/>
    <mergeCell ref="B28:B29"/>
    <mergeCell ref="C28:C29"/>
    <mergeCell ref="A31:B31"/>
    <mergeCell ref="A51:A52"/>
    <mergeCell ref="B51:B52"/>
    <mergeCell ref="C51:C5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85"/>
  <sheetViews>
    <sheetView view="pageBreakPreview" zoomScale="60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V59" sqref="V59"/>
    </sheetView>
  </sheetViews>
  <sheetFormatPr defaultColWidth="11.421875" defaultRowHeight="12.75" outlineLevelCol="1"/>
  <cols>
    <col min="1" max="1" width="35.00390625" style="51" customWidth="1"/>
    <col min="2" max="2" width="20.8515625" style="51" customWidth="1"/>
    <col min="3" max="3" width="18.7109375" style="51" hidden="1" customWidth="1" outlineLevel="1"/>
    <col min="4" max="4" width="17.7109375" style="51" hidden="1" customWidth="1" outlineLevel="1"/>
    <col min="5" max="5" width="18.57421875" style="51" hidden="1" customWidth="1" outlineLevel="1"/>
    <col min="6" max="6" width="20.140625" style="51" hidden="1" customWidth="1" outlineLevel="1"/>
    <col min="7" max="7" width="18.421875" style="51" hidden="1" customWidth="1" outlineLevel="1"/>
    <col min="8" max="8" width="16.140625" style="51" hidden="1" customWidth="1" outlineLevel="1"/>
    <col min="9" max="9" width="20.421875" style="51" customWidth="1" collapsed="1"/>
    <col min="10" max="10" width="18.7109375" style="51" hidden="1" customWidth="1" outlineLevel="1"/>
    <col min="11" max="11" width="20.140625" style="51" hidden="1" customWidth="1" outlineLevel="1"/>
    <col min="12" max="12" width="19.8515625" style="51" hidden="1" customWidth="1" outlineLevel="1"/>
    <col min="13" max="13" width="19.00390625" style="51" hidden="1" customWidth="1" outlineLevel="1"/>
    <col min="14" max="14" width="20.8515625" style="51" hidden="1" customWidth="1" collapsed="1"/>
    <col min="15" max="15" width="18.7109375" style="51" customWidth="1" outlineLevel="1"/>
    <col min="16" max="16" width="19.00390625" style="51" customWidth="1" outlineLevel="1"/>
    <col min="17" max="17" width="19.8515625" style="51" customWidth="1" outlineLevel="1"/>
    <col min="18" max="18" width="18.7109375" style="51" customWidth="1" outlineLevel="1"/>
    <col min="19" max="19" width="20.421875" style="51" customWidth="1"/>
    <col min="20" max="20" width="21.00390625" style="51" hidden="1" customWidth="1" outlineLevel="1"/>
    <col min="21" max="21" width="19.00390625" style="51" hidden="1" customWidth="1" outlineLevel="1"/>
    <col min="22" max="22" width="14.28125" style="51" customWidth="1" outlineLevel="1"/>
    <col min="23" max="23" width="27.140625" style="51" hidden="1" customWidth="1" outlineLevel="1"/>
    <col min="24" max="27" width="16.140625" style="51" hidden="1" customWidth="1"/>
    <col min="28" max="28" width="15.140625" style="60" bestFit="1" customWidth="1"/>
    <col min="29" max="29" width="13.57421875" style="60" bestFit="1" customWidth="1"/>
    <col min="30" max="16384" width="11.421875" style="51" customWidth="1"/>
  </cols>
  <sheetData>
    <row r="1" ht="16.5">
      <c r="A1" s="2" t="s">
        <v>0</v>
      </c>
    </row>
    <row r="2" ht="16.5">
      <c r="A2" s="61" t="s">
        <v>133</v>
      </c>
    </row>
    <row r="3" spans="1:24" ht="16.5">
      <c r="A3" s="61" t="s">
        <v>134</v>
      </c>
      <c r="X3" s="62"/>
    </row>
    <row r="4" ht="16.5">
      <c r="A4" s="61" t="s">
        <v>182</v>
      </c>
    </row>
    <row r="5" ht="16.5">
      <c r="A5" s="61" t="s">
        <v>416</v>
      </c>
    </row>
    <row r="6" ht="15"/>
    <row r="7" ht="15.75" thickBot="1"/>
    <row r="8" spans="1:28" ht="16.5">
      <c r="A8" s="561" t="s">
        <v>2</v>
      </c>
      <c r="B8" s="561" t="s">
        <v>3</v>
      </c>
      <c r="C8" s="694" t="s">
        <v>234</v>
      </c>
      <c r="D8" s="694" t="s">
        <v>226</v>
      </c>
      <c r="E8" s="694" t="s">
        <v>280</v>
      </c>
      <c r="F8" s="694" t="s">
        <v>292</v>
      </c>
      <c r="G8" s="694" t="s">
        <v>306</v>
      </c>
      <c r="H8" s="694"/>
      <c r="I8" s="561" t="s">
        <v>3</v>
      </c>
      <c r="J8" s="693" t="s">
        <v>5</v>
      </c>
      <c r="K8" s="693"/>
      <c r="L8" s="693"/>
      <c r="M8" s="693"/>
      <c r="N8" s="562" t="s">
        <v>5</v>
      </c>
      <c r="O8" s="693" t="s">
        <v>6</v>
      </c>
      <c r="P8" s="693"/>
      <c r="Q8" s="693"/>
      <c r="R8" s="693"/>
      <c r="S8" s="561" t="s">
        <v>7</v>
      </c>
      <c r="T8" s="561" t="s">
        <v>8</v>
      </c>
      <c r="U8" s="561" t="s">
        <v>9</v>
      </c>
      <c r="V8" s="563" t="s">
        <v>81</v>
      </c>
      <c r="W8" s="229" t="s">
        <v>10</v>
      </c>
      <c r="X8" s="230" t="s">
        <v>135</v>
      </c>
      <c r="Y8" s="230" t="s">
        <v>135</v>
      </c>
      <c r="Z8" s="230" t="s">
        <v>135</v>
      </c>
      <c r="AA8" s="230" t="s">
        <v>135</v>
      </c>
      <c r="AB8" s="60" t="s">
        <v>130</v>
      </c>
    </row>
    <row r="9" spans="1:27" ht="17.25" thickBot="1">
      <c r="A9" s="564"/>
      <c r="B9" s="565" t="s">
        <v>183</v>
      </c>
      <c r="C9" s="695"/>
      <c r="D9" s="695"/>
      <c r="E9" s="695"/>
      <c r="F9" s="695"/>
      <c r="G9" s="695"/>
      <c r="H9" s="695"/>
      <c r="I9" s="565" t="s">
        <v>83</v>
      </c>
      <c r="J9" s="565" t="s">
        <v>12</v>
      </c>
      <c r="K9" s="565" t="s">
        <v>13</v>
      </c>
      <c r="L9" s="565" t="s">
        <v>14</v>
      </c>
      <c r="M9" s="566" t="s">
        <v>15</v>
      </c>
      <c r="N9" s="567" t="s">
        <v>16</v>
      </c>
      <c r="O9" s="566" t="s">
        <v>12</v>
      </c>
      <c r="P9" s="566" t="s">
        <v>13</v>
      </c>
      <c r="Q9" s="566" t="s">
        <v>14</v>
      </c>
      <c r="R9" s="566" t="s">
        <v>15</v>
      </c>
      <c r="S9" s="565" t="s">
        <v>6</v>
      </c>
      <c r="T9" s="565" t="s">
        <v>17</v>
      </c>
      <c r="U9" s="565" t="s">
        <v>18</v>
      </c>
      <c r="V9" s="566" t="s">
        <v>19</v>
      </c>
      <c r="W9" s="231" t="s">
        <v>20</v>
      </c>
      <c r="X9" s="232" t="s">
        <v>21</v>
      </c>
      <c r="Y9" s="232" t="s">
        <v>13</v>
      </c>
      <c r="Z9" s="232" t="s">
        <v>14</v>
      </c>
      <c r="AA9" s="232" t="s">
        <v>15</v>
      </c>
    </row>
    <row r="10" spans="1:28" ht="16.5">
      <c r="A10" s="167" t="s">
        <v>22</v>
      </c>
      <c r="B10" s="164"/>
      <c r="C10" s="165"/>
      <c r="D10" s="165"/>
      <c r="E10" s="165"/>
      <c r="F10" s="165"/>
      <c r="G10" s="165"/>
      <c r="H10" s="165"/>
      <c r="I10" s="164"/>
      <c r="J10" s="37"/>
      <c r="K10" s="37"/>
      <c r="L10" s="165"/>
      <c r="M10" s="165"/>
      <c r="N10" s="165"/>
      <c r="O10" s="37"/>
      <c r="P10" s="37"/>
      <c r="Q10" s="37"/>
      <c r="R10" s="37"/>
      <c r="S10" s="37"/>
      <c r="T10" s="37"/>
      <c r="U10" s="37"/>
      <c r="V10" s="147"/>
      <c r="W10" s="166"/>
      <c r="X10" s="147"/>
      <c r="Y10" s="166"/>
      <c r="Z10" s="147"/>
      <c r="AA10" s="166"/>
      <c r="AB10" s="226"/>
    </row>
    <row r="11" spans="1:29" s="3" customFormat="1" ht="16.5">
      <c r="A11" s="168" t="s">
        <v>23</v>
      </c>
      <c r="B11" s="36"/>
      <c r="C11" s="7"/>
      <c r="D11" s="7"/>
      <c r="E11" s="7"/>
      <c r="F11" s="7"/>
      <c r="G11" s="7"/>
      <c r="H11" s="7"/>
      <c r="I11" s="3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4"/>
      <c r="W11" s="63"/>
      <c r="X11" s="64"/>
      <c r="Y11" s="63"/>
      <c r="Z11" s="64"/>
      <c r="AA11" s="63"/>
      <c r="AB11" s="227"/>
      <c r="AC11" s="65"/>
    </row>
    <row r="12" spans="1:29" s="3" customFormat="1" ht="15">
      <c r="A12" s="168" t="s">
        <v>24</v>
      </c>
      <c r="B12" s="7">
        <f>+'[13]ECO'!B11+TEC!B11+PPC!B11+MER!B11+FUN!B11</f>
        <v>1672103509</v>
      </c>
      <c r="C12" s="7"/>
      <c r="D12" s="7"/>
      <c r="E12" s="7"/>
      <c r="F12" s="7">
        <f>+ECO!F11</f>
        <v>-35145088</v>
      </c>
      <c r="G12" s="7"/>
      <c r="H12" s="7"/>
      <c r="I12" s="7">
        <f>+SUM(B12:G12)</f>
        <v>1636958421</v>
      </c>
      <c r="J12" s="7">
        <f>+ECO!M11+TEC!M11+PPC!M11+MER!M11+FUN!L11</f>
        <v>345320997</v>
      </c>
      <c r="K12" s="7">
        <f>+ECO!Q11+TEC!Q11+PPC!Q11+MER!Q11+FUN!P11</f>
        <v>402239343</v>
      </c>
      <c r="L12" s="7">
        <f>+ECO!V11+TEC!V11+PPC!V11+MER!V11+FUN!U11</f>
        <v>406093064.2119</v>
      </c>
      <c r="M12" s="7">
        <f>+ECO!Z11+TEC!AA11+PPC!Z11+MER!AA11+FUN!Z11</f>
        <v>483305016.7881</v>
      </c>
      <c r="N12" s="7">
        <f>SUM(J12:M12)</f>
        <v>1636958421</v>
      </c>
      <c r="O12" s="452">
        <f>+'[13]ECO'!AA11+TEC!AC11+PPC!AB11+MER!AC11+FUN!AB11</f>
        <v>345320997</v>
      </c>
      <c r="P12" s="452">
        <f>+'[13]ECO'!AB11+TEC!AD11+PPC!AC11+MER!AD11+FUN!AC11</f>
        <v>402239343</v>
      </c>
      <c r="Q12" s="452">
        <f>+ECO!AD11+TEC!AE11+PPC!AD11+MER!AE11+FUN!AD11</f>
        <v>406093064</v>
      </c>
      <c r="R12" s="452">
        <f>+ECO!AE11+TEC!AF11+PPC!AE11+MER!AF11+FUN!AE11</f>
        <v>388423995</v>
      </c>
      <c r="S12" s="452">
        <f>SUM(O12:R12)</f>
        <v>1542077399</v>
      </c>
      <c r="T12" s="7">
        <f>+I12-N12</f>
        <v>0</v>
      </c>
      <c r="U12" s="7">
        <f>+I12-S12</f>
        <v>94881022</v>
      </c>
      <c r="V12" s="130">
        <f>+S12/I12</f>
        <v>0.9420382211406212</v>
      </c>
      <c r="W12" s="9">
        <f>+N12-S12</f>
        <v>94881022</v>
      </c>
      <c r="X12" s="130">
        <f>+O12/J12</f>
        <v>1</v>
      </c>
      <c r="Y12" s="131">
        <f>+P12/K12</f>
        <v>1</v>
      </c>
      <c r="Z12" s="130">
        <f>+Q12/L12</f>
        <v>0.9999999994781984</v>
      </c>
      <c r="AA12" s="131">
        <f>+R12/M12</f>
        <v>0.8036829362570023</v>
      </c>
      <c r="AB12" s="227"/>
      <c r="AC12" s="65"/>
    </row>
    <row r="13" spans="1:29" s="3" customFormat="1" ht="15">
      <c r="A13" s="168" t="s">
        <v>25</v>
      </c>
      <c r="B13" s="7">
        <f>+'[13]ECO'!B12+TEC!B12+PPC!B12+MER!B12+FUN!B12</f>
        <v>112055641</v>
      </c>
      <c r="C13" s="7"/>
      <c r="D13" s="7"/>
      <c r="E13" s="7"/>
      <c r="F13" s="7">
        <f>+ECO!F12</f>
        <v>-4374907</v>
      </c>
      <c r="G13" s="7"/>
      <c r="H13" s="7"/>
      <c r="I13" s="7">
        <f aca="true" t="shared" si="0" ref="I13:I22">+SUM(B13:G13)</f>
        <v>107680734</v>
      </c>
      <c r="J13" s="7">
        <f>+ECO!M12+TEC!M12+PPC!M12+MER!M12+FUN!L12</f>
        <v>23129450</v>
      </c>
      <c r="K13" s="7">
        <f>+ECO!Q12+TEC!Q12+PPC!Q12+MER!Q12+FUN!P12</f>
        <v>28702568</v>
      </c>
      <c r="L13" s="7">
        <f>+ECO!V12+TEC!V12+PPC!V12+MER!V12+FUN!U12</f>
        <v>27406355.70245127</v>
      </c>
      <c r="M13" s="7">
        <f>+ECO!Z12+TEC!AA12+PPC!Z12+MER!AA12+FUN!Z12</f>
        <v>28442360.29754873</v>
      </c>
      <c r="N13" s="7">
        <f aca="true" t="shared" si="1" ref="N13:N22">SUM(J13:M13)</f>
        <v>107680734</v>
      </c>
      <c r="O13" s="452">
        <f>+'[13]ECO'!AA12+TEC!AC12+PPC!AB12+MER!AC12+FUN!AB12</f>
        <v>23129450</v>
      </c>
      <c r="P13" s="452">
        <f>+'[13]ECO'!AB12+TEC!AD12+PPC!AC12+MER!AD12+FUN!AC12</f>
        <v>28702568</v>
      </c>
      <c r="Q13" s="452">
        <f>+ECO!AD12+TEC!AE12+PPC!AD12+MER!AE12+FUN!AD12</f>
        <v>27406356</v>
      </c>
      <c r="R13" s="452">
        <f>+ECO!AE12+TEC!AF12+PPC!AE12+MER!AF12+FUN!AE12</f>
        <v>26699033</v>
      </c>
      <c r="S13" s="452">
        <f aca="true" t="shared" si="2" ref="S13:S21">SUM(O13:R13)</f>
        <v>105937407</v>
      </c>
      <c r="T13" s="7">
        <f aca="true" t="shared" si="3" ref="T13:T22">+I13-N13</f>
        <v>0</v>
      </c>
      <c r="U13" s="7">
        <f aca="true" t="shared" si="4" ref="U13:U22">+I13-S13</f>
        <v>1743327</v>
      </c>
      <c r="V13" s="130">
        <f aca="true" t="shared" si="5" ref="V13:V22">+S13/I13</f>
        <v>0.9838102236561649</v>
      </c>
      <c r="W13" s="9">
        <f aca="true" t="shared" si="6" ref="W13:W22">+N13-S13</f>
        <v>1743327</v>
      </c>
      <c r="X13" s="130">
        <f aca="true" t="shared" si="7" ref="X13:X22">+O13/J13</f>
        <v>1</v>
      </c>
      <c r="Y13" s="131">
        <f aca="true" t="shared" si="8" ref="Y13:Y22">+P13/K13</f>
        <v>1</v>
      </c>
      <c r="Z13" s="130">
        <f aca="true" t="shared" si="9" ref="Z13:Z22">+Q13/L13</f>
        <v>1.0000000108569242</v>
      </c>
      <c r="AA13" s="131">
        <f aca="true" t="shared" si="10" ref="AA13:AA22">+R13/M13</f>
        <v>0.9387066586840552</v>
      </c>
      <c r="AB13" s="227"/>
      <c r="AC13" s="65"/>
    </row>
    <row r="14" spans="1:29" s="3" customFormat="1" ht="15">
      <c r="A14" s="168" t="s">
        <v>26</v>
      </c>
      <c r="B14" s="7">
        <f>+'[13]ECO'!B13+TEC!B13+PPC!B13+MER!B13+FUN!B13</f>
        <v>13446675.5</v>
      </c>
      <c r="C14" s="7"/>
      <c r="D14" s="7"/>
      <c r="E14" s="7"/>
      <c r="F14" s="7">
        <f>+ECO!F13</f>
        <v>-524989</v>
      </c>
      <c r="G14" s="7"/>
      <c r="H14" s="7"/>
      <c r="I14" s="7">
        <f t="shared" si="0"/>
        <v>12921686.5</v>
      </c>
      <c r="J14" s="7">
        <f>+ECO!M13+TEC!M13+PPC!M13+MER!M13+FUN!L13</f>
        <v>2775534</v>
      </c>
      <c r="K14" s="7">
        <f>+ECO!Q13+TEC!Q13+PPC!Q13+MER!Q13+FUN!P13</f>
        <v>242002</v>
      </c>
      <c r="L14" s="7">
        <f>+ECO!V13+TEC!V13+PPC!V13+MER!V13+FUN!U13</f>
        <v>3873296.3242941527</v>
      </c>
      <c r="M14" s="7">
        <f>+ECO!Z13+TEC!AA13+PPC!Z13+MER!AA13+FUN!Z13</f>
        <v>6030854.175705847</v>
      </c>
      <c r="N14" s="7">
        <f t="shared" si="1"/>
        <v>12921686.5</v>
      </c>
      <c r="O14" s="452">
        <f>+'[13]ECO'!AA13+TEC!AC13+PPC!AB13+MER!AC13+FUN!AB13</f>
        <v>2775534</v>
      </c>
      <c r="P14" s="452">
        <f>+'[13]ECO'!AB13+TEC!AD13+PPC!AC13+MER!AD13+FUN!AC13</f>
        <v>242002</v>
      </c>
      <c r="Q14" s="452">
        <f>+ECO!AD13+TEC!AE13+PPC!AD13+MER!AE13+FUN!AD13</f>
        <v>3873296</v>
      </c>
      <c r="R14" s="452">
        <f>+ECO!AE13+TEC!AF13+PPC!AE13+MER!AF13+FUN!AE13</f>
        <v>5218216</v>
      </c>
      <c r="S14" s="452">
        <f t="shared" si="2"/>
        <v>12109048</v>
      </c>
      <c r="T14" s="7">
        <f t="shared" si="3"/>
        <v>0</v>
      </c>
      <c r="U14" s="7">
        <f t="shared" si="4"/>
        <v>812638.5</v>
      </c>
      <c r="V14" s="130">
        <f t="shared" si="5"/>
        <v>0.9371104925042099</v>
      </c>
      <c r="W14" s="9">
        <f t="shared" si="6"/>
        <v>812638.5</v>
      </c>
      <c r="X14" s="130">
        <f t="shared" si="7"/>
        <v>1</v>
      </c>
      <c r="Y14" s="131">
        <f t="shared" si="8"/>
        <v>1</v>
      </c>
      <c r="Z14" s="130">
        <f t="shared" si="9"/>
        <v>0.9999999162743758</v>
      </c>
      <c r="AA14" s="131">
        <f t="shared" si="10"/>
        <v>0.8652532208489793</v>
      </c>
      <c r="AB14" s="227"/>
      <c r="AC14" s="65"/>
    </row>
    <row r="15" spans="1:29" s="3" customFormat="1" ht="15">
      <c r="A15" s="168" t="s">
        <v>27</v>
      </c>
      <c r="B15" s="7">
        <f>+'[13]ECO'!B14+TEC!B14+PPC!B14+MER!B14+FUN!B14</f>
        <v>112055641</v>
      </c>
      <c r="C15" s="7"/>
      <c r="D15" s="7"/>
      <c r="E15" s="7"/>
      <c r="F15" s="7">
        <f>+ECO!F14</f>
        <v>-4374907</v>
      </c>
      <c r="G15" s="7"/>
      <c r="H15" s="7"/>
      <c r="I15" s="7">
        <f t="shared" si="0"/>
        <v>107680734</v>
      </c>
      <c r="J15" s="7">
        <f>+ECO!M14+TEC!M14+PPC!M14+MER!M14+FUN!L14</f>
        <v>23129450</v>
      </c>
      <c r="K15" s="7">
        <f>+ECO!Q14+TEC!Q14+PPC!Q14+MER!Q14+FUN!P14</f>
        <v>28702568</v>
      </c>
      <c r="L15" s="7">
        <f>+ECO!V14+TEC!V14+PPC!V14+MER!V14+FUN!U14</f>
        <v>27406355.70245127</v>
      </c>
      <c r="M15" s="7">
        <f>+ECO!Z14+TEC!AA14+PPC!Z14+MER!AA14+FUN!Z14</f>
        <v>28442360.29754873</v>
      </c>
      <c r="N15" s="7">
        <f t="shared" si="1"/>
        <v>107680734</v>
      </c>
      <c r="O15" s="452">
        <f>+'[13]ECO'!AA14+TEC!AC14+PPC!AB14+MER!AC14+FUN!AB14</f>
        <v>23129450</v>
      </c>
      <c r="P15" s="452">
        <f>+'[13]ECO'!AB14+TEC!AD14+PPC!AC14+MER!AD14+FUN!AC14</f>
        <v>28702568</v>
      </c>
      <c r="Q15" s="452">
        <f>+ECO!AD14+TEC!AE14+PPC!AD14+MER!AE14+FUN!AD14</f>
        <v>27406356</v>
      </c>
      <c r="R15" s="452">
        <f>+ECO!AE14+TEC!AF14+PPC!AE14+MER!AF14+FUN!AE14</f>
        <v>26317880</v>
      </c>
      <c r="S15" s="452">
        <f t="shared" si="2"/>
        <v>105556254</v>
      </c>
      <c r="T15" s="7">
        <f t="shared" si="3"/>
        <v>0</v>
      </c>
      <c r="U15" s="7">
        <f t="shared" si="4"/>
        <v>2124480</v>
      </c>
      <c r="V15" s="130">
        <f t="shared" si="5"/>
        <v>0.9802705653919483</v>
      </c>
      <c r="W15" s="9">
        <f t="shared" si="6"/>
        <v>2124480</v>
      </c>
      <c r="X15" s="130">
        <f t="shared" si="7"/>
        <v>1</v>
      </c>
      <c r="Y15" s="131">
        <f t="shared" si="8"/>
        <v>1</v>
      </c>
      <c r="Z15" s="130">
        <f t="shared" si="9"/>
        <v>1.0000000108569242</v>
      </c>
      <c r="AA15" s="131">
        <f t="shared" si="10"/>
        <v>0.9253057666338674</v>
      </c>
      <c r="AB15" s="227"/>
      <c r="AC15" s="65"/>
    </row>
    <row r="16" spans="1:29" s="3" customFormat="1" ht="15">
      <c r="A16" s="168" t="s">
        <v>28</v>
      </c>
      <c r="B16" s="7">
        <f>+'[13]ECO'!B15+TEC!B15+PPC!B15+MER!B15+FUN!B15</f>
        <v>69953420</v>
      </c>
      <c r="C16" s="7"/>
      <c r="D16" s="7"/>
      <c r="E16" s="7"/>
      <c r="F16" s="7">
        <f>+ECO!F15</f>
        <v>-2187454</v>
      </c>
      <c r="G16" s="7"/>
      <c r="H16" s="7"/>
      <c r="I16" s="7">
        <f t="shared" si="0"/>
        <v>67765966</v>
      </c>
      <c r="J16" s="7">
        <f>+ECO!M15+TEC!M15+PPC!M15+MER!M15+FUN!L15</f>
        <v>14265630</v>
      </c>
      <c r="K16" s="7">
        <f>+ECO!Q15+TEC!Q15+PPC!Q15+MER!Q15+FUN!P15</f>
        <v>16471524</v>
      </c>
      <c r="L16" s="7">
        <f>+ECO!V15+TEC!V15+PPC!V15+MER!V15+FUN!U15</f>
        <v>18648021.244036227</v>
      </c>
      <c r="M16" s="7">
        <f>+ECO!Z15+TEC!AA15+PPC!Z15+MER!AA15+FUN!Z15</f>
        <v>18380790.755963773</v>
      </c>
      <c r="N16" s="7">
        <f t="shared" si="1"/>
        <v>67765966</v>
      </c>
      <c r="O16" s="452">
        <f>+'[13]ECO'!AA15+TEC!AC15+PPC!AB15+MER!AC15+FUN!AB15</f>
        <v>14265630</v>
      </c>
      <c r="P16" s="452">
        <f>+'[13]ECO'!AB15+TEC!AD15+PPC!AC15+MER!AD15+FUN!AC15</f>
        <v>16471524</v>
      </c>
      <c r="Q16" s="452">
        <f>+ECO!AD15+TEC!AE15+PPC!AD15+MER!AE15+FUN!AD15</f>
        <v>18648021</v>
      </c>
      <c r="R16" s="452">
        <f>+ECO!AE15+TEC!AF15+PPC!AE15+MER!AF15+FUN!AE15</f>
        <v>16618305</v>
      </c>
      <c r="S16" s="452">
        <f t="shared" si="2"/>
        <v>66003480</v>
      </c>
      <c r="T16" s="7">
        <f t="shared" si="3"/>
        <v>0</v>
      </c>
      <c r="U16" s="7">
        <f t="shared" si="4"/>
        <v>1762486</v>
      </c>
      <c r="V16" s="130">
        <f t="shared" si="5"/>
        <v>0.9739915756531826</v>
      </c>
      <c r="W16" s="9">
        <f t="shared" si="6"/>
        <v>1762486</v>
      </c>
      <c r="X16" s="130">
        <f t="shared" si="7"/>
        <v>1</v>
      </c>
      <c r="Y16" s="131">
        <f t="shared" si="8"/>
        <v>1</v>
      </c>
      <c r="Z16" s="130">
        <f t="shared" si="9"/>
        <v>0.9999999869135591</v>
      </c>
      <c r="AA16" s="131">
        <f t="shared" si="10"/>
        <v>0.904112626090805</v>
      </c>
      <c r="AB16" s="227"/>
      <c r="AC16" s="65"/>
    </row>
    <row r="17" spans="1:29" s="3" customFormat="1" ht="15">
      <c r="A17" s="168" t="s">
        <v>29</v>
      </c>
      <c r="B17" s="7">
        <f>+FUN!B16</f>
        <v>20000000</v>
      </c>
      <c r="C17" s="7"/>
      <c r="D17" s="7"/>
      <c r="E17" s="7"/>
      <c r="F17" s="7"/>
      <c r="G17" s="7"/>
      <c r="H17" s="7"/>
      <c r="I17" s="7">
        <f t="shared" si="0"/>
        <v>20000000</v>
      </c>
      <c r="J17" s="7">
        <f>+FUN!L16</f>
        <v>0</v>
      </c>
      <c r="K17" s="7">
        <f>+FUN!P16</f>
        <v>13352885</v>
      </c>
      <c r="L17" s="7">
        <f>+FUN!U16</f>
        <v>0</v>
      </c>
      <c r="M17" s="7">
        <f>+FUN!V16</f>
        <v>6647115</v>
      </c>
      <c r="N17" s="7">
        <f t="shared" si="1"/>
        <v>20000000</v>
      </c>
      <c r="O17" s="452">
        <f>+FUN!AB16</f>
        <v>0</v>
      </c>
      <c r="P17" s="452">
        <f>+FUN!AC16</f>
        <v>13352885</v>
      </c>
      <c r="Q17" s="452">
        <f>+ECO!AD16+TEC!AE16+PPC!AD16+MER!AE16+FUN!AD16</f>
        <v>0</v>
      </c>
      <c r="R17" s="452">
        <f>+ECO!AE16+TEC!AF16+PPC!AE16+MER!AF16+FUN!AE16</f>
        <v>3853001</v>
      </c>
      <c r="S17" s="452">
        <f t="shared" si="2"/>
        <v>17205886</v>
      </c>
      <c r="T17" s="7">
        <f t="shared" si="3"/>
        <v>0</v>
      </c>
      <c r="U17" s="7">
        <f t="shared" si="4"/>
        <v>2794114</v>
      </c>
      <c r="V17" s="130">
        <f t="shared" si="5"/>
        <v>0.8602943</v>
      </c>
      <c r="W17" s="9">
        <f t="shared" si="6"/>
        <v>2794114</v>
      </c>
      <c r="X17" s="130">
        <v>1</v>
      </c>
      <c r="Y17" s="131">
        <f t="shared" si="8"/>
        <v>1</v>
      </c>
      <c r="Z17" s="130">
        <v>0</v>
      </c>
      <c r="AA17" s="131">
        <f t="shared" si="10"/>
        <v>0.5796501188861634</v>
      </c>
      <c r="AB17" s="227"/>
      <c r="AC17" s="65"/>
    </row>
    <row r="18" spans="1:29" s="3" customFormat="1" ht="15">
      <c r="A18" s="168" t="s">
        <v>30</v>
      </c>
      <c r="B18" s="7">
        <f>+'[13]ECO'!B17+TEC!B17+PPC!B17+MER!B17+FUN!B17</f>
        <v>332026991.20505786</v>
      </c>
      <c r="C18" s="7"/>
      <c r="D18" s="7"/>
      <c r="E18" s="7"/>
      <c r="F18" s="7">
        <f>+ECO!F17</f>
        <v>-7280795</v>
      </c>
      <c r="G18" s="7"/>
      <c r="H18" s="7"/>
      <c r="I18" s="7">
        <f t="shared" si="0"/>
        <v>324746196.20505786</v>
      </c>
      <c r="J18" s="7">
        <f>+ECO!M17+TEC!M17+PPC!M17+MER!M17+FUN!L17</f>
        <v>75135233</v>
      </c>
      <c r="K18" s="7">
        <f>+ECO!Q17+TEC!Q17+PPC!Q17+MER!Q17+FUN!P17</f>
        <v>79760261</v>
      </c>
      <c r="L18" s="7">
        <f>+ECO!V17+TEC!V17+PPC!V17+MER!V17+FUN!U17</f>
        <v>81319892.61486125</v>
      </c>
      <c r="M18" s="7">
        <f>+ECO!Z17+TEC!AA17+PPC!Z17+MER!AA17+FUN!Z17</f>
        <v>88530809.59019658</v>
      </c>
      <c r="N18" s="7">
        <f t="shared" si="1"/>
        <v>324746196.20505786</v>
      </c>
      <c r="O18" s="452">
        <f>+'[13]ECO'!AA17+TEC!AC17+PPC!AB17+MER!AC17+FUN!AB17</f>
        <v>75135233</v>
      </c>
      <c r="P18" s="452">
        <f>+'[13]ECO'!AB17+TEC!AD17+PPC!AC17+MER!AD17+FUN!AC17</f>
        <v>79760261</v>
      </c>
      <c r="Q18" s="452">
        <f>+ECO!AD17+TEC!AE17+PPC!AD17+MER!AE17+FUN!AD17</f>
        <v>81319893</v>
      </c>
      <c r="R18" s="452">
        <f>+ECO!AE17+TEC!AF17+PPC!AE17+MER!AF17+FUN!AE17</f>
        <v>80311603</v>
      </c>
      <c r="S18" s="452">
        <f t="shared" si="2"/>
        <v>316526990</v>
      </c>
      <c r="T18" s="7">
        <f t="shared" si="3"/>
        <v>0</v>
      </c>
      <c r="U18" s="7">
        <f t="shared" si="4"/>
        <v>8219206.205057859</v>
      </c>
      <c r="V18" s="130">
        <f t="shared" si="5"/>
        <v>0.9746903695836735</v>
      </c>
      <c r="W18" s="9">
        <f t="shared" si="6"/>
        <v>8219206.205057859</v>
      </c>
      <c r="X18" s="130">
        <f t="shared" si="7"/>
        <v>1</v>
      </c>
      <c r="Y18" s="131">
        <f t="shared" si="8"/>
        <v>1</v>
      </c>
      <c r="Z18" s="130">
        <f t="shared" si="9"/>
        <v>1.000000004736095</v>
      </c>
      <c r="AA18" s="131">
        <f t="shared" si="10"/>
        <v>0.9071599296533855</v>
      </c>
      <c r="AB18" s="227"/>
      <c r="AC18" s="65"/>
    </row>
    <row r="19" spans="1:29" s="3" customFormat="1" ht="15">
      <c r="A19" s="168" t="s">
        <v>31</v>
      </c>
      <c r="B19" s="7">
        <f>+'[13]ECO'!B18+TEC!B18+PPC!B18+MER!B18+FUN!B18</f>
        <v>62179771.82023147</v>
      </c>
      <c r="C19" s="7"/>
      <c r="D19" s="7"/>
      <c r="E19" s="7"/>
      <c r="F19" s="7">
        <f>+ECO!F18</f>
        <v>-1385367</v>
      </c>
      <c r="G19" s="7"/>
      <c r="H19" s="7"/>
      <c r="I19" s="7">
        <f t="shared" si="0"/>
        <v>60794404.82023147</v>
      </c>
      <c r="J19" s="7">
        <f>+ECO!M18+TEC!M18+PPC!M18+MER!M18+FUN!L18</f>
        <v>14102940</v>
      </c>
      <c r="K19" s="7">
        <f>+ECO!Q18+TEC!Q18+PPC!Q18+MER!Q18+FUN!P18</f>
        <v>14776660</v>
      </c>
      <c r="L19" s="7">
        <f>+ECO!V18+TEC!V18+PPC!V18+MER!V18+FUN!U18</f>
        <v>15089820.448476002</v>
      </c>
      <c r="M19" s="7">
        <f>+ECO!Z18+TEC!AA18+PPC!Z18+MER!AA18+FUN!Z18</f>
        <v>16824984.371755466</v>
      </c>
      <c r="N19" s="7">
        <f t="shared" si="1"/>
        <v>60794404.82023147</v>
      </c>
      <c r="O19" s="452">
        <f>+'[13]ECO'!AA18+TEC!AC18+PPC!AB18+MER!AC18+FUN!AB18</f>
        <v>14102940</v>
      </c>
      <c r="P19" s="452">
        <f>+'[13]ECO'!AB18+TEC!AD18+PPC!AC18+MER!AD18+FUN!AC18</f>
        <v>14776660</v>
      </c>
      <c r="Q19" s="452">
        <f>+ECO!AD18+TEC!AE18+PPC!AD18+MER!AE18+FUN!AD18</f>
        <v>15089820</v>
      </c>
      <c r="R19" s="452">
        <f>+ECO!AE18+TEC!AF18+PPC!AE18+MER!AF18+FUN!AE18</f>
        <v>15030920</v>
      </c>
      <c r="S19" s="452">
        <f t="shared" si="2"/>
        <v>59000340</v>
      </c>
      <c r="T19" s="7">
        <f t="shared" si="3"/>
        <v>0</v>
      </c>
      <c r="U19" s="7">
        <f t="shared" si="4"/>
        <v>1794064.8202314675</v>
      </c>
      <c r="V19" s="130">
        <f t="shared" si="5"/>
        <v>0.9704896392104421</v>
      </c>
      <c r="W19" s="9">
        <f t="shared" si="6"/>
        <v>1794064.8202314675</v>
      </c>
      <c r="X19" s="130">
        <f t="shared" si="7"/>
        <v>1</v>
      </c>
      <c r="Y19" s="131">
        <f t="shared" si="8"/>
        <v>1</v>
      </c>
      <c r="Z19" s="130">
        <f t="shared" si="9"/>
        <v>0.9999999702795668</v>
      </c>
      <c r="AA19" s="131">
        <f t="shared" si="10"/>
        <v>0.8933690319042906</v>
      </c>
      <c r="AB19" s="227"/>
      <c r="AC19" s="65"/>
    </row>
    <row r="20" spans="1:29" s="3" customFormat="1" ht="15">
      <c r="A20" s="168" t="s">
        <v>32</v>
      </c>
      <c r="B20" s="7">
        <f>+'[13]ECO'!B19+TEC!B19+PPC!B19+MER!B19+FUN!B19</f>
        <v>77724715.27528933</v>
      </c>
      <c r="C20" s="7"/>
      <c r="D20" s="7"/>
      <c r="E20" s="7"/>
      <c r="F20" s="7">
        <f>+ECO!F19</f>
        <v>-1731708</v>
      </c>
      <c r="G20" s="7"/>
      <c r="H20" s="7"/>
      <c r="I20" s="7">
        <f t="shared" si="0"/>
        <v>75993007.27528933</v>
      </c>
      <c r="J20" s="7">
        <f>+ECO!M19+TEC!M19+PPC!M19+MER!M19+FUN!L19</f>
        <v>17631310</v>
      </c>
      <c r="K20" s="7">
        <f>+ECO!Q19+TEC!Q19+PPC!Q19+MER!Q19+FUN!P19</f>
        <v>18473831</v>
      </c>
      <c r="L20" s="7">
        <f>+ECO!V19+TEC!V19+PPC!V19+MER!V19+FUN!U19</f>
        <v>18865469.810595002</v>
      </c>
      <c r="M20" s="7">
        <f>+ECO!Z19+TEC!AA19+PPC!Z19+MER!AA19+FUN!Z19</f>
        <v>21022396.464694332</v>
      </c>
      <c r="N20" s="7">
        <f t="shared" si="1"/>
        <v>75993007.27528934</v>
      </c>
      <c r="O20" s="452">
        <f>+'[13]ECO'!AA19+TEC!AC19+PPC!AB19+MER!AC19+FUN!AB19</f>
        <v>17631310</v>
      </c>
      <c r="P20" s="452">
        <f>+'[13]ECO'!AB19+TEC!AD19+PPC!AC19+MER!AD19+FUN!AC19</f>
        <v>18473831</v>
      </c>
      <c r="Q20" s="452">
        <f>+ECO!AD19+TEC!AE19+PPC!AD19+MER!AE19+FUN!AD19</f>
        <v>18865470</v>
      </c>
      <c r="R20" s="452">
        <f>+ECO!AE19+TEC!AF19+PPC!AE19+MER!AF19+FUN!AE19</f>
        <v>18791990</v>
      </c>
      <c r="S20" s="452">
        <f t="shared" si="2"/>
        <v>73762601</v>
      </c>
      <c r="T20" s="7">
        <f t="shared" si="3"/>
        <v>0</v>
      </c>
      <c r="U20" s="7">
        <f t="shared" si="4"/>
        <v>2230406.275289327</v>
      </c>
      <c r="V20" s="130">
        <f t="shared" si="5"/>
        <v>0.9706498485155411</v>
      </c>
      <c r="W20" s="9">
        <f t="shared" si="6"/>
        <v>2230406.275289342</v>
      </c>
      <c r="X20" s="130">
        <f t="shared" si="7"/>
        <v>1</v>
      </c>
      <c r="Y20" s="131">
        <f t="shared" si="8"/>
        <v>1</v>
      </c>
      <c r="Z20" s="130">
        <f t="shared" si="9"/>
        <v>1.000000010039771</v>
      </c>
      <c r="AA20" s="131">
        <f t="shared" si="10"/>
        <v>0.8939033202784399</v>
      </c>
      <c r="AB20" s="227"/>
      <c r="AC20" s="65"/>
    </row>
    <row r="21" spans="1:29" s="3" customFormat="1" ht="15">
      <c r="A21" s="168" t="s">
        <v>33</v>
      </c>
      <c r="B21" s="7">
        <f>+'[13]ECO'!B20+TEC!B20+PPC!B20+MER!B20+FUN!B20</f>
        <v>3000000</v>
      </c>
      <c r="C21" s="7"/>
      <c r="D21" s="7"/>
      <c r="E21" s="7"/>
      <c r="F21" s="7"/>
      <c r="G21" s="7"/>
      <c r="H21" s="7"/>
      <c r="I21" s="7">
        <f t="shared" si="0"/>
        <v>3000000</v>
      </c>
      <c r="J21" s="7">
        <f>+ECO!M20+TEC!M20+PPC!M20+MER!M20+FUN!L20</f>
        <v>0</v>
      </c>
      <c r="K21" s="7">
        <f>+ECO!Q20+TEC!Q20+PPC!Q20+MER!Q20+FUN!P20</f>
        <v>2396100</v>
      </c>
      <c r="L21" s="7">
        <f>+ECO!V20+TEC!V20+PPC!V20+MER!V20+FUN!U20</f>
        <v>300000</v>
      </c>
      <c r="M21" s="7">
        <f>+ECO!Z20+TEC!AA20+PPC!Z20+MER!AA20+FUN!Z20</f>
        <v>0</v>
      </c>
      <c r="N21" s="7">
        <f t="shared" si="1"/>
        <v>2696100</v>
      </c>
      <c r="O21" s="452">
        <f>+'[13]ECO'!AA20+TEC!AC20+PPC!AB20+MER!AC20+FUN!AB20</f>
        <v>0</v>
      </c>
      <c r="P21" s="452">
        <f>+'[13]ECO'!AB20+TEC!AD20+PPC!AC20+MER!AD20+FUN!AC20</f>
        <v>2396100</v>
      </c>
      <c r="Q21" s="452">
        <f>+ECO!AD20+TEC!AE20+PPC!AD20+MER!AE20+FUN!AD20</f>
        <v>300000</v>
      </c>
      <c r="R21" s="452">
        <f>+ECO!AE20+TEC!AF20+PPC!AE20+MER!AF20+FUN!AE20</f>
        <v>0</v>
      </c>
      <c r="S21" s="452">
        <f t="shared" si="2"/>
        <v>2696100</v>
      </c>
      <c r="T21" s="7">
        <f t="shared" si="3"/>
        <v>303900</v>
      </c>
      <c r="U21" s="7">
        <f t="shared" si="4"/>
        <v>303900</v>
      </c>
      <c r="V21" s="130">
        <f t="shared" si="5"/>
        <v>0.8987</v>
      </c>
      <c r="W21" s="9">
        <f t="shared" si="6"/>
        <v>0</v>
      </c>
      <c r="X21" s="130">
        <v>0</v>
      </c>
      <c r="Y21" s="131">
        <f t="shared" si="8"/>
        <v>1</v>
      </c>
      <c r="Z21" s="130">
        <f t="shared" si="9"/>
        <v>1</v>
      </c>
      <c r="AA21" s="131">
        <v>0</v>
      </c>
      <c r="AB21" s="227"/>
      <c r="AC21" s="65"/>
    </row>
    <row r="22" spans="1:29" s="3" customFormat="1" ht="15">
      <c r="A22" s="170" t="s">
        <v>34</v>
      </c>
      <c r="B22" s="7">
        <f>+'[13]ECO'!B21+FUN!B21</f>
        <v>121766976</v>
      </c>
      <c r="C22" s="7"/>
      <c r="D22" s="7"/>
      <c r="E22" s="7"/>
      <c r="F22" s="7"/>
      <c r="G22" s="7">
        <f>+FUN!G21</f>
        <v>2350100</v>
      </c>
      <c r="H22" s="7"/>
      <c r="I22" s="7">
        <f t="shared" si="0"/>
        <v>124117076</v>
      </c>
      <c r="J22" s="7">
        <f>+ECO!M21+PPC!M21+FUN!L21</f>
        <v>25338027</v>
      </c>
      <c r="K22" s="7">
        <f>+ECO!Q21+PPC!Q21+FUN!P21</f>
        <v>30088140</v>
      </c>
      <c r="L22" s="7">
        <f>+ECO!V21+PPC!V21+FUN!U21</f>
        <v>28648040</v>
      </c>
      <c r="M22" s="7">
        <f>+ECO!Z21+PPC!Z21+FUN!Z21</f>
        <v>40042869</v>
      </c>
      <c r="N22" s="7">
        <f t="shared" si="1"/>
        <v>124117076</v>
      </c>
      <c r="O22" s="452">
        <f>+'[13]ECO'!AA21+PPC!AB21+FUN!AB21</f>
        <v>25338027</v>
      </c>
      <c r="P22" s="452">
        <f>+'[13]ECO'!AB21+PPC!AC21+FUN!AC21</f>
        <v>30088140</v>
      </c>
      <c r="Q22" s="452">
        <f>+ECO!AD21+FUN!AD21</f>
        <v>28648040</v>
      </c>
      <c r="R22" s="452">
        <f>+ECO!AE21+FUN!AE21</f>
        <v>29016380</v>
      </c>
      <c r="S22" s="452">
        <f>SUM(O22:R22)</f>
        <v>113090587</v>
      </c>
      <c r="T22" s="7">
        <f t="shared" si="3"/>
        <v>0</v>
      </c>
      <c r="U22" s="7">
        <f t="shared" si="4"/>
        <v>11026489</v>
      </c>
      <c r="V22" s="130">
        <f t="shared" si="5"/>
        <v>0.9111605803539877</v>
      </c>
      <c r="W22" s="9">
        <f t="shared" si="6"/>
        <v>11026489</v>
      </c>
      <c r="X22" s="130">
        <f t="shared" si="7"/>
        <v>1</v>
      </c>
      <c r="Y22" s="131">
        <f t="shared" si="8"/>
        <v>1</v>
      </c>
      <c r="Z22" s="130">
        <f t="shared" si="9"/>
        <v>1</v>
      </c>
      <c r="AA22" s="131">
        <f t="shared" si="10"/>
        <v>0.7246328928129501</v>
      </c>
      <c r="AB22" s="227"/>
      <c r="AC22" s="65"/>
    </row>
    <row r="23" spans="1:29" s="3" customFormat="1" ht="15.75" thickBot="1">
      <c r="A23" s="171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53"/>
      <c r="P23" s="453"/>
      <c r="Q23" s="453"/>
      <c r="R23" s="453"/>
      <c r="S23" s="453"/>
      <c r="T23" s="47"/>
      <c r="U23" s="47"/>
      <c r="V23" s="11"/>
      <c r="W23" s="11"/>
      <c r="X23" s="149"/>
      <c r="Y23" s="154"/>
      <c r="Z23" s="149"/>
      <c r="AA23" s="154"/>
      <c r="AB23" s="227"/>
      <c r="AC23" s="65"/>
    </row>
    <row r="24" spans="1:29" ht="17.25" thickBot="1">
      <c r="A24" s="568" t="s">
        <v>35</v>
      </c>
      <c r="B24" s="568">
        <f>SUM(B12:B23)</f>
        <v>2596313340.800579</v>
      </c>
      <c r="C24" s="568">
        <f aca="true" t="shared" si="11" ref="C24:N24">SUM(C12:C23)</f>
        <v>0</v>
      </c>
      <c r="D24" s="568">
        <f t="shared" si="11"/>
        <v>0</v>
      </c>
      <c r="E24" s="568">
        <f t="shared" si="11"/>
        <v>0</v>
      </c>
      <c r="F24" s="568">
        <f t="shared" si="11"/>
        <v>-57005215</v>
      </c>
      <c r="G24" s="568">
        <f t="shared" si="11"/>
        <v>2350100</v>
      </c>
      <c r="H24" s="568">
        <f t="shared" si="11"/>
        <v>0</v>
      </c>
      <c r="I24" s="568">
        <f>SUM(I12:I23)</f>
        <v>2541658225.800579</v>
      </c>
      <c r="J24" s="568">
        <f t="shared" si="11"/>
        <v>540828571</v>
      </c>
      <c r="K24" s="568">
        <f t="shared" si="11"/>
        <v>635205882</v>
      </c>
      <c r="L24" s="568">
        <f t="shared" si="11"/>
        <v>627650316.0590652</v>
      </c>
      <c r="M24" s="568">
        <f>SUM(M12:M23)</f>
        <v>737669556.7415136</v>
      </c>
      <c r="N24" s="568">
        <f t="shared" si="11"/>
        <v>2541354325.800579</v>
      </c>
      <c r="O24" s="568">
        <f aca="true" t="shared" si="12" ref="O24:U24">SUM(O12:O23)</f>
        <v>540828571</v>
      </c>
      <c r="P24" s="568">
        <f t="shared" si="12"/>
        <v>635205882</v>
      </c>
      <c r="Q24" s="568">
        <f t="shared" si="12"/>
        <v>627650316</v>
      </c>
      <c r="R24" s="568">
        <f t="shared" si="12"/>
        <v>610281323</v>
      </c>
      <c r="S24" s="568">
        <f>SUM(S12:S23)</f>
        <v>2413966092</v>
      </c>
      <c r="T24" s="568">
        <f t="shared" si="12"/>
        <v>303900</v>
      </c>
      <c r="U24" s="568">
        <f t="shared" si="12"/>
        <v>127692133.80057865</v>
      </c>
      <c r="V24" s="569">
        <f>+S24/I24</f>
        <v>0.9497603051014626</v>
      </c>
      <c r="W24" s="155">
        <f>SUM(W12:W23)</f>
        <v>127388233.80057867</v>
      </c>
      <c r="X24" s="156">
        <f>+O24/J24</f>
        <v>1</v>
      </c>
      <c r="Y24" s="156">
        <f>+P24/K24</f>
        <v>1</v>
      </c>
      <c r="Z24" s="156">
        <f>+Q24/L24</f>
        <v>0.9999999999058947</v>
      </c>
      <c r="AA24" s="156">
        <f>+R24/M24</f>
        <v>0.8273098942781074</v>
      </c>
      <c r="AB24" s="69"/>
      <c r="AC24" s="69"/>
    </row>
    <row r="25" spans="1:29" s="3" customFormat="1" ht="15">
      <c r="A25" s="171"/>
      <c r="B25" s="47"/>
      <c r="C25" s="47"/>
      <c r="D25" s="47"/>
      <c r="E25" s="47"/>
      <c r="F25" s="47"/>
      <c r="G25" s="47"/>
      <c r="H25" s="47"/>
      <c r="I25" s="386"/>
      <c r="J25" s="47"/>
      <c r="K25" s="47"/>
      <c r="L25" s="47"/>
      <c r="M25" s="47"/>
      <c r="N25" s="47"/>
      <c r="O25" s="453"/>
      <c r="P25" s="453"/>
      <c r="Q25" s="453"/>
      <c r="R25" s="453"/>
      <c r="S25" s="453"/>
      <c r="T25" s="47"/>
      <c r="U25" s="47"/>
      <c r="V25" s="70"/>
      <c r="W25" s="71"/>
      <c r="X25" s="72"/>
      <c r="Y25" s="71"/>
      <c r="Z25" s="72"/>
      <c r="AA25" s="71"/>
      <c r="AB25" s="227"/>
      <c r="AC25" s="65"/>
    </row>
    <row r="26" spans="1:29" s="3" customFormat="1" ht="16.5">
      <c r="A26" s="173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14"/>
      <c r="P26" s="414"/>
      <c r="Q26" s="414"/>
      <c r="R26" s="414"/>
      <c r="S26" s="414"/>
      <c r="T26" s="7"/>
      <c r="U26" s="7"/>
      <c r="V26" s="64"/>
      <c r="W26" s="32"/>
      <c r="X26" s="12"/>
      <c r="Y26" s="32"/>
      <c r="Z26" s="12"/>
      <c r="AA26" s="32"/>
      <c r="AB26" s="227"/>
      <c r="AC26" s="65"/>
    </row>
    <row r="27" spans="1:29" s="3" customFormat="1" ht="15">
      <c r="A27" s="170" t="s">
        <v>37</v>
      </c>
      <c r="B27" s="7">
        <f>+'[13]ECO'!B25+TEC!B24+PPC!B25+MER!B24+FUN!B25</f>
        <v>94531061.41600001</v>
      </c>
      <c r="C27" s="7"/>
      <c r="D27" s="7"/>
      <c r="E27" s="7"/>
      <c r="F27" s="7"/>
      <c r="G27" s="7"/>
      <c r="H27" s="7"/>
      <c r="I27" s="7">
        <f aca="true" t="shared" si="13" ref="I27:I38">+SUM(B27:G27)</f>
        <v>94531061.41600001</v>
      </c>
      <c r="J27" s="10">
        <f>+ECO!M25+TEC!M24+PPC!M25+MER!M24+FUN!L25</f>
        <v>36355262.64</v>
      </c>
      <c r="K27" s="10">
        <f>+ECO!Q25+TEC!N24+PPC!Q25+MER!Q24+FUN!P25</f>
        <v>38868610</v>
      </c>
      <c r="L27" s="10">
        <f>+ECO!V25+TEC!V24+PPC!V25+MER!V24+FUN!U25</f>
        <v>4203958</v>
      </c>
      <c r="M27" s="10">
        <f>+ECO!Z25+TEC!AA24+PPC!Z25+MER!AA24+FUN!Z25</f>
        <v>15103230.776</v>
      </c>
      <c r="N27" s="7">
        <f aca="true" t="shared" si="14" ref="N27:N40">SUM(J27:M27)</f>
        <v>94531061.41600001</v>
      </c>
      <c r="O27" s="452">
        <f>+'[13]ECO'!AA25+TEC!AC24+PPC!AB25+MER!AC24+FUN!AB25</f>
        <v>36355262.64</v>
      </c>
      <c r="P27" s="452">
        <f>+'[13]ECO'!AB25+TEC!AD24+PPC!AC25+MER!AD24+FUN!AC25</f>
        <v>38868610</v>
      </c>
      <c r="Q27" s="452">
        <f>+ECO!AD25+TEC!AE24+PPC!AD25+MER!AE24+FUN!AD25</f>
        <v>4203958</v>
      </c>
      <c r="R27" s="414">
        <f>+ECO!AE25+TEC!AF24+PPC!AE25+MER!AF24+FUN!AE25</f>
        <v>13537447</v>
      </c>
      <c r="S27" s="414">
        <f aca="true" t="shared" si="15" ref="S27:S40">SUM(O27:R27)</f>
        <v>92965277.64</v>
      </c>
      <c r="T27" s="7">
        <f aca="true" t="shared" si="16" ref="T27:T40">+I27-N27</f>
        <v>0</v>
      </c>
      <c r="U27" s="7">
        <f aca="true" t="shared" si="17" ref="U27:U40">+I27-S27</f>
        <v>1565783.776000008</v>
      </c>
      <c r="V27" s="130">
        <f aca="true" t="shared" si="18" ref="V27:V41">+S27/I27</f>
        <v>0.9834363038714914</v>
      </c>
      <c r="W27" s="9">
        <f aca="true" t="shared" si="19" ref="W27:W41">+N27-S27</f>
        <v>1565783.776000008</v>
      </c>
      <c r="X27" s="130">
        <v>0</v>
      </c>
      <c r="Y27" s="131">
        <f aca="true" t="shared" si="20" ref="Y27:Y41">+P27/K27</f>
        <v>1</v>
      </c>
      <c r="Z27" s="130">
        <f aca="true" t="shared" si="21" ref="Z27:Z41">+Q27/L27</f>
        <v>1</v>
      </c>
      <c r="AA27" s="131">
        <f aca="true" t="shared" si="22" ref="AA27:AA41">+R27/M27</f>
        <v>0.8963278917456435</v>
      </c>
      <c r="AB27" s="227"/>
      <c r="AC27" s="65"/>
    </row>
    <row r="28" spans="1:29" s="3" customFormat="1" ht="15">
      <c r="A28" s="170" t="s">
        <v>38</v>
      </c>
      <c r="B28" s="7">
        <f>+FUN!B26</f>
        <v>6349081.800000001</v>
      </c>
      <c r="C28" s="7"/>
      <c r="D28" s="7"/>
      <c r="E28" s="7"/>
      <c r="F28" s="7"/>
      <c r="G28" s="7"/>
      <c r="H28" s="7"/>
      <c r="I28" s="7">
        <f t="shared" si="13"/>
        <v>6349081.800000001</v>
      </c>
      <c r="J28" s="10">
        <f>+FUN!L26</f>
        <v>3109320</v>
      </c>
      <c r="K28" s="10">
        <f>+FUN!P26</f>
        <v>1019480</v>
      </c>
      <c r="L28" s="10">
        <f>+FUN!U26</f>
        <v>1104900</v>
      </c>
      <c r="M28" s="10">
        <f>+FUN!Z26</f>
        <v>1115381.8000000007</v>
      </c>
      <c r="N28" s="7">
        <f t="shared" si="14"/>
        <v>6349081.800000001</v>
      </c>
      <c r="O28" s="452">
        <f>+FUN!AB26</f>
        <v>3109320</v>
      </c>
      <c r="P28" s="452">
        <f>+FUN!AC26</f>
        <v>1019480</v>
      </c>
      <c r="Q28" s="452">
        <f>+FUN!AD26</f>
        <v>1104900</v>
      </c>
      <c r="R28" s="414">
        <f>+FUN!AE26</f>
        <v>1107550</v>
      </c>
      <c r="S28" s="414">
        <f t="shared" si="15"/>
        <v>6341250</v>
      </c>
      <c r="T28" s="7">
        <f t="shared" si="16"/>
        <v>0</v>
      </c>
      <c r="U28" s="7">
        <f t="shared" si="17"/>
        <v>7831.800000000745</v>
      </c>
      <c r="V28" s="130">
        <f t="shared" si="18"/>
        <v>0.9987664673024057</v>
      </c>
      <c r="W28" s="9">
        <f t="shared" si="19"/>
        <v>7831.800000000745</v>
      </c>
      <c r="X28" s="130">
        <f aca="true" t="shared" si="23" ref="X28:X41">+O28/J28</f>
        <v>1</v>
      </c>
      <c r="Y28" s="131">
        <f t="shared" si="20"/>
        <v>1</v>
      </c>
      <c r="Z28" s="130">
        <f t="shared" si="21"/>
        <v>1</v>
      </c>
      <c r="AA28" s="131">
        <f t="shared" si="22"/>
        <v>0.9929783684833294</v>
      </c>
      <c r="AB28" s="227"/>
      <c r="AC28" s="65"/>
    </row>
    <row r="29" spans="1:29" s="3" customFormat="1" ht="15">
      <c r="A29" s="170" t="s">
        <v>39</v>
      </c>
      <c r="B29" s="7">
        <f>+PPC!B26+FUN!B27</f>
        <v>21999700</v>
      </c>
      <c r="C29" s="7"/>
      <c r="D29" s="7"/>
      <c r="E29" s="7"/>
      <c r="F29" s="7"/>
      <c r="G29" s="7"/>
      <c r="H29" s="7"/>
      <c r="I29" s="7">
        <f t="shared" si="13"/>
        <v>21999700</v>
      </c>
      <c r="J29" s="10">
        <f>+PPC!M26+FUN!L27</f>
        <v>5449005</v>
      </c>
      <c r="K29" s="10">
        <f>+PPC!Q26+FUN!P27</f>
        <v>5404241.8</v>
      </c>
      <c r="L29" s="10">
        <f>+PPC!V26+FUN!U27</f>
        <v>5482561.8</v>
      </c>
      <c r="M29" s="10">
        <f>+PPC!Z26+FUN!Z27</f>
        <v>5647219.199999999</v>
      </c>
      <c r="N29" s="7">
        <f t="shared" si="14"/>
        <v>21983027.8</v>
      </c>
      <c r="O29" s="452">
        <f>+PPC!AB26+FUN!AB27</f>
        <v>5449005</v>
      </c>
      <c r="P29" s="452">
        <f>+PPC!AC26+FUN!AC27</f>
        <v>5404241.8</v>
      </c>
      <c r="Q29" s="452">
        <f>+PPC!AD26+FUN!AD27</f>
        <v>5482561.8</v>
      </c>
      <c r="R29" s="414">
        <f>+PPC!AE26+FUN!AE27</f>
        <v>5633402</v>
      </c>
      <c r="S29" s="414">
        <f t="shared" si="15"/>
        <v>21969210.6</v>
      </c>
      <c r="T29" s="7">
        <f t="shared" si="16"/>
        <v>16672.199999999255</v>
      </c>
      <c r="U29" s="7">
        <f t="shared" si="17"/>
        <v>30489.39999999851</v>
      </c>
      <c r="V29" s="130">
        <f t="shared" si="18"/>
        <v>0.9986140992831721</v>
      </c>
      <c r="W29" s="9">
        <f t="shared" si="19"/>
        <v>13817.199999999255</v>
      </c>
      <c r="X29" s="130">
        <f t="shared" si="23"/>
        <v>1</v>
      </c>
      <c r="Y29" s="131">
        <f t="shared" si="20"/>
        <v>1</v>
      </c>
      <c r="Z29" s="130">
        <f t="shared" si="21"/>
        <v>1</v>
      </c>
      <c r="AA29" s="131">
        <f t="shared" si="22"/>
        <v>0.9975532736536951</v>
      </c>
      <c r="AB29" s="227"/>
      <c r="AC29" s="65"/>
    </row>
    <row r="30" spans="1:29" s="3" customFormat="1" ht="15">
      <c r="A30" s="170" t="s">
        <v>40</v>
      </c>
      <c r="B30" s="7">
        <f>+'[13]ECO'!B26+TEC!B25+PPC!B27+MER!B25+FUN!B28</f>
        <v>47105066.252399996</v>
      </c>
      <c r="C30" s="7"/>
      <c r="D30" s="7"/>
      <c r="E30" s="7"/>
      <c r="F30" s="7"/>
      <c r="G30" s="7"/>
      <c r="H30" s="7"/>
      <c r="I30" s="7">
        <f t="shared" si="13"/>
        <v>47105066.252399996</v>
      </c>
      <c r="J30" s="10">
        <f>+ECO!M26+TEC!M25+PPC!M27+MER!M25+FUN!L28</f>
        <v>11708743</v>
      </c>
      <c r="K30" s="10">
        <f>+ECO!Q26+TEC!Q25+PPC!Q27+MER!Q25+FUN!P28</f>
        <v>8597139</v>
      </c>
      <c r="L30" s="10">
        <f>+ECO!V26+TEC!V25+PPC!V27+MER!V25+FUN!U28</f>
        <v>10042010</v>
      </c>
      <c r="M30" s="10">
        <f>+ECO!Z26+TEC!AA25+PPC!Z27+MER!AA25+FUN!Z28</f>
        <v>16757174.2524</v>
      </c>
      <c r="N30" s="7">
        <f t="shared" si="14"/>
        <v>47105066.252399996</v>
      </c>
      <c r="O30" s="452">
        <f>+'[13]ECO'!AA26+TEC!AC25+PPC!AB27+MER!AC25+FUN!AB28</f>
        <v>11708743</v>
      </c>
      <c r="P30" s="452">
        <f>+'[13]ECO'!AB26+TEC!AD25+PPC!AC27+MER!AD25+FUN!AC28</f>
        <v>8597139</v>
      </c>
      <c r="Q30" s="452">
        <f>+ECO!AD26+TEC!AE25+PPC!AD27+MER!AE25+FUN!AD28</f>
        <v>10042010</v>
      </c>
      <c r="R30" s="414">
        <f>+ECO!AE26+TEC!AF25+PPC!AE27+MER!AF25+FUN!AE28</f>
        <v>13351890</v>
      </c>
      <c r="S30" s="414">
        <f>SUM(O30:R30)</f>
        <v>43699782</v>
      </c>
      <c r="T30" s="7">
        <f t="shared" si="16"/>
        <v>0</v>
      </c>
      <c r="U30" s="7">
        <f t="shared" si="17"/>
        <v>3405284.252399996</v>
      </c>
      <c r="V30" s="130">
        <f t="shared" si="18"/>
        <v>0.9277087472045218</v>
      </c>
      <c r="W30" s="9">
        <f t="shared" si="19"/>
        <v>3405284.252399996</v>
      </c>
      <c r="X30" s="130">
        <f t="shared" si="23"/>
        <v>1</v>
      </c>
      <c r="Y30" s="131">
        <f t="shared" si="20"/>
        <v>1</v>
      </c>
      <c r="Z30" s="130">
        <f t="shared" si="21"/>
        <v>1</v>
      </c>
      <c r="AA30" s="131">
        <f t="shared" si="22"/>
        <v>0.7967864867244973</v>
      </c>
      <c r="AB30" s="227"/>
      <c r="AC30" s="65"/>
    </row>
    <row r="31" spans="1:29" s="3" customFormat="1" ht="15">
      <c r="A31" s="170" t="s">
        <v>41</v>
      </c>
      <c r="B31" s="7">
        <f>+'[13]ECO'!B27+TEC!B26+PPC!B28+MER!B26+FUN!B29</f>
        <v>61774758.8519</v>
      </c>
      <c r="C31" s="7"/>
      <c r="D31" s="7">
        <f>+FUN!D29</f>
        <v>-807247</v>
      </c>
      <c r="E31" s="7"/>
      <c r="F31" s="7"/>
      <c r="G31" s="7"/>
      <c r="H31" s="7"/>
      <c r="I31" s="7">
        <f t="shared" si="13"/>
        <v>60967511.8519</v>
      </c>
      <c r="J31" s="10">
        <f>+ECO!M27+TEC!M26+PPC!M28+MER!M26+FUN!L29</f>
        <v>10564131</v>
      </c>
      <c r="K31" s="10">
        <f>+ECO!Q27+TEC!Q26+PPC!Q28+MER!Q26+FUN!P29</f>
        <v>11014566</v>
      </c>
      <c r="L31" s="10">
        <f>+ECO!V27+TEC!V26+PPC!V28+MER!V26+FUN!U29</f>
        <v>12672460.133025</v>
      </c>
      <c r="M31" s="10">
        <f>+ECO!Z27+TEC!AA26+PPC!Z28+MER!AA26+FUN!Z29</f>
        <v>26716354.718875006</v>
      </c>
      <c r="N31" s="7">
        <f t="shared" si="14"/>
        <v>60967511.851900004</v>
      </c>
      <c r="O31" s="452">
        <f>+'[13]ECO'!AA27+TEC!AC26+PPC!AB28+MER!AC26+FUN!AB29</f>
        <v>10564131</v>
      </c>
      <c r="P31" s="452">
        <f>+'[13]ECO'!AB27+TEC!AD26+PPC!AC28+MER!AD26+FUN!AC29</f>
        <v>11014566</v>
      </c>
      <c r="Q31" s="452">
        <f>+ECO!AD27+TEC!AE26+PPC!AD28+MER!AE26+FUN!AD29</f>
        <v>12672459.540000001</v>
      </c>
      <c r="R31" s="414">
        <f>+ECO!AE27+TEC!AF26+PPC!AE28+MER!AF26+FUN!AE29</f>
        <v>12677620</v>
      </c>
      <c r="S31" s="414">
        <f t="shared" si="15"/>
        <v>46928776.54</v>
      </c>
      <c r="T31" s="7">
        <f t="shared" si="16"/>
        <v>0</v>
      </c>
      <c r="U31" s="7">
        <f t="shared" si="17"/>
        <v>14038735.311899997</v>
      </c>
      <c r="V31" s="130">
        <f t="shared" si="18"/>
        <v>0.7697341602851964</v>
      </c>
      <c r="W31" s="9">
        <f t="shared" si="19"/>
        <v>14038735.311900005</v>
      </c>
      <c r="X31" s="130">
        <f t="shared" si="23"/>
        <v>1</v>
      </c>
      <c r="Y31" s="131">
        <f t="shared" si="20"/>
        <v>1</v>
      </c>
      <c r="Z31" s="130">
        <f t="shared" si="21"/>
        <v>0.9999999532036405</v>
      </c>
      <c r="AA31" s="131">
        <f t="shared" si="22"/>
        <v>0.4745265637247775</v>
      </c>
      <c r="AB31" s="227"/>
      <c r="AC31" s="65"/>
    </row>
    <row r="32" spans="1:29" s="3" customFormat="1" ht="15">
      <c r="A32" s="170" t="s">
        <v>42</v>
      </c>
      <c r="B32" s="7">
        <f>+'[13]ECO'!B28+PPC!B29+FUN!B30</f>
        <v>47660252.5648</v>
      </c>
      <c r="C32" s="7"/>
      <c r="D32" s="7">
        <f>+FUN!D30</f>
        <v>807247</v>
      </c>
      <c r="E32" s="7"/>
      <c r="F32" s="7"/>
      <c r="G32" s="7"/>
      <c r="H32" s="7"/>
      <c r="I32" s="7">
        <f t="shared" si="13"/>
        <v>48467499.5648</v>
      </c>
      <c r="J32" s="10">
        <f>+ECO!M28+PPC!M29+FUN!L30</f>
        <v>12609588</v>
      </c>
      <c r="K32" s="10">
        <f>+ECO!Q28+PPC!Q29+FUN!P30</f>
        <v>14446464</v>
      </c>
      <c r="L32" s="10">
        <f>+ECO!V28+PPC!V29+FUN!U30</f>
        <v>10705126</v>
      </c>
      <c r="M32" s="10">
        <f>+ECO!Z28+PPC!Z29+FUN!Z30</f>
        <v>10705230.564800002</v>
      </c>
      <c r="N32" s="7">
        <f t="shared" si="14"/>
        <v>48466408.5648</v>
      </c>
      <c r="O32" s="452">
        <f>+'[13]ECO'!AA28+PPC!AB29+FUN!AB30</f>
        <v>12609588</v>
      </c>
      <c r="P32" s="452">
        <f>+'[13]ECO'!AB28+PPC!AC29+FUN!AC30</f>
        <v>14446464</v>
      </c>
      <c r="Q32" s="452">
        <f>+ECO!AD28+PPC!AD29+FUN!AD30</f>
        <v>10705126</v>
      </c>
      <c r="R32" s="414">
        <f>+ECO!AE28+PPC!AE29+FUN!AE30</f>
        <v>10705128</v>
      </c>
      <c r="S32" s="414">
        <f>SUM(O32:R32)</f>
        <v>48466306</v>
      </c>
      <c r="T32" s="7">
        <f t="shared" si="16"/>
        <v>1091</v>
      </c>
      <c r="U32" s="7">
        <f t="shared" si="17"/>
        <v>1193.5648000016809</v>
      </c>
      <c r="V32" s="130">
        <f t="shared" si="18"/>
        <v>0.9999753739142576</v>
      </c>
      <c r="W32" s="9">
        <f t="shared" si="19"/>
        <v>102.56480000168085</v>
      </c>
      <c r="X32" s="130">
        <f t="shared" si="23"/>
        <v>1</v>
      </c>
      <c r="Y32" s="131">
        <f t="shared" si="20"/>
        <v>1</v>
      </c>
      <c r="Z32" s="130">
        <f t="shared" si="21"/>
        <v>1</v>
      </c>
      <c r="AA32" s="131">
        <f t="shared" si="22"/>
        <v>0.999990419188136</v>
      </c>
      <c r="AB32" s="227"/>
      <c r="AC32" s="65"/>
    </row>
    <row r="33" spans="1:29" s="3" customFormat="1" ht="15">
      <c r="A33" s="170" t="s">
        <v>43</v>
      </c>
      <c r="B33" s="7">
        <f>+'[13]ECO'!B29+TEC!B27+PPC!B30+MER!B27+FUN!B31</f>
        <v>234176000</v>
      </c>
      <c r="C33" s="7"/>
      <c r="D33" s="7"/>
      <c r="E33" s="7">
        <f>+PPC!E30</f>
        <v>-2000000</v>
      </c>
      <c r="F33" s="7"/>
      <c r="G33" s="7"/>
      <c r="H33" s="7"/>
      <c r="I33" s="7">
        <f t="shared" si="13"/>
        <v>232176000</v>
      </c>
      <c r="J33" s="10">
        <f>+ECO!M29+TEC!M27+PPC!M30+MER!M27+FUN!L31</f>
        <v>42441538</v>
      </c>
      <c r="K33" s="10">
        <f>+ECO!Q29+TEC!Q27+PPC!Q30+MER!Q27+FUN!P31</f>
        <v>57660601</v>
      </c>
      <c r="L33" s="10">
        <f>+ECO!V29+TEC!V27+PPC!V30+MER!V27+FUN!U31</f>
        <v>59765651</v>
      </c>
      <c r="M33" s="10">
        <f>+ECO!Z29+TEC!AA27+PPC!Z30+MER!AA27+FUN!Z31</f>
        <v>72308210</v>
      </c>
      <c r="N33" s="7">
        <f t="shared" si="14"/>
        <v>232176000</v>
      </c>
      <c r="O33" s="452">
        <f>+'[13]ECO'!AA29+TEC!AC27+PPC!AB30+MER!AC27+FUN!AB31</f>
        <v>42441538</v>
      </c>
      <c r="P33" s="452">
        <f>+'[13]ECO'!AB29+TEC!AD27+PPC!AC30+MER!AD27+FUN!AC31</f>
        <v>57660601</v>
      </c>
      <c r="Q33" s="452">
        <f>+ECO!AD29+TEC!AE27+PPC!AD30+MER!AE27+FUN!AD31</f>
        <v>59765651</v>
      </c>
      <c r="R33" s="414">
        <f>+ECO!AE29+TEC!AF27+PPC!AE30+MER!AF27+FUN!AE31</f>
        <v>51581684</v>
      </c>
      <c r="S33" s="414">
        <f t="shared" si="15"/>
        <v>211449474</v>
      </c>
      <c r="T33" s="7">
        <f t="shared" si="16"/>
        <v>0</v>
      </c>
      <c r="U33" s="7">
        <f t="shared" si="17"/>
        <v>20726526</v>
      </c>
      <c r="V33" s="130">
        <f t="shared" si="18"/>
        <v>0.9107292485011371</v>
      </c>
      <c r="W33" s="9">
        <f t="shared" si="19"/>
        <v>20726526</v>
      </c>
      <c r="X33" s="130">
        <f t="shared" si="23"/>
        <v>1</v>
      </c>
      <c r="Y33" s="131">
        <f t="shared" si="20"/>
        <v>1</v>
      </c>
      <c r="Z33" s="130">
        <f t="shared" si="21"/>
        <v>1</v>
      </c>
      <c r="AA33" s="131">
        <f t="shared" si="22"/>
        <v>0.7133586075495438</v>
      </c>
      <c r="AB33" s="227"/>
      <c r="AC33" s="65"/>
    </row>
    <row r="34" spans="1:29" s="3" customFormat="1" ht="15">
      <c r="A34" s="170" t="s">
        <v>44</v>
      </c>
      <c r="B34" s="7">
        <f>+'[13]ECO'!B30+TEC!B28+PPC!B31+FUN!B32</f>
        <v>46034945.804192</v>
      </c>
      <c r="C34" s="7"/>
      <c r="D34" s="7"/>
      <c r="E34" s="7"/>
      <c r="F34" s="7"/>
      <c r="G34" s="7"/>
      <c r="H34" s="7"/>
      <c r="I34" s="7">
        <f t="shared" si="13"/>
        <v>46034945.804192</v>
      </c>
      <c r="J34" s="10">
        <f>+ECO!M30+TEC!M28+PPC!M31+FUN!L32</f>
        <v>7095778</v>
      </c>
      <c r="K34" s="10">
        <f>+ECO!Q30+TEC!Q28+PPC!Q31+FUN!P32</f>
        <v>6561826</v>
      </c>
      <c r="L34" s="10">
        <f>+ECO!V30+TEC!V28+PPC!V31+FUN!U32</f>
        <v>12870968</v>
      </c>
      <c r="M34" s="10">
        <f>+ECO!Z30+TEC!AA28+PPC!Z31+FUN!Z32</f>
        <v>18826373.804192</v>
      </c>
      <c r="N34" s="7">
        <f t="shared" si="14"/>
        <v>45354945.804192</v>
      </c>
      <c r="O34" s="452">
        <f>+'[13]ECO'!AA30+TEC!AC28+PPC!AB31+FUN!AB32</f>
        <v>7095778</v>
      </c>
      <c r="P34" s="452">
        <f>+'[13]ECO'!AB30+TEC!AD28+PPC!AC31+FUN!AC32</f>
        <v>6561826</v>
      </c>
      <c r="Q34" s="452">
        <f>+ECO!AD30+PPC!AD31+FUN!AD32</f>
        <v>12870968</v>
      </c>
      <c r="R34" s="414">
        <f>+ECO!AE30+PPC!AE31+FUN!AE32</f>
        <v>18384995</v>
      </c>
      <c r="S34" s="414">
        <f t="shared" si="15"/>
        <v>44913567</v>
      </c>
      <c r="T34" s="7">
        <f t="shared" si="16"/>
        <v>680000</v>
      </c>
      <c r="U34" s="7">
        <f t="shared" si="17"/>
        <v>1121378.8041919991</v>
      </c>
      <c r="V34" s="130">
        <f t="shared" si="18"/>
        <v>0.9756407054553351</v>
      </c>
      <c r="W34" s="9">
        <f t="shared" si="19"/>
        <v>441378.80419199914</v>
      </c>
      <c r="X34" s="130">
        <f t="shared" si="23"/>
        <v>1</v>
      </c>
      <c r="Y34" s="131">
        <f t="shared" si="20"/>
        <v>1</v>
      </c>
      <c r="Z34" s="130">
        <f t="shared" si="21"/>
        <v>1</v>
      </c>
      <c r="AA34" s="131">
        <f t="shared" si="22"/>
        <v>0.9765552937181287</v>
      </c>
      <c r="AB34" s="227"/>
      <c r="AC34" s="65"/>
    </row>
    <row r="35" spans="1:29" s="3" customFormat="1" ht="15">
      <c r="A35" s="170" t="s">
        <v>45</v>
      </c>
      <c r="B35" s="7">
        <f>+'[13]ECO'!B31+TEC!B29+PPC!B32+MER!B28+FUN!B33</f>
        <v>133687645.59616</v>
      </c>
      <c r="C35" s="7"/>
      <c r="D35" s="7"/>
      <c r="E35" s="7"/>
      <c r="F35" s="7"/>
      <c r="G35" s="7">
        <f>+FUN!G33</f>
        <v>-2350100</v>
      </c>
      <c r="H35" s="7"/>
      <c r="I35" s="7">
        <f t="shared" si="13"/>
        <v>131337545.59616</v>
      </c>
      <c r="J35" s="10">
        <f>+ECO!M31+TEC!M29+PPC!M32+MER!M28+FUN!L33</f>
        <v>28749504</v>
      </c>
      <c r="K35" s="10">
        <f>+ECO!Q31+TEC!Q29+PPC!Q32+MER!Q28+FUN!P33</f>
        <v>25587909</v>
      </c>
      <c r="L35" s="10">
        <f>+ECO!V31+TEC!V29+PPC!V32+MER!V28+FUN!U33</f>
        <v>28081934</v>
      </c>
      <c r="M35" s="10">
        <f>+ECO!Z31+TEC!AA29+PPC!Z32+MER!AA28+FUN!Z33</f>
        <v>48918198.59616</v>
      </c>
      <c r="N35" s="7">
        <f t="shared" si="14"/>
        <v>131337545.59616</v>
      </c>
      <c r="O35" s="452">
        <f>+'[13]ECO'!AA31+TEC!AC29+PPC!AB32+MER!AC28+FUN!AB33</f>
        <v>28749504</v>
      </c>
      <c r="P35" s="452">
        <f>+'[13]ECO'!AB31+TEC!AD29+PPC!AC32+MER!AD28+FUN!AC33</f>
        <v>25587909</v>
      </c>
      <c r="Q35" s="452">
        <f>+ECO!AD31+TEC!AE29+PPC!AD32+MER!AE28+FUN!AD33</f>
        <v>28081934</v>
      </c>
      <c r="R35" s="414">
        <f>+ECO!AE31+TEC!AF29+PPC!AE32+MER!AF28+FUN!AE33</f>
        <v>18687695</v>
      </c>
      <c r="S35" s="414">
        <f t="shared" si="15"/>
        <v>101107042</v>
      </c>
      <c r="T35" s="7">
        <f t="shared" si="16"/>
        <v>0</v>
      </c>
      <c r="U35" s="7">
        <f t="shared" si="17"/>
        <v>30230503.596159995</v>
      </c>
      <c r="V35" s="130">
        <f t="shared" si="18"/>
        <v>0.7698258829267793</v>
      </c>
      <c r="W35" s="9">
        <f t="shared" si="19"/>
        <v>30230503.596159995</v>
      </c>
      <c r="X35" s="130">
        <f t="shared" si="23"/>
        <v>1</v>
      </c>
      <c r="Y35" s="131">
        <f t="shared" si="20"/>
        <v>1</v>
      </c>
      <c r="Z35" s="130">
        <f t="shared" si="21"/>
        <v>1</v>
      </c>
      <c r="AA35" s="131">
        <f t="shared" si="22"/>
        <v>0.38201927986503886</v>
      </c>
      <c r="AB35" s="227"/>
      <c r="AC35" s="65"/>
    </row>
    <row r="36" spans="1:29" s="3" customFormat="1" ht="15">
      <c r="A36" s="170" t="s">
        <v>46</v>
      </c>
      <c r="B36" s="7">
        <f>+PPC!B33+FUN!B34</f>
        <v>4655100</v>
      </c>
      <c r="C36" s="7"/>
      <c r="D36" s="7"/>
      <c r="E36" s="7"/>
      <c r="F36" s="7"/>
      <c r="G36" s="7"/>
      <c r="H36" s="7"/>
      <c r="I36" s="7">
        <f t="shared" si="13"/>
        <v>4655100</v>
      </c>
      <c r="J36" s="10">
        <f>+PPC!M33+FUN!L34</f>
        <v>919100</v>
      </c>
      <c r="K36" s="10">
        <f>+PPC!Q33+FUN!P34</f>
        <v>1253500</v>
      </c>
      <c r="L36" s="10">
        <f>+PPC!V33+FUN!U34</f>
        <v>1393500</v>
      </c>
      <c r="M36" s="10">
        <f>+PPC!Z33+FUN!Z34</f>
        <v>1089000</v>
      </c>
      <c r="N36" s="7">
        <f t="shared" si="14"/>
        <v>4655100</v>
      </c>
      <c r="O36" s="452">
        <f>+PPC!AB33+FUN!AB34</f>
        <v>919100</v>
      </c>
      <c r="P36" s="452">
        <f>+PPC!AC33+FUN!AC34</f>
        <v>1253500</v>
      </c>
      <c r="Q36" s="452">
        <f>+PPC!AD33+FUN!AD34</f>
        <v>1393500</v>
      </c>
      <c r="R36" s="414">
        <f>+PPC!AE33+FUN!AE34</f>
        <v>968600</v>
      </c>
      <c r="S36" s="414">
        <f t="shared" si="15"/>
        <v>4534700</v>
      </c>
      <c r="T36" s="7">
        <f t="shared" si="16"/>
        <v>0</v>
      </c>
      <c r="U36" s="7">
        <f t="shared" si="17"/>
        <v>120400</v>
      </c>
      <c r="V36" s="130">
        <f t="shared" si="18"/>
        <v>0.974135893965758</v>
      </c>
      <c r="W36" s="9">
        <f t="shared" si="19"/>
        <v>120400</v>
      </c>
      <c r="X36" s="130">
        <f t="shared" si="23"/>
        <v>1</v>
      </c>
      <c r="Y36" s="131">
        <f t="shared" si="20"/>
        <v>1</v>
      </c>
      <c r="Z36" s="130">
        <f t="shared" si="21"/>
        <v>1</v>
      </c>
      <c r="AA36" s="131">
        <f t="shared" si="22"/>
        <v>0.8894398530762168</v>
      </c>
      <c r="AB36" s="227"/>
      <c r="AC36" s="65"/>
    </row>
    <row r="37" spans="1:29" s="3" customFormat="1" ht="15">
      <c r="A37" s="170" t="s">
        <v>47</v>
      </c>
      <c r="B37" s="7">
        <f>+'[13]ECO'!B32+TEC!B30+PPC!B34+FUN!B35</f>
        <v>69505410.80236</v>
      </c>
      <c r="C37" s="7"/>
      <c r="D37" s="7"/>
      <c r="E37" s="7">
        <f>+PPC!E34</f>
        <v>2000000</v>
      </c>
      <c r="F37" s="7"/>
      <c r="G37" s="7">
        <f>+PPC!G34</f>
        <v>7000000</v>
      </c>
      <c r="H37" s="7"/>
      <c r="I37" s="7">
        <f t="shared" si="13"/>
        <v>78505410.80236</v>
      </c>
      <c r="J37" s="10">
        <f>+ECO!M32+TEC!M30+PPC!M34+FUN!L35</f>
        <v>7229790</v>
      </c>
      <c r="K37" s="10">
        <f>+ECO!Q32+TEC!Q30+PPC!Q34+FUN!P35</f>
        <v>7540272</v>
      </c>
      <c r="L37" s="10">
        <f>+ECO!V32+TEC!V30+PPC!V34+FUN!U35</f>
        <v>14502012</v>
      </c>
      <c r="M37" s="10">
        <f>+ECO!Z32+TEC!AA30+PPC!Z34+FUN!Z35</f>
        <v>49233336.80236</v>
      </c>
      <c r="N37" s="7">
        <f t="shared" si="14"/>
        <v>78505410.80236</v>
      </c>
      <c r="O37" s="452">
        <f>+'[13]ECO'!AA32+TEC!AC30+PPC!AB34+FUN!AB35</f>
        <v>7229790</v>
      </c>
      <c r="P37" s="452">
        <f>+'[13]ECO'!AB32+TEC!AD30+PPC!AC34+FUN!AC35</f>
        <v>7540272</v>
      </c>
      <c r="Q37" s="452">
        <f>+ECO!AD32+PPC!AD34+FUN!AD35</f>
        <v>14502012</v>
      </c>
      <c r="R37" s="414">
        <f>+ECO!AE32+PPC!AE34+FUN!AE35</f>
        <v>24161891</v>
      </c>
      <c r="S37" s="414">
        <f t="shared" si="15"/>
        <v>53433965</v>
      </c>
      <c r="T37" s="7">
        <f t="shared" si="16"/>
        <v>0</v>
      </c>
      <c r="U37" s="7">
        <f t="shared" si="17"/>
        <v>25071445.80236</v>
      </c>
      <c r="V37" s="130">
        <f t="shared" si="18"/>
        <v>0.6806405374340604</v>
      </c>
      <c r="W37" s="9">
        <f t="shared" si="19"/>
        <v>25071445.80236</v>
      </c>
      <c r="X37" s="130">
        <f t="shared" si="23"/>
        <v>1</v>
      </c>
      <c r="Y37" s="131">
        <f t="shared" si="20"/>
        <v>1</v>
      </c>
      <c r="Z37" s="130">
        <f t="shared" si="21"/>
        <v>1</v>
      </c>
      <c r="AA37" s="131">
        <f t="shared" si="22"/>
        <v>0.4907628157927699</v>
      </c>
      <c r="AB37" s="227"/>
      <c r="AC37" s="65"/>
    </row>
    <row r="38" spans="1:29" s="3" customFormat="1" ht="15">
      <c r="A38" s="170" t="s">
        <v>48</v>
      </c>
      <c r="B38" s="7">
        <f>+FUN!B36</f>
        <v>18570600</v>
      </c>
      <c r="C38" s="7"/>
      <c r="D38" s="7"/>
      <c r="E38" s="7"/>
      <c r="F38" s="7"/>
      <c r="G38" s="7">
        <f>+FUN!G36</f>
        <v>-6500000</v>
      </c>
      <c r="H38" s="7"/>
      <c r="I38" s="7">
        <f t="shared" si="13"/>
        <v>12070600</v>
      </c>
      <c r="J38" s="10">
        <f>+FUN!L36</f>
        <v>3927925</v>
      </c>
      <c r="K38" s="10">
        <f>+FUN!P36</f>
        <v>1612932</v>
      </c>
      <c r="L38" s="10">
        <f>+FUN!U36</f>
        <v>2184579</v>
      </c>
      <c r="M38" s="10">
        <f>+FUN!Z36</f>
        <v>4345164</v>
      </c>
      <c r="N38" s="7">
        <f t="shared" si="14"/>
        <v>12070600</v>
      </c>
      <c r="O38" s="452">
        <f>+FUN!AB36</f>
        <v>3927925</v>
      </c>
      <c r="P38" s="452">
        <f>+FUN!AC36</f>
        <v>1612932</v>
      </c>
      <c r="Q38" s="452">
        <f>+FUN!AD36</f>
        <v>2184579</v>
      </c>
      <c r="R38" s="414">
        <f>+FUN!AE36</f>
        <v>2556372</v>
      </c>
      <c r="S38" s="414">
        <f t="shared" si="15"/>
        <v>10281808</v>
      </c>
      <c r="T38" s="7">
        <f t="shared" si="16"/>
        <v>0</v>
      </c>
      <c r="U38" s="7">
        <f t="shared" si="17"/>
        <v>1788792</v>
      </c>
      <c r="V38" s="130">
        <f t="shared" si="18"/>
        <v>0.8518058754328699</v>
      </c>
      <c r="W38" s="9">
        <f t="shared" si="19"/>
        <v>1788792</v>
      </c>
      <c r="X38" s="130">
        <v>0</v>
      </c>
      <c r="Y38" s="131">
        <f t="shared" si="20"/>
        <v>1</v>
      </c>
      <c r="Z38" s="130">
        <f t="shared" si="21"/>
        <v>1</v>
      </c>
      <c r="AA38" s="131">
        <f>+R38/M39</f>
        <v>0.0903062089836211</v>
      </c>
      <c r="AB38" s="227"/>
      <c r="AC38" s="65"/>
    </row>
    <row r="39" spans="1:29" s="3" customFormat="1" ht="15">
      <c r="A39" s="170" t="s">
        <v>49</v>
      </c>
      <c r="B39" s="7">
        <f>+PPC!B35+FUN!B37</f>
        <v>80000000</v>
      </c>
      <c r="C39" s="7"/>
      <c r="D39" s="7"/>
      <c r="E39" s="7"/>
      <c r="F39" s="7">
        <f>+PPC!F35</f>
        <v>8000000</v>
      </c>
      <c r="G39" s="7">
        <f>+FUN!G37</f>
        <v>6500000</v>
      </c>
      <c r="H39" s="7"/>
      <c r="I39" s="7">
        <f>+SUM(B39:H39)</f>
        <v>94500000</v>
      </c>
      <c r="J39" s="10">
        <f>+PPC!M35+FUN!L37</f>
        <v>19411871.25</v>
      </c>
      <c r="K39" s="10">
        <f>+PPC!Q35+FUN!P37</f>
        <v>25366673.76</v>
      </c>
      <c r="L39" s="10">
        <f>+PPC!V35+FUN!U37</f>
        <v>21413633.979999997</v>
      </c>
      <c r="M39" s="10">
        <f>+PPC!Z35+FUN!Z37</f>
        <v>28307821.009999998</v>
      </c>
      <c r="N39" s="7">
        <f t="shared" si="14"/>
        <v>94500000</v>
      </c>
      <c r="O39" s="452">
        <f>+PPC!AB35+FUN!AB37</f>
        <v>19411871.25</v>
      </c>
      <c r="P39" s="452">
        <f>+PPC!AC35+FUN!AC37</f>
        <v>25366673.76</v>
      </c>
      <c r="Q39" s="452">
        <f>+PPC!AD35+FUN!AD37</f>
        <v>21413633.979999997</v>
      </c>
      <c r="R39" s="414">
        <f>+PPC!AE35+FUN!AE37</f>
        <v>22200486.04</v>
      </c>
      <c r="S39" s="414">
        <f t="shared" si="15"/>
        <v>88392665.03</v>
      </c>
      <c r="T39" s="7">
        <f t="shared" si="16"/>
        <v>0</v>
      </c>
      <c r="U39" s="7">
        <f t="shared" si="17"/>
        <v>6107334.969999999</v>
      </c>
      <c r="V39" s="130">
        <f t="shared" si="18"/>
        <v>0.9353721167195768</v>
      </c>
      <c r="W39" s="9">
        <f t="shared" si="19"/>
        <v>6107334.969999999</v>
      </c>
      <c r="X39" s="130">
        <f t="shared" si="23"/>
        <v>1</v>
      </c>
      <c r="Y39" s="131">
        <f t="shared" si="20"/>
        <v>1</v>
      </c>
      <c r="Z39" s="130">
        <f t="shared" si="21"/>
        <v>1</v>
      </c>
      <c r="AA39" s="131">
        <f>+R39/M40</f>
        <v>5.848987209440796</v>
      </c>
      <c r="AB39" s="227"/>
      <c r="AC39" s="65"/>
    </row>
    <row r="40" spans="1:29" s="3" customFormat="1" ht="15.75" thickBot="1">
      <c r="A40" s="168" t="s">
        <v>50</v>
      </c>
      <c r="B40" s="11">
        <f>+FUN!B38</f>
        <v>31186455</v>
      </c>
      <c r="C40" s="11"/>
      <c r="D40" s="11"/>
      <c r="E40" s="11"/>
      <c r="F40" s="11"/>
      <c r="G40" s="11"/>
      <c r="H40" s="11"/>
      <c r="I40" s="7">
        <f>+SUM(B40:G40)</f>
        <v>31186455</v>
      </c>
      <c r="J40" s="53">
        <f>+FUN!L38</f>
        <v>0</v>
      </c>
      <c r="K40" s="53">
        <f>+FUN!P38</f>
        <v>0</v>
      </c>
      <c r="L40" s="53">
        <f>+FUN!U38</f>
        <v>27390843</v>
      </c>
      <c r="M40" s="53">
        <f>+FUN!Z38</f>
        <v>3795612</v>
      </c>
      <c r="N40" s="11">
        <f t="shared" si="14"/>
        <v>31186455</v>
      </c>
      <c r="O40" s="455">
        <f>+FUN!AB38</f>
        <v>0</v>
      </c>
      <c r="P40" s="455">
        <f>+FUN!AC38</f>
        <v>0</v>
      </c>
      <c r="Q40" s="452">
        <f>+FUN!AD38</f>
        <v>27390843</v>
      </c>
      <c r="R40" s="456">
        <f>+FUN!AE38</f>
        <v>0</v>
      </c>
      <c r="S40" s="456">
        <f t="shared" si="15"/>
        <v>27390843</v>
      </c>
      <c r="T40" s="11">
        <f t="shared" si="16"/>
        <v>0</v>
      </c>
      <c r="U40" s="11">
        <f t="shared" si="17"/>
        <v>3795612</v>
      </c>
      <c r="V40" s="146">
        <f t="shared" si="18"/>
        <v>0.8782929319796046</v>
      </c>
      <c r="W40" s="129">
        <f t="shared" si="19"/>
        <v>3795612</v>
      </c>
      <c r="X40" s="146">
        <v>0</v>
      </c>
      <c r="Y40" s="131">
        <v>0</v>
      </c>
      <c r="Z40" s="146">
        <f t="shared" si="21"/>
        <v>1</v>
      </c>
      <c r="AA40" s="157">
        <f t="shared" si="22"/>
        <v>0</v>
      </c>
      <c r="AB40" s="227"/>
      <c r="AC40" s="65"/>
    </row>
    <row r="41" spans="1:29" s="3" customFormat="1" ht="17.25" thickBot="1">
      <c r="A41" s="158" t="s">
        <v>51</v>
      </c>
      <c r="B41" s="158">
        <f>SUM(B27:B40)</f>
        <v>897236078.087812</v>
      </c>
      <c r="C41" s="158">
        <f aca="true" t="shared" si="24" ref="C41:N41">SUM(C27:C40)</f>
        <v>0</v>
      </c>
      <c r="D41" s="158">
        <f t="shared" si="24"/>
        <v>0</v>
      </c>
      <c r="E41" s="158">
        <f t="shared" si="24"/>
        <v>0</v>
      </c>
      <c r="F41" s="158">
        <f t="shared" si="24"/>
        <v>8000000</v>
      </c>
      <c r="G41" s="158">
        <f t="shared" si="24"/>
        <v>4649900</v>
      </c>
      <c r="H41" s="158">
        <f t="shared" si="24"/>
        <v>0</v>
      </c>
      <c r="I41" s="158">
        <f>SUM(I27:I40)</f>
        <v>909885978.087812</v>
      </c>
      <c r="J41" s="158">
        <f t="shared" si="24"/>
        <v>189571555.89</v>
      </c>
      <c r="K41" s="158">
        <f t="shared" si="24"/>
        <v>204934214.56</v>
      </c>
      <c r="L41" s="158">
        <f t="shared" si="24"/>
        <v>211814136.913025</v>
      </c>
      <c r="M41" s="158">
        <f t="shared" si="24"/>
        <v>302868307.524787</v>
      </c>
      <c r="N41" s="158">
        <f t="shared" si="24"/>
        <v>909188214.8878121</v>
      </c>
      <c r="O41" s="454">
        <f aca="true" t="shared" si="25" ref="O41:U41">SUM(O27:O40)</f>
        <v>189571555.89</v>
      </c>
      <c r="P41" s="454">
        <f>SUM(P27:P40)</f>
        <v>204934214.56</v>
      </c>
      <c r="Q41" s="454">
        <f>SUM(Q27:Q40)</f>
        <v>211814136.32</v>
      </c>
      <c r="R41" s="454">
        <f t="shared" si="25"/>
        <v>195554760.04</v>
      </c>
      <c r="S41" s="454">
        <f t="shared" si="25"/>
        <v>801874666.81</v>
      </c>
      <c r="T41" s="158">
        <f t="shared" si="25"/>
        <v>697763.1999999993</v>
      </c>
      <c r="U41" s="158">
        <f t="shared" si="25"/>
        <v>108011311.277812</v>
      </c>
      <c r="V41" s="159">
        <f t="shared" si="18"/>
        <v>0.8812913772945428</v>
      </c>
      <c r="W41" s="158">
        <f t="shared" si="19"/>
        <v>107313548.0778122</v>
      </c>
      <c r="X41" s="156">
        <f t="shared" si="23"/>
        <v>1</v>
      </c>
      <c r="Y41" s="156">
        <f t="shared" si="20"/>
        <v>1</v>
      </c>
      <c r="Z41" s="156">
        <f t="shared" si="21"/>
        <v>0.9999999972002577</v>
      </c>
      <c r="AA41" s="156">
        <f t="shared" si="22"/>
        <v>0.645675876879246</v>
      </c>
      <c r="AB41" s="73"/>
      <c r="AC41" s="73"/>
    </row>
    <row r="42" spans="1:29" s="3" customFormat="1" ht="16.5">
      <c r="A42" s="175"/>
      <c r="B42" s="15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53"/>
      <c r="P42" s="453"/>
      <c r="Q42" s="453"/>
      <c r="R42" s="453"/>
      <c r="S42" s="453"/>
      <c r="T42" s="47"/>
      <c r="U42" s="47"/>
      <c r="V42" s="70"/>
      <c r="W42" s="71"/>
      <c r="X42" s="72"/>
      <c r="Y42" s="71"/>
      <c r="Z42" s="72"/>
      <c r="AA42" s="71"/>
      <c r="AB42" s="227"/>
      <c r="AC42" s="65"/>
    </row>
    <row r="43" spans="1:29" s="3" customFormat="1" ht="16.5">
      <c r="A43" s="173" t="s">
        <v>52</v>
      </c>
      <c r="B43" s="3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14"/>
      <c r="P43" s="414"/>
      <c r="Q43" s="414"/>
      <c r="R43" s="414"/>
      <c r="S43" s="414"/>
      <c r="T43" s="7"/>
      <c r="U43" s="7"/>
      <c r="V43" s="64"/>
      <c r="W43" s="32"/>
      <c r="X43" s="12"/>
      <c r="Y43" s="32"/>
      <c r="Z43" s="12"/>
      <c r="AA43" s="32"/>
      <c r="AB43" s="227"/>
      <c r="AC43" s="65"/>
    </row>
    <row r="44" spans="1:29" s="3" customFormat="1" ht="15">
      <c r="A44" s="170" t="s">
        <v>53</v>
      </c>
      <c r="B44" s="7">
        <f>+'[13]ECO'!B64</f>
        <v>2260118760.375</v>
      </c>
      <c r="C44" s="7"/>
      <c r="D44" s="7"/>
      <c r="E44" s="7"/>
      <c r="F44" s="7">
        <f>+ECO!F36</f>
        <v>-382411608</v>
      </c>
      <c r="G44" s="7">
        <f>+ECO!G36</f>
        <v>-2450000</v>
      </c>
      <c r="H44" s="7"/>
      <c r="I44" s="7">
        <f>+SUM(B44:G44)</f>
        <v>1875257152.375</v>
      </c>
      <c r="J44" s="10">
        <f>+ECO!M65</f>
        <v>338318289.99999976</v>
      </c>
      <c r="K44" s="10">
        <f>+ECO!Q65</f>
        <v>415186710</v>
      </c>
      <c r="L44" s="10">
        <f>+ECO!V65</f>
        <v>454003834.0000001</v>
      </c>
      <c r="M44" s="10">
        <f>+ECO!Z65</f>
        <v>667731255.3750002</v>
      </c>
      <c r="N44" s="7">
        <f>SUM(J44:M44)</f>
        <v>1875240089.3750002</v>
      </c>
      <c r="O44" s="452">
        <f>+'[13]ECO'!AA36</f>
        <v>338318289.99999976</v>
      </c>
      <c r="P44" s="452">
        <f>+'[13]ECO'!AB64</f>
        <v>415186710</v>
      </c>
      <c r="Q44" s="452">
        <f>+ECO!AD65</f>
        <v>454003834.0000001</v>
      </c>
      <c r="R44" s="414">
        <f>+ECO!AE65</f>
        <v>537738434.9500002</v>
      </c>
      <c r="S44" s="414">
        <f>SUM(O44:R44)</f>
        <v>1745247268.9500003</v>
      </c>
      <c r="T44" s="7">
        <f>+I44-N44</f>
        <v>17062.99999976158</v>
      </c>
      <c r="U44" s="7">
        <f>+I44-S44</f>
        <v>130009883.42499971</v>
      </c>
      <c r="V44" s="130">
        <f>+S44/I44</f>
        <v>0.9306709038489238</v>
      </c>
      <c r="W44" s="9">
        <f>+N44-S44</f>
        <v>129992820.42499995</v>
      </c>
      <c r="X44" s="130">
        <f aca="true" t="shared" si="26" ref="X44:AA48">+O44/J44</f>
        <v>1</v>
      </c>
      <c r="Y44" s="131">
        <f t="shared" si="26"/>
        <v>1</v>
      </c>
      <c r="Z44" s="130">
        <f t="shared" si="26"/>
        <v>1</v>
      </c>
      <c r="AA44" s="131">
        <f t="shared" si="26"/>
        <v>0.805321647925563</v>
      </c>
      <c r="AB44" s="227"/>
      <c r="AC44" s="65"/>
    </row>
    <row r="45" spans="1:29" s="3" customFormat="1" ht="15">
      <c r="A45" s="170" t="s">
        <v>54</v>
      </c>
      <c r="B45" s="7">
        <f>+TEC!B35</f>
        <v>1110781737</v>
      </c>
      <c r="C45" s="7"/>
      <c r="D45" s="7"/>
      <c r="E45" s="7"/>
      <c r="F45" s="7">
        <f>+TEC!F35</f>
        <v>-387000000</v>
      </c>
      <c r="G45" s="7">
        <f>+TEC!H35</f>
        <v>0</v>
      </c>
      <c r="H45" s="7"/>
      <c r="I45" s="7">
        <f>+SUM(B45:G45)</f>
        <v>723781737</v>
      </c>
      <c r="J45" s="10">
        <f>+TEC!M62</f>
        <v>80325359.2</v>
      </c>
      <c r="K45" s="7">
        <f>+TEC!Q62</f>
        <v>143216407</v>
      </c>
      <c r="L45" s="7">
        <f>+TEC!V62</f>
        <v>187791332</v>
      </c>
      <c r="M45" s="7">
        <f>+TEC!AA62</f>
        <v>273894282</v>
      </c>
      <c r="N45" s="7">
        <f>SUM(J45:M45)</f>
        <v>685227380.2</v>
      </c>
      <c r="O45" s="452">
        <f>+TEC!AC35</f>
        <v>80325359.2</v>
      </c>
      <c r="P45" s="452">
        <f>+TEC!AD35</f>
        <v>143216407</v>
      </c>
      <c r="Q45" s="452">
        <f>+TEC!AE62</f>
        <v>187791332</v>
      </c>
      <c r="R45" s="414">
        <f>+TEC!AF62</f>
        <v>264190471</v>
      </c>
      <c r="S45" s="414">
        <f>SUM(O45:R45)</f>
        <v>675523569.2</v>
      </c>
      <c r="T45" s="7">
        <f>+I45-N45</f>
        <v>38554356.79999995</v>
      </c>
      <c r="U45" s="7">
        <f>+I45-S45</f>
        <v>48258167.79999995</v>
      </c>
      <c r="V45" s="130">
        <f>+S45/I45</f>
        <v>0.9333249716965435</v>
      </c>
      <c r="W45" s="9">
        <f>+N45-S45</f>
        <v>9703811</v>
      </c>
      <c r="X45" s="130">
        <f t="shared" si="26"/>
        <v>1</v>
      </c>
      <c r="Y45" s="131">
        <f t="shared" si="26"/>
        <v>1</v>
      </c>
      <c r="Z45" s="130">
        <f t="shared" si="26"/>
        <v>1</v>
      </c>
      <c r="AA45" s="131">
        <f t="shared" si="26"/>
        <v>0.9645709617260283</v>
      </c>
      <c r="AB45" s="227"/>
      <c r="AC45" s="65"/>
    </row>
    <row r="46" spans="1:29" s="3" customFormat="1" ht="15">
      <c r="A46" s="170" t="s">
        <v>55</v>
      </c>
      <c r="B46" s="7">
        <f>+PPC!B68</f>
        <v>4625165946.33424</v>
      </c>
      <c r="C46" s="7"/>
      <c r="D46" s="7"/>
      <c r="E46" s="7">
        <f>+PPC!E68</f>
        <v>5600000</v>
      </c>
      <c r="F46" s="7">
        <f>+PPC!F40</f>
        <v>-258677677</v>
      </c>
      <c r="G46" s="7">
        <f>+PPC!G40</f>
        <v>270000000</v>
      </c>
      <c r="H46" s="7"/>
      <c r="I46" s="7">
        <f>+SUM(B46:G46)</f>
        <v>4642088269.33424</v>
      </c>
      <c r="J46" s="10">
        <f>+PPC!M68</f>
        <v>971703359.1700001</v>
      </c>
      <c r="K46" s="10">
        <f>+PPC!Q68</f>
        <v>1048755268.05</v>
      </c>
      <c r="L46" s="10">
        <f>+PPC!V68</f>
        <v>1143472611</v>
      </c>
      <c r="M46" s="10">
        <f>+PPC!Z68</f>
        <v>1418879979</v>
      </c>
      <c r="N46" s="7">
        <f>SUM(J46:M46)</f>
        <v>4582811217.22</v>
      </c>
      <c r="O46" s="452">
        <f>+PPC!AB40</f>
        <v>971703359.1700001</v>
      </c>
      <c r="P46" s="452">
        <f>+PPC!AC68</f>
        <v>1048755268.05</v>
      </c>
      <c r="Q46" s="452">
        <f>+PPC!AD68</f>
        <v>1143472611</v>
      </c>
      <c r="R46" s="414">
        <f>+PPC!AE68</f>
        <v>1342463740.6799998</v>
      </c>
      <c r="S46" s="414">
        <f>SUM(O46:R46)</f>
        <v>4506394978.9</v>
      </c>
      <c r="T46" s="7">
        <f>+I46-N46</f>
        <v>59277052.11423969</v>
      </c>
      <c r="U46" s="7">
        <f>+I46-S46</f>
        <v>135693290.43424034</v>
      </c>
      <c r="V46" s="130">
        <f>+S46/I46</f>
        <v>0.9707689120582575</v>
      </c>
      <c r="W46" s="9">
        <f>+N46-S46</f>
        <v>76416238.32000065</v>
      </c>
      <c r="X46" s="130">
        <f t="shared" si="26"/>
        <v>1</v>
      </c>
      <c r="Y46" s="131">
        <f t="shared" si="26"/>
        <v>1</v>
      </c>
      <c r="Z46" s="130">
        <f t="shared" si="26"/>
        <v>1</v>
      </c>
      <c r="AA46" s="131">
        <f t="shared" si="26"/>
        <v>0.9461432683165655</v>
      </c>
      <c r="AB46" s="227"/>
      <c r="AC46" s="65"/>
    </row>
    <row r="47" spans="1:29" s="3" customFormat="1" ht="15.75" thickBot="1">
      <c r="A47" s="171" t="s">
        <v>56</v>
      </c>
      <c r="B47" s="47">
        <f>+MER!B73</f>
        <v>2419905480.5964</v>
      </c>
      <c r="C47" s="11">
        <f>+MER!C73</f>
        <v>-154458505</v>
      </c>
      <c r="D47" s="11">
        <f>+MER!D73</f>
        <v>309629945</v>
      </c>
      <c r="E47" s="11"/>
      <c r="F47" s="11">
        <f>+MER!F33</f>
        <v>-65898781</v>
      </c>
      <c r="G47" s="11">
        <f>+MER!H33</f>
        <v>0</v>
      </c>
      <c r="H47" s="11"/>
      <c r="I47" s="7">
        <f>+SUM(B47:G47)</f>
        <v>2509178139.5964</v>
      </c>
      <c r="J47" s="59">
        <f>+MER!M73</f>
        <v>277596593</v>
      </c>
      <c r="K47" s="47">
        <f>+MER!Q73</f>
        <v>634398313</v>
      </c>
      <c r="L47" s="47">
        <f>+MER!V73</f>
        <v>849105718.8000001</v>
      </c>
      <c r="M47" s="47">
        <f>+MER!AA73</f>
        <v>743734437.4083999</v>
      </c>
      <c r="N47" s="11">
        <f>SUM(J47:M47)</f>
        <v>2504835062.2084002</v>
      </c>
      <c r="O47" s="457">
        <f>+MER!AC33</f>
        <v>277596593</v>
      </c>
      <c r="P47" s="457">
        <f>+MER!AD73</f>
        <v>634398313</v>
      </c>
      <c r="Q47" s="457">
        <f>+MER!AE73</f>
        <v>849105718.8000001</v>
      </c>
      <c r="R47" s="453">
        <f>+MER!AF73</f>
        <v>679948897</v>
      </c>
      <c r="S47" s="456">
        <f>SUM(O47:R47)</f>
        <v>2441049521.8</v>
      </c>
      <c r="T47" s="11">
        <f>+I47-N47</f>
        <v>4343077.387999535</v>
      </c>
      <c r="U47" s="11">
        <f>+I47-S47</f>
        <v>68128617.7963996</v>
      </c>
      <c r="V47" s="146">
        <f>+S47/I47</f>
        <v>0.9728482339610379</v>
      </c>
      <c r="W47" s="129">
        <f>+N47-S47</f>
        <v>63785540.40840006</v>
      </c>
      <c r="X47" s="146">
        <f>+O47/J47</f>
        <v>1</v>
      </c>
      <c r="Y47" s="157">
        <f t="shared" si="26"/>
        <v>1</v>
      </c>
      <c r="Z47" s="146">
        <f t="shared" si="26"/>
        <v>1</v>
      </c>
      <c r="AA47" s="157">
        <f t="shared" si="26"/>
        <v>0.9142361342972559</v>
      </c>
      <c r="AB47" s="227"/>
      <c r="AC47" s="65"/>
    </row>
    <row r="48" spans="1:29" s="3" customFormat="1" ht="17.25" thickBot="1">
      <c r="A48" s="158" t="s">
        <v>57</v>
      </c>
      <c r="B48" s="158">
        <f>SUM(B44:B47)</f>
        <v>10415971924.30564</v>
      </c>
      <c r="C48" s="158">
        <f aca="true" t="shared" si="27" ref="C48:N48">SUM(C44:C47)</f>
        <v>-154458505</v>
      </c>
      <c r="D48" s="158">
        <f t="shared" si="27"/>
        <v>309629945</v>
      </c>
      <c r="E48" s="158">
        <f t="shared" si="27"/>
        <v>5600000</v>
      </c>
      <c r="F48" s="158">
        <f t="shared" si="27"/>
        <v>-1093988066</v>
      </c>
      <c r="G48" s="158">
        <f>SUM(G44:G47)</f>
        <v>267550000</v>
      </c>
      <c r="H48" s="158">
        <f t="shared" si="27"/>
        <v>0</v>
      </c>
      <c r="I48" s="158">
        <f>SUM(I44:I47)</f>
        <v>9750305298.30564</v>
      </c>
      <c r="J48" s="158">
        <f t="shared" si="27"/>
        <v>1667943601.37</v>
      </c>
      <c r="K48" s="158">
        <f t="shared" si="27"/>
        <v>2241556698.05</v>
      </c>
      <c r="L48" s="158">
        <f t="shared" si="27"/>
        <v>2634373495.8</v>
      </c>
      <c r="M48" s="158">
        <f t="shared" si="27"/>
        <v>3104239953.7834</v>
      </c>
      <c r="N48" s="158">
        <f t="shared" si="27"/>
        <v>9648113749.0034</v>
      </c>
      <c r="O48" s="454">
        <f aca="true" t="shared" si="28" ref="O48:U48">SUM(O44:O47)</f>
        <v>1667943601.37</v>
      </c>
      <c r="P48" s="454">
        <f t="shared" si="28"/>
        <v>2241556698.05</v>
      </c>
      <c r="Q48" s="454">
        <f t="shared" si="28"/>
        <v>2634373495.8</v>
      </c>
      <c r="R48" s="454">
        <f t="shared" si="28"/>
        <v>2824341543.63</v>
      </c>
      <c r="S48" s="454">
        <f t="shared" si="28"/>
        <v>9368215338.85</v>
      </c>
      <c r="T48" s="158">
        <f t="shared" si="28"/>
        <v>102191549.30223894</v>
      </c>
      <c r="U48" s="158">
        <f t="shared" si="28"/>
        <v>382089959.4556396</v>
      </c>
      <c r="V48" s="156">
        <f>+S48/I48</f>
        <v>0.9608125132736063</v>
      </c>
      <c r="W48" s="158">
        <f>SUM(W44:W47)</f>
        <v>279898410.15340066</v>
      </c>
      <c r="X48" s="156">
        <f t="shared" si="26"/>
        <v>1</v>
      </c>
      <c r="Y48" s="156">
        <f t="shared" si="26"/>
        <v>1</v>
      </c>
      <c r="Z48" s="156">
        <f t="shared" si="26"/>
        <v>1</v>
      </c>
      <c r="AA48" s="156">
        <f t="shared" si="26"/>
        <v>0.9098335134137218</v>
      </c>
      <c r="AB48" s="73"/>
      <c r="AC48" s="73"/>
    </row>
    <row r="49" spans="1:29" s="3" customFormat="1" ht="15">
      <c r="A49" s="171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53"/>
      <c r="P49" s="453"/>
      <c r="Q49" s="453"/>
      <c r="R49" s="453"/>
      <c r="S49" s="453"/>
      <c r="T49" s="47"/>
      <c r="U49" s="47"/>
      <c r="V49" s="70"/>
      <c r="W49" s="71"/>
      <c r="X49" s="72"/>
      <c r="Y49" s="71"/>
      <c r="Z49" s="72"/>
      <c r="AA49" s="71"/>
      <c r="AB49" s="227"/>
      <c r="AC49" s="65"/>
    </row>
    <row r="50" spans="1:29" s="2" customFormat="1" ht="16.5">
      <c r="A50" s="173" t="s">
        <v>58</v>
      </c>
      <c r="B50" s="36">
        <f>+FUN!B41</f>
        <v>927081953.1505461</v>
      </c>
      <c r="C50" s="36"/>
      <c r="D50" s="36"/>
      <c r="E50" s="36">
        <f>+FUN!E41</f>
        <v>0</v>
      </c>
      <c r="F50" s="36">
        <f>+FUN!F41</f>
        <v>44389398.842745595</v>
      </c>
      <c r="G50" s="36">
        <f>+FUN!W41</f>
        <v>0</v>
      </c>
      <c r="H50" s="36"/>
      <c r="I50" s="36">
        <f>+SUM(B50:G50)</f>
        <v>971471351.9932916</v>
      </c>
      <c r="J50" s="58">
        <f>+FUN!L41</f>
        <v>216532596</v>
      </c>
      <c r="K50" s="36">
        <f>+FUN!P41</f>
        <v>236955666.5</v>
      </c>
      <c r="L50" s="36">
        <f>+FUN!U41</f>
        <v>251791255</v>
      </c>
      <c r="M50" s="36">
        <f>+FUN!V41</f>
        <v>262766302.00054613</v>
      </c>
      <c r="N50" s="36">
        <f>SUM(J50:M50)</f>
        <v>968045819.5005461</v>
      </c>
      <c r="O50" s="430">
        <f>+FUN!AB41</f>
        <v>216532596</v>
      </c>
      <c r="P50" s="430">
        <f>+FUN!AC41</f>
        <v>236955666.5</v>
      </c>
      <c r="Q50" s="430">
        <f>+FUN!AD41</f>
        <v>251791255</v>
      </c>
      <c r="R50" s="430">
        <f>+FUN!AE41</f>
        <v>269310139</v>
      </c>
      <c r="S50" s="430">
        <f>SUM(O50:R50)</f>
        <v>974589656.5</v>
      </c>
      <c r="T50" s="36">
        <f>+I50-N50</f>
        <v>3425532.4927455187</v>
      </c>
      <c r="U50" s="36">
        <f>+I50-S50</f>
        <v>-3118304.5067083836</v>
      </c>
      <c r="V50" s="133">
        <f>+S50/I50</f>
        <v>1.0032098779859129</v>
      </c>
      <c r="W50" s="57">
        <f>+N50-S50</f>
        <v>-6543836.999453902</v>
      </c>
      <c r="X50" s="133">
        <f>+O50/J50</f>
        <v>1</v>
      </c>
      <c r="Y50" s="134">
        <f>+P50/K50</f>
        <v>1</v>
      </c>
      <c r="Z50" s="133">
        <f>+Q50/L50</f>
        <v>1</v>
      </c>
      <c r="AA50" s="134">
        <f>+R50/M50</f>
        <v>1.024903638516937</v>
      </c>
      <c r="AB50" s="228"/>
      <c r="AC50" s="75"/>
    </row>
    <row r="51" spans="1:29" s="2" customFormat="1" ht="16.5">
      <c r="A51" s="175"/>
      <c r="B51" s="152"/>
      <c r="C51" s="152"/>
      <c r="D51" s="152"/>
      <c r="E51" s="152"/>
      <c r="F51" s="152"/>
      <c r="G51" s="152"/>
      <c r="H51" s="152"/>
      <c r="I51" s="152"/>
      <c r="J51" s="379"/>
      <c r="K51" s="152"/>
      <c r="L51" s="152"/>
      <c r="M51" s="152"/>
      <c r="N51" s="152"/>
      <c r="O51" s="458"/>
      <c r="P51" s="458"/>
      <c r="Q51" s="458"/>
      <c r="R51" s="458"/>
      <c r="S51" s="458"/>
      <c r="T51" s="36"/>
      <c r="U51" s="36"/>
      <c r="V51" s="133"/>
      <c r="W51" s="57"/>
      <c r="X51" s="133"/>
      <c r="Y51" s="134"/>
      <c r="Z51" s="133"/>
      <c r="AA51" s="134"/>
      <c r="AB51" s="228"/>
      <c r="AC51" s="75"/>
    </row>
    <row r="52" spans="1:29" s="2" customFormat="1" ht="16.5">
      <c r="A52" s="175" t="s">
        <v>299</v>
      </c>
      <c r="B52" s="152">
        <v>1374122930</v>
      </c>
      <c r="C52" s="152"/>
      <c r="D52" s="152"/>
      <c r="E52" s="152"/>
      <c r="F52" s="152">
        <f>+TEC!F60</f>
        <v>66584098</v>
      </c>
      <c r="G52" s="152">
        <f>+TEC!H60</f>
        <v>0</v>
      </c>
      <c r="H52" s="152"/>
      <c r="I52" s="36">
        <f>+SUM(B52:G52)</f>
        <v>1440707028</v>
      </c>
      <c r="J52" s="379">
        <f>+TEC!M60</f>
        <v>0</v>
      </c>
      <c r="K52" s="152">
        <f>+TEC!Q60</f>
        <v>0</v>
      </c>
      <c r="L52" s="152">
        <f>+TEC!V60</f>
        <v>62988319</v>
      </c>
      <c r="M52" s="152">
        <f>+TEC!AA60</f>
        <v>15000000</v>
      </c>
      <c r="N52" s="36">
        <f>SUM(J52:M52)</f>
        <v>77988319</v>
      </c>
      <c r="O52" s="430"/>
      <c r="P52" s="430"/>
      <c r="Q52" s="430">
        <f>+TEC!AE60</f>
        <v>62988319</v>
      </c>
      <c r="R52" s="430">
        <f>+TEC!AF60</f>
        <v>14042589</v>
      </c>
      <c r="S52" s="430">
        <f>SUM(O52:R52)</f>
        <v>77030908</v>
      </c>
      <c r="T52" s="430">
        <f>SUM(P52:S52)</f>
        <v>154061816</v>
      </c>
      <c r="U52" s="430">
        <f>SUM(Q52:T52)</f>
        <v>308123632</v>
      </c>
      <c r="V52" s="133">
        <f>+S52/I52</f>
        <v>0.053467434046556205</v>
      </c>
      <c r="W52" s="57">
        <f>+N52-S52</f>
        <v>957411</v>
      </c>
      <c r="X52" s="133">
        <v>0</v>
      </c>
      <c r="Y52" s="134">
        <v>0</v>
      </c>
      <c r="Z52" s="133">
        <f>+Q52/L52</f>
        <v>1</v>
      </c>
      <c r="AA52" s="134">
        <f>+R52/M52</f>
        <v>0.9361726</v>
      </c>
      <c r="AB52" s="228"/>
      <c r="AC52" s="75"/>
    </row>
    <row r="53" spans="1:29" s="3" customFormat="1" ht="17.25" thickBot="1">
      <c r="A53" s="175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53"/>
      <c r="P53" s="453"/>
      <c r="Q53" s="453"/>
      <c r="R53" s="453"/>
      <c r="S53" s="453"/>
      <c r="T53" s="47"/>
      <c r="U53" s="47"/>
      <c r="V53" s="149"/>
      <c r="W53" s="160"/>
      <c r="X53" s="27"/>
      <c r="Y53" s="160"/>
      <c r="Z53" s="27"/>
      <c r="AA53" s="160"/>
      <c r="AB53" s="227"/>
      <c r="AC53" s="65"/>
    </row>
    <row r="54" spans="1:29" s="3" customFormat="1" ht="19.5" customHeight="1" thickBot="1">
      <c r="A54" s="158" t="s">
        <v>59</v>
      </c>
      <c r="B54" s="158">
        <f>SUM(B55:B56)</f>
        <v>718642359</v>
      </c>
      <c r="C54" s="158">
        <f aca="true" t="shared" si="29" ref="C54:W54">SUM(C55:C56)</f>
        <v>69812645</v>
      </c>
      <c r="D54" s="158">
        <f t="shared" si="29"/>
        <v>-2664985</v>
      </c>
      <c r="E54" s="158">
        <f t="shared" si="29"/>
        <v>40400000</v>
      </c>
      <c r="F54" s="158">
        <f t="shared" si="29"/>
        <v>350553824</v>
      </c>
      <c r="G54" s="158">
        <f>SUM(G55:G56)</f>
        <v>-277000000</v>
      </c>
      <c r="H54" s="158">
        <f t="shared" si="29"/>
        <v>0</v>
      </c>
      <c r="I54" s="158">
        <f>SUM(I55:I56)</f>
        <v>899743843</v>
      </c>
      <c r="J54" s="158">
        <f t="shared" si="29"/>
        <v>0</v>
      </c>
      <c r="K54" s="158">
        <f t="shared" si="29"/>
        <v>0</v>
      </c>
      <c r="L54" s="158">
        <f t="shared" si="29"/>
        <v>0</v>
      </c>
      <c r="M54" s="158">
        <f t="shared" si="29"/>
        <v>0</v>
      </c>
      <c r="N54" s="158">
        <f t="shared" si="29"/>
        <v>0</v>
      </c>
      <c r="O54" s="454">
        <f t="shared" si="29"/>
        <v>0</v>
      </c>
      <c r="P54" s="454">
        <f t="shared" si="29"/>
        <v>0</v>
      </c>
      <c r="Q54" s="454">
        <f t="shared" si="29"/>
        <v>0</v>
      </c>
      <c r="R54" s="454">
        <f t="shared" si="29"/>
        <v>0</v>
      </c>
      <c r="S54" s="454">
        <f t="shared" si="29"/>
        <v>0</v>
      </c>
      <c r="T54" s="158">
        <f t="shared" si="29"/>
        <v>899743843</v>
      </c>
      <c r="U54" s="158">
        <f t="shared" si="29"/>
        <v>899743843</v>
      </c>
      <c r="V54" s="156">
        <f>+S54/I54</f>
        <v>0</v>
      </c>
      <c r="W54" s="158">
        <f t="shared" si="29"/>
        <v>0</v>
      </c>
      <c r="X54" s="156">
        <v>0</v>
      </c>
      <c r="Y54" s="156">
        <v>0</v>
      </c>
      <c r="Z54" s="156">
        <v>0</v>
      </c>
      <c r="AA54" s="156">
        <v>0</v>
      </c>
      <c r="AB54" s="65"/>
      <c r="AC54" s="65"/>
    </row>
    <row r="55" spans="1:29" s="3" customFormat="1" ht="15">
      <c r="A55" s="171" t="s">
        <v>60</v>
      </c>
      <c r="B55" s="37">
        <f>+FUN!B44</f>
        <v>159414236</v>
      </c>
      <c r="C55" s="37">
        <f>+FUN!C44</f>
        <v>-159414236</v>
      </c>
      <c r="D55" s="37">
        <f>+FUN!D44</f>
        <v>0</v>
      </c>
      <c r="E55" s="37"/>
      <c r="F55" s="37">
        <f>+FUN!F44</f>
        <v>0</v>
      </c>
      <c r="G55" s="37">
        <f>+FUN!W44</f>
        <v>0</v>
      </c>
      <c r="H55" s="37"/>
      <c r="I55" s="37">
        <f>+SUM(B55:G55)</f>
        <v>0</v>
      </c>
      <c r="J55" s="59">
        <v>0</v>
      </c>
      <c r="K55" s="47"/>
      <c r="L55" s="47"/>
      <c r="M55" s="47"/>
      <c r="N55" s="37">
        <f>SUM(J55:M55)</f>
        <v>0</v>
      </c>
      <c r="O55" s="453">
        <v>0</v>
      </c>
      <c r="P55" s="453">
        <v>0</v>
      </c>
      <c r="Q55" s="453">
        <v>0</v>
      </c>
      <c r="R55" s="453">
        <f>+FUN!AE44</f>
        <v>0</v>
      </c>
      <c r="S55" s="459">
        <f>SUM(O55:R55)</f>
        <v>0</v>
      </c>
      <c r="T55" s="37">
        <f>+I55-N55</f>
        <v>0</v>
      </c>
      <c r="U55" s="37">
        <f>+I55-S55</f>
        <v>0</v>
      </c>
      <c r="V55" s="161">
        <v>0</v>
      </c>
      <c r="W55" s="98">
        <f>+N55-S55</f>
        <v>0</v>
      </c>
      <c r="X55" s="161">
        <v>0</v>
      </c>
      <c r="Y55" s="131">
        <v>0</v>
      </c>
      <c r="Z55" s="130">
        <v>0</v>
      </c>
      <c r="AA55" s="131">
        <v>0</v>
      </c>
      <c r="AB55" s="227"/>
      <c r="AC55" s="65"/>
    </row>
    <row r="56" spans="1:29" s="3" customFormat="1" ht="15">
      <c r="A56" s="170" t="s">
        <v>61</v>
      </c>
      <c r="B56" s="7">
        <f>+FUN!B45</f>
        <v>559228123</v>
      </c>
      <c r="C56" s="7">
        <f>+FUN!C45</f>
        <v>229226881</v>
      </c>
      <c r="D56" s="7">
        <f>+FUN!D45</f>
        <v>-2664985</v>
      </c>
      <c r="E56" s="7">
        <f>+FUN!E45</f>
        <v>40400000</v>
      </c>
      <c r="F56" s="7">
        <f>+FUN!F45</f>
        <v>350553824</v>
      </c>
      <c r="G56" s="7">
        <f>+FUN!G45</f>
        <v>-277000000</v>
      </c>
      <c r="H56" s="7"/>
      <c r="I56" s="37">
        <f>+SUM(B56:G56)</f>
        <v>899743843</v>
      </c>
      <c r="J56" s="10">
        <v>0</v>
      </c>
      <c r="K56" s="7"/>
      <c r="L56" s="7"/>
      <c r="M56" s="7"/>
      <c r="N56" s="7">
        <f>SUM(J56:M56)</f>
        <v>0</v>
      </c>
      <c r="O56" s="414">
        <v>0</v>
      </c>
      <c r="P56" s="414">
        <v>0</v>
      </c>
      <c r="Q56" s="414">
        <v>0</v>
      </c>
      <c r="R56" s="414">
        <f>+FUN!AE45</f>
        <v>0</v>
      </c>
      <c r="S56" s="414">
        <f>SUM(O56:R56)</f>
        <v>0</v>
      </c>
      <c r="T56" s="7">
        <f>+I56-N56</f>
        <v>899743843</v>
      </c>
      <c r="U56" s="7">
        <f>+I56-S56</f>
        <v>899743843</v>
      </c>
      <c r="V56" s="130">
        <f>+S56/I56</f>
        <v>0</v>
      </c>
      <c r="W56" s="9">
        <f>+N56-S56</f>
        <v>0</v>
      </c>
      <c r="X56" s="130">
        <v>0</v>
      </c>
      <c r="Y56" s="131">
        <v>0</v>
      </c>
      <c r="Z56" s="130">
        <v>0</v>
      </c>
      <c r="AA56" s="131">
        <v>0</v>
      </c>
      <c r="AB56" s="227"/>
      <c r="AC56" s="65"/>
    </row>
    <row r="57" spans="1:28" ht="15.75" thickBot="1">
      <c r="A57" s="177"/>
      <c r="B57" s="78"/>
      <c r="C57" s="78"/>
      <c r="D57" s="78"/>
      <c r="E57" s="78"/>
      <c r="F57" s="78"/>
      <c r="G57" s="78"/>
      <c r="H57" s="78"/>
      <c r="I57" s="78"/>
      <c r="J57" s="47"/>
      <c r="K57" s="47"/>
      <c r="L57" s="47"/>
      <c r="M57" s="47"/>
      <c r="N57" s="78"/>
      <c r="O57" s="453"/>
      <c r="P57" s="453"/>
      <c r="Q57" s="453"/>
      <c r="R57" s="453"/>
      <c r="S57" s="453"/>
      <c r="T57" s="47"/>
      <c r="U57" s="47"/>
      <c r="V57" s="149"/>
      <c r="W57" s="160"/>
      <c r="X57" s="162"/>
      <c r="Y57" s="163"/>
      <c r="Z57" s="162"/>
      <c r="AA57" s="163"/>
      <c r="AB57" s="226"/>
    </row>
    <row r="58" spans="1:34" ht="17.25" thickBot="1">
      <c r="A58" s="155" t="s">
        <v>62</v>
      </c>
      <c r="B58" s="158">
        <f aca="true" t="shared" si="30" ref="B58:G58">+B24+B41+B48+B50+B54+B52</f>
        <v>16929368585.344578</v>
      </c>
      <c r="C58" s="158">
        <f t="shared" si="30"/>
        <v>-84645860</v>
      </c>
      <c r="D58" s="158">
        <f t="shared" si="30"/>
        <v>306964960</v>
      </c>
      <c r="E58" s="158">
        <f t="shared" si="30"/>
        <v>46000000</v>
      </c>
      <c r="F58" s="158">
        <f t="shared" si="30"/>
        <v>-681465960.1572545</v>
      </c>
      <c r="G58" s="158">
        <f t="shared" si="30"/>
        <v>-2450000</v>
      </c>
      <c r="H58" s="158">
        <f>+H24+H41+H48+H50+H54</f>
        <v>0</v>
      </c>
      <c r="I58" s="158">
        <f>+I24+I41+I48+I50+I54+I52</f>
        <v>16513771725.187323</v>
      </c>
      <c r="J58" s="158">
        <f aca="true" t="shared" si="31" ref="J58:S58">+J24+J41+J48+J50+J54+J52</f>
        <v>2614876324.2599998</v>
      </c>
      <c r="K58" s="158">
        <f t="shared" si="31"/>
        <v>3318652461.11</v>
      </c>
      <c r="L58" s="158">
        <f>+L24+L41+L48+L50+L54+L52</f>
        <v>3788617522.7720904</v>
      </c>
      <c r="M58" s="158">
        <f t="shared" si="31"/>
        <v>4422544120.050247</v>
      </c>
      <c r="N58" s="158">
        <f t="shared" si="31"/>
        <v>14144690428.192337</v>
      </c>
      <c r="O58" s="454">
        <f t="shared" si="31"/>
        <v>2614876324.2599998</v>
      </c>
      <c r="P58" s="454">
        <f t="shared" si="31"/>
        <v>3318652461.11</v>
      </c>
      <c r="Q58" s="454">
        <f t="shared" si="31"/>
        <v>3788617522.12</v>
      </c>
      <c r="R58" s="454">
        <f t="shared" si="31"/>
        <v>3913530354.67</v>
      </c>
      <c r="S58" s="454">
        <f t="shared" si="31"/>
        <v>13635676662.16</v>
      </c>
      <c r="T58" s="158">
        <f>+T24+T41+T48+T50+T54</f>
        <v>1006362587.9949845</v>
      </c>
      <c r="U58" s="158">
        <f>+U24+U41+U48+U50+U54</f>
        <v>1514418943.0273218</v>
      </c>
      <c r="V58" s="553">
        <f>+S58/(I58-I54)</f>
        <v>0.8732965487858357</v>
      </c>
      <c r="W58" s="158">
        <f>+N58-S58</f>
        <v>509013766.0323372</v>
      </c>
      <c r="X58" s="156">
        <f>+O58/J58</f>
        <v>1</v>
      </c>
      <c r="Y58" s="156">
        <f>+P58/K58</f>
        <v>1</v>
      </c>
      <c r="Z58" s="156">
        <f>+Q58/L58</f>
        <v>0.9999999998278817</v>
      </c>
      <c r="AA58" s="156">
        <f>+R58/M58</f>
        <v>0.884904762606537</v>
      </c>
      <c r="AB58" s="65"/>
      <c r="AC58" s="65"/>
      <c r="AD58" s="3"/>
      <c r="AE58" s="3"/>
      <c r="AF58" s="3"/>
      <c r="AG58" s="3"/>
      <c r="AH58" s="3"/>
    </row>
    <row r="59" spans="10:22" ht="19.5" customHeight="1">
      <c r="J59" s="3"/>
      <c r="K59" s="3"/>
      <c r="L59" s="3"/>
      <c r="M59" s="3"/>
      <c r="O59" s="3"/>
      <c r="P59" s="2"/>
      <c r="Q59" s="3"/>
      <c r="S59" s="3"/>
      <c r="T59" s="3"/>
      <c r="V59" s="466"/>
    </row>
    <row r="60" spans="1:22" ht="19.5" customHeight="1">
      <c r="A60" s="79"/>
      <c r="I60" s="387"/>
      <c r="J60" s="3"/>
      <c r="K60" s="3"/>
      <c r="L60" s="80"/>
      <c r="M60" s="3"/>
      <c r="O60" s="3">
        <f>+'[13]ECO'!AA66+TEC!AC64+PPC!AB70+MER!AC75+FUN!AB47</f>
        <v>2614876324.2599998</v>
      </c>
      <c r="P60" s="3">
        <f>+'[13]ECO'!AB66+TEC!AD64+PPC!AC70+MER!AD75+FUN!AC47</f>
        <v>3318652461.1099997</v>
      </c>
      <c r="Q60" s="3">
        <f>+ECO!AD67+TEC!AE64+PPC!AD70+MER!AE75+FUN!AD47</f>
        <v>3788617522.12</v>
      </c>
      <c r="S60" s="61"/>
      <c r="V60" s="81"/>
    </row>
    <row r="61" spans="10:20" ht="19.5" customHeight="1">
      <c r="J61" s="3"/>
      <c r="K61" s="3"/>
      <c r="L61" s="3"/>
      <c r="M61" s="3"/>
      <c r="N61" s="61" t="s">
        <v>230</v>
      </c>
      <c r="O61" s="83">
        <f>+O60-O62</f>
        <v>1326427135.8399997</v>
      </c>
      <c r="P61" s="83">
        <f>+P60-P62</f>
        <v>1911107246.8049998</v>
      </c>
      <c r="Q61" s="83">
        <f>+Q60-Q62</f>
        <v>2273296746.1</v>
      </c>
      <c r="R61" s="81">
        <f>+ECO!AE67+TEC!AF64+MER!AF75+FUN!AE47-FUN!AE51</f>
        <v>2221786387.0200005</v>
      </c>
      <c r="S61" s="65">
        <f>SUM(O61:R61)</f>
        <v>7732617515.764999</v>
      </c>
      <c r="T61" s="3"/>
    </row>
    <row r="62" spans="10:19" ht="19.5" customHeight="1">
      <c r="J62" s="3"/>
      <c r="K62" s="3"/>
      <c r="L62" s="3"/>
      <c r="M62" s="3"/>
      <c r="N62" s="61" t="s">
        <v>231</v>
      </c>
      <c r="O62" s="3">
        <f>+PPC!AB70+FUN!AB51</f>
        <v>1288449188.42</v>
      </c>
      <c r="P62" s="3">
        <f>+PPC!AC70+FUN!AC51</f>
        <v>1407545214.3049998</v>
      </c>
      <c r="Q62" s="3">
        <f>+PPC!AD70+FUN!AD51</f>
        <v>1515320776.02</v>
      </c>
      <c r="R62" s="51">
        <f>+PPC!AE70+FUN!AE51</f>
        <v>1691743967.6499999</v>
      </c>
      <c r="S62" s="65">
        <f>SUM(O62:R62)</f>
        <v>5903059146.3949995</v>
      </c>
    </row>
    <row r="63" spans="10:17" ht="19.5" customHeight="1">
      <c r="J63" s="3"/>
      <c r="L63" s="3"/>
      <c r="M63" s="3"/>
      <c r="O63" s="3"/>
      <c r="P63" s="3"/>
      <c r="Q63" s="3"/>
    </row>
    <row r="64" spans="10:17" ht="19.5" customHeight="1">
      <c r="J64" s="3"/>
      <c r="K64" s="3"/>
      <c r="L64" s="3"/>
      <c r="M64" s="3"/>
      <c r="N64" s="82"/>
      <c r="O64" s="49"/>
      <c r="P64" s="49"/>
      <c r="Q64" s="3"/>
    </row>
    <row r="65" spans="10:16" ht="19.5" customHeight="1">
      <c r="J65" s="3"/>
      <c r="K65" s="3"/>
      <c r="L65" s="3"/>
      <c r="M65" s="3"/>
      <c r="N65" s="82"/>
      <c r="O65" s="3"/>
      <c r="P65" s="3"/>
    </row>
    <row r="66" spans="10:16" ht="19.5" customHeight="1">
      <c r="J66" s="3"/>
      <c r="K66" s="3"/>
      <c r="L66" s="3"/>
      <c r="M66" s="3"/>
      <c r="N66" s="82"/>
      <c r="O66" s="3"/>
      <c r="P66" s="49"/>
    </row>
    <row r="67" spans="10:16" ht="19.5" customHeight="1">
      <c r="J67" s="3"/>
      <c r="K67" s="3"/>
      <c r="L67" s="3"/>
      <c r="M67" s="3"/>
      <c r="N67" s="82"/>
      <c r="O67" s="3"/>
      <c r="P67" s="49"/>
    </row>
    <row r="68" spans="10:16" ht="19.5" customHeight="1">
      <c r="J68" s="3"/>
      <c r="K68" s="3"/>
      <c r="L68" s="3"/>
      <c r="M68" s="3"/>
      <c r="N68" s="82"/>
      <c r="O68" s="3"/>
      <c r="P68" s="49"/>
    </row>
    <row r="69" spans="10:16" ht="19.5" customHeight="1">
      <c r="J69" s="3"/>
      <c r="K69" s="3"/>
      <c r="L69" s="3"/>
      <c r="M69" s="3"/>
      <c r="N69" s="82"/>
      <c r="O69" s="3"/>
      <c r="P69" s="49"/>
    </row>
    <row r="70" spans="10:16" ht="19.5" customHeight="1">
      <c r="J70" s="3"/>
      <c r="K70" s="3"/>
      <c r="L70" s="3"/>
      <c r="M70" s="3"/>
      <c r="N70" s="82"/>
      <c r="O70" s="83"/>
      <c r="P70" s="49"/>
    </row>
    <row r="71" spans="10:16" ht="19.5" customHeight="1">
      <c r="J71" s="3"/>
      <c r="K71" s="3"/>
      <c r="L71" s="3"/>
      <c r="M71" s="3"/>
      <c r="N71" s="82"/>
      <c r="O71" s="3"/>
      <c r="P71" s="49"/>
    </row>
    <row r="72" spans="10:16" ht="19.5" customHeight="1">
      <c r="J72" s="3"/>
      <c r="K72" s="3"/>
      <c r="L72" s="3"/>
      <c r="M72" s="3"/>
      <c r="N72" s="84"/>
      <c r="O72" s="3"/>
      <c r="P72" s="3"/>
    </row>
    <row r="73" spans="10:16" ht="19.5" customHeight="1">
      <c r="J73" s="3"/>
      <c r="K73" s="3"/>
      <c r="L73" s="3"/>
      <c r="M73" s="3"/>
      <c r="N73" s="84"/>
      <c r="O73" s="3"/>
      <c r="P73" s="3"/>
    </row>
    <row r="74" spans="10:16" ht="19.5" customHeight="1">
      <c r="J74" s="3"/>
      <c r="K74" s="3"/>
      <c r="L74" s="3"/>
      <c r="M74" s="3"/>
      <c r="N74" s="84"/>
      <c r="O74" s="3"/>
      <c r="P74" s="49"/>
    </row>
    <row r="75" spans="10:16" ht="19.5" customHeight="1">
      <c r="J75" s="3"/>
      <c r="K75" s="3"/>
      <c r="L75" s="3"/>
      <c r="M75" s="3"/>
      <c r="N75" s="85" t="s">
        <v>64</v>
      </c>
      <c r="O75" s="3" t="s">
        <v>63</v>
      </c>
      <c r="P75" s="49">
        <v>-695710</v>
      </c>
    </row>
    <row r="76" spans="10:17" ht="19.5" customHeight="1">
      <c r="J76" s="3"/>
      <c r="K76" s="3"/>
      <c r="L76" s="3"/>
      <c r="M76" s="3"/>
      <c r="N76" s="51" t="s">
        <v>65</v>
      </c>
      <c r="Q76" s="51">
        <v>-1438010</v>
      </c>
    </row>
    <row r="77" spans="10:17" ht="19.5" customHeight="1">
      <c r="J77" s="3"/>
      <c r="K77" s="3"/>
      <c r="L77" s="3"/>
      <c r="M77" s="3"/>
      <c r="N77" s="93" t="s">
        <v>66</v>
      </c>
      <c r="O77" s="49"/>
      <c r="P77" s="49"/>
      <c r="Q77" s="3">
        <v>-7795</v>
      </c>
    </row>
    <row r="78" spans="10:17" ht="19.5" customHeight="1">
      <c r="J78" s="3"/>
      <c r="K78" s="3"/>
      <c r="L78" s="3"/>
      <c r="M78" s="3"/>
      <c r="N78" s="86" t="s">
        <v>7</v>
      </c>
      <c r="O78" s="87">
        <v>0</v>
      </c>
      <c r="P78" s="87">
        <v>3759171690.42</v>
      </c>
      <c r="Q78" s="87">
        <v>3752418366</v>
      </c>
    </row>
    <row r="79" spans="10:17" ht="19.5" customHeight="1">
      <c r="J79" s="3"/>
      <c r="K79" s="3"/>
      <c r="L79" s="3"/>
      <c r="M79" s="3"/>
      <c r="N79" s="88" t="s">
        <v>67</v>
      </c>
      <c r="O79" s="89"/>
      <c r="P79" s="94">
        <v>-1472.7051725387573</v>
      </c>
      <c r="Q79" s="94">
        <v>641.5999999046326</v>
      </c>
    </row>
    <row r="80" spans="10:17" ht="19.5" customHeight="1">
      <c r="J80" s="3"/>
      <c r="K80" s="3"/>
      <c r="L80" s="3"/>
      <c r="M80" s="3"/>
      <c r="O80" s="3"/>
      <c r="P80" s="3"/>
      <c r="Q80" s="3"/>
    </row>
    <row r="81" spans="10:18" ht="19.5" customHeight="1">
      <c r="J81" s="3"/>
      <c r="K81" s="3"/>
      <c r="L81" s="3"/>
      <c r="M81" s="3"/>
      <c r="N81" s="90" t="s">
        <v>68</v>
      </c>
      <c r="O81" s="95" t="s">
        <v>69</v>
      </c>
      <c r="P81" s="95" t="s">
        <v>69</v>
      </c>
      <c r="Q81" s="95" t="s">
        <v>69</v>
      </c>
      <c r="R81" s="95"/>
    </row>
    <row r="82" spans="10:13" ht="19.5" customHeight="1">
      <c r="J82" s="3"/>
      <c r="K82" s="3"/>
      <c r="L82" s="3"/>
      <c r="M82" s="3"/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4" ht="19.5" customHeight="1"/>
    <row r="175" ht="19.5" customHeight="1"/>
    <row r="176" ht="19.5" customHeight="1"/>
    <row r="177" spans="1:19" ht="19.5" customHeight="1">
      <c r="A177" s="91" t="s">
        <v>70</v>
      </c>
      <c r="S177" s="92"/>
    </row>
    <row r="178" spans="1:9" ht="19.5" customHeight="1">
      <c r="A178" s="51" t="s">
        <v>71</v>
      </c>
      <c r="B178" s="51">
        <v>2195898462.7184525</v>
      </c>
      <c r="I178" s="51">
        <v>2200318462.7184525</v>
      </c>
    </row>
    <row r="179" spans="1:9" ht="19.5" customHeight="1">
      <c r="A179" s="51" t="s">
        <v>72</v>
      </c>
      <c r="B179" s="51">
        <v>879155682.18928</v>
      </c>
      <c r="I179" s="51">
        <v>871816097.18928</v>
      </c>
    </row>
    <row r="180" spans="1:9" ht="19.5" customHeight="1">
      <c r="A180" s="51" t="s">
        <v>73</v>
      </c>
      <c r="B180" s="51">
        <v>12952567482.94</v>
      </c>
      <c r="I180" s="51">
        <v>12495229420.94</v>
      </c>
    </row>
    <row r="181" spans="1:9" ht="19.5" customHeight="1">
      <c r="A181" s="51" t="s">
        <v>136</v>
      </c>
      <c r="B181" s="51">
        <v>801849312</v>
      </c>
      <c r="I181" s="51">
        <v>690941226</v>
      </c>
    </row>
    <row r="182" spans="1:17" ht="19.5" customHeight="1">
      <c r="A182" s="61" t="s">
        <v>74</v>
      </c>
      <c r="B182" s="61">
        <v>16829470939.847733</v>
      </c>
      <c r="I182" s="61">
        <v>16258305206.847733</v>
      </c>
      <c r="J182" s="61"/>
      <c r="K182" s="61"/>
      <c r="L182" s="61"/>
      <c r="M182" s="61"/>
      <c r="O182" s="61"/>
      <c r="P182" s="61"/>
      <c r="Q182" s="61"/>
    </row>
    <row r="183" ht="19.5" customHeight="1"/>
    <row r="184" spans="1:17" ht="19.5" customHeight="1">
      <c r="A184" s="61" t="s">
        <v>75</v>
      </c>
      <c r="B184" s="61">
        <v>1044886378.2260513</v>
      </c>
      <c r="I184" s="61">
        <v>588898371.2260494</v>
      </c>
      <c r="J184" s="61"/>
      <c r="K184" s="61"/>
      <c r="L184" s="61"/>
      <c r="M184" s="61"/>
      <c r="O184" s="61"/>
      <c r="P184" s="61"/>
      <c r="Q184" s="61"/>
    </row>
    <row r="185" spans="1:17" ht="19.5" customHeight="1">
      <c r="A185" s="61" t="s">
        <v>76</v>
      </c>
      <c r="B185" s="61">
        <v>-1.9073486328125E-06</v>
      </c>
      <c r="I185" s="61">
        <v>0</v>
      </c>
      <c r="J185" s="61"/>
      <c r="K185" s="61"/>
      <c r="L185" s="61"/>
      <c r="M185" s="61"/>
      <c r="O185" s="61"/>
      <c r="P185" s="61"/>
      <c r="Q185" s="61"/>
    </row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</sheetData>
  <sheetProtection/>
  <mergeCells count="8">
    <mergeCell ref="O8:R8"/>
    <mergeCell ref="J8:M8"/>
    <mergeCell ref="C8:C9"/>
    <mergeCell ref="D8:D9"/>
    <mergeCell ref="E8:E9"/>
    <mergeCell ref="G8:G9"/>
    <mergeCell ref="F8:F9"/>
    <mergeCell ref="H8:H9"/>
  </mergeCells>
  <printOptions horizontalCentered="1" verticalCentered="1"/>
  <pageMargins left="0.1968503937007874" right="0.2" top="0.2755905511811024" bottom="0.2362204724409449" header="0" footer="0"/>
  <pageSetup horizontalDpi="600" verticalDpi="600" orientation="landscape" scale="60" r:id="rId3"/>
  <colBreaks count="1" manualBreakCount="1">
    <brk id="27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70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53" sqref="D53"/>
    </sheetView>
  </sheetViews>
  <sheetFormatPr defaultColWidth="11.421875" defaultRowHeight="12.75" outlineLevelRow="2" outlineLevelCol="2"/>
  <cols>
    <col min="1" max="1" width="36.57421875" style="308" customWidth="1"/>
    <col min="2" max="2" width="20.140625" style="308" customWidth="1"/>
    <col min="3" max="7" width="17.00390625" style="308" hidden="1" customWidth="1" outlineLevel="1"/>
    <col min="8" max="8" width="23.8515625" style="308" hidden="1" customWidth="1" outlineLevel="1"/>
    <col min="9" max="9" width="19.140625" style="308" bestFit="1" customWidth="1" collapsed="1"/>
    <col min="10" max="11" width="17.8515625" style="308" hidden="1" customWidth="1" outlineLevel="2"/>
    <col min="12" max="12" width="18.57421875" style="308" hidden="1" customWidth="1" outlineLevel="2"/>
    <col min="13" max="13" width="15.00390625" style="308" hidden="1" customWidth="1" outlineLevel="1" collapsed="1"/>
    <col min="14" max="14" width="18.28125" style="308" hidden="1" customWidth="1" outlineLevel="2"/>
    <col min="15" max="15" width="15.421875" style="308" hidden="1" customWidth="1" outlineLevel="2"/>
    <col min="16" max="16" width="19.140625" style="308" hidden="1" customWidth="1" outlineLevel="2"/>
    <col min="17" max="17" width="14.421875" style="308" hidden="1" customWidth="1" outlineLevel="1" collapsed="1"/>
    <col min="18" max="18" width="20.140625" style="308" hidden="1" customWidth="1" outlineLevel="2"/>
    <col min="19" max="19" width="24.57421875" style="308" hidden="1" customWidth="1" outlineLevel="2"/>
    <col min="20" max="20" width="18.8515625" style="308" hidden="1" customWidth="1" outlineLevel="2"/>
    <col min="21" max="21" width="20.28125" style="308" hidden="1" customWidth="1" outlineLevel="2"/>
    <col min="22" max="22" width="16.8515625" style="308" hidden="1" customWidth="1" outlineLevel="1" collapsed="1"/>
    <col min="23" max="23" width="20.8515625" style="308" hidden="1" customWidth="1" outlineLevel="2"/>
    <col min="24" max="24" width="17.57421875" style="308" hidden="1" customWidth="1" outlineLevel="2"/>
    <col min="25" max="25" width="16.7109375" style="308" hidden="1" customWidth="1" outlineLevel="2"/>
    <col min="26" max="26" width="16.421875" style="308" hidden="1" customWidth="1" outlineLevel="1" collapsed="1"/>
    <col min="27" max="27" width="19.7109375" style="308" hidden="1" customWidth="1" collapsed="1"/>
    <col min="28" max="28" width="16.57421875" style="308" customWidth="1" outlineLevel="1"/>
    <col min="29" max="29" width="16.8515625" style="308" customWidth="1" outlineLevel="1"/>
    <col min="30" max="31" width="17.00390625" style="308" customWidth="1" outlineLevel="1"/>
    <col min="32" max="32" width="19.7109375" style="308" customWidth="1"/>
    <col min="33" max="33" width="15.8515625" style="308" hidden="1" customWidth="1" outlineLevel="1"/>
    <col min="34" max="34" width="14.57421875" style="308" hidden="1" customWidth="1" outlineLevel="1"/>
    <col min="35" max="35" width="15.7109375" style="308" hidden="1" customWidth="1" outlineLevel="1"/>
    <col min="36" max="36" width="17.57421875" style="308" hidden="1" customWidth="1" outlineLevel="1"/>
    <col min="37" max="37" width="20.140625" style="308" hidden="1" customWidth="1" outlineLevel="1"/>
    <col min="38" max="38" width="16.7109375" style="308" hidden="1" customWidth="1" collapsed="1"/>
    <col min="39" max="39" width="18.421875" style="308" hidden="1" customWidth="1"/>
    <col min="40" max="40" width="16.57421875" style="308" customWidth="1"/>
    <col min="41" max="41" width="15.00390625" style="308" hidden="1" customWidth="1"/>
    <col min="42" max="43" width="14.421875" style="308" hidden="1" customWidth="1"/>
    <col min="44" max="44" width="15.421875" style="308" hidden="1" customWidth="1"/>
    <col min="45" max="45" width="13.28125" style="308" customWidth="1"/>
    <col min="46" max="46" width="14.00390625" style="308" customWidth="1"/>
    <col min="47" max="47" width="12.28125" style="308" customWidth="1"/>
    <col min="48" max="50" width="11.421875" style="308" customWidth="1"/>
    <col min="51" max="16384" width="11.421875" style="309" customWidth="1"/>
  </cols>
  <sheetData>
    <row r="1" spans="1:15" ht="17.25" thickBot="1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O1" s="307"/>
    </row>
    <row r="2" spans="1:39" ht="16.5">
      <c r="A2" s="307" t="s">
        <v>133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O2" s="307"/>
      <c r="AM2" s="310"/>
    </row>
    <row r="3" spans="1:39" ht="17.25" thickBot="1">
      <c r="A3" s="307" t="s">
        <v>134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O3" s="307"/>
      <c r="AM3" s="311"/>
    </row>
    <row r="4" spans="1:15" ht="16.5">
      <c r="A4" s="307" t="s">
        <v>182</v>
      </c>
      <c r="B4" s="307"/>
      <c r="C4" s="307"/>
      <c r="D4" s="307"/>
      <c r="E4" s="307"/>
      <c r="F4" s="307"/>
      <c r="G4" s="307"/>
      <c r="H4" s="307"/>
      <c r="M4" s="307"/>
      <c r="O4" s="307"/>
    </row>
    <row r="5" spans="1:15" ht="16.5">
      <c r="A5" s="307" t="s">
        <v>418</v>
      </c>
      <c r="B5" s="307"/>
      <c r="C5" s="307"/>
      <c r="D5" s="307"/>
      <c r="E5" s="307"/>
      <c r="F5" s="307"/>
      <c r="G5" s="307"/>
      <c r="H5" s="307"/>
      <c r="M5" s="307"/>
      <c r="O5" s="307"/>
    </row>
    <row r="6" spans="1:50" s="314" customFormat="1" ht="17.25" thickBot="1">
      <c r="A6" s="312"/>
      <c r="B6" s="313" t="s">
        <v>126</v>
      </c>
      <c r="C6" s="313"/>
      <c r="D6" s="313"/>
      <c r="E6" s="313"/>
      <c r="F6" s="313"/>
      <c r="G6" s="313"/>
      <c r="H6" s="313"/>
      <c r="I6" s="308"/>
      <c r="J6" s="308"/>
      <c r="K6" s="308"/>
      <c r="L6" s="308"/>
      <c r="M6" s="307"/>
      <c r="N6" s="308"/>
      <c r="O6" s="307"/>
      <c r="P6" s="308"/>
      <c r="Q6" s="308"/>
      <c r="R6" s="308"/>
      <c r="S6" s="308"/>
      <c r="T6" s="308"/>
      <c r="U6" s="313"/>
      <c r="V6" s="313"/>
      <c r="W6" s="313"/>
      <c r="X6" s="313"/>
      <c r="Y6" s="313"/>
      <c r="Z6" s="313"/>
      <c r="AA6" s="313" t="s">
        <v>127</v>
      </c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 t="s">
        <v>128</v>
      </c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</row>
    <row r="7" spans="1:45" s="409" customFormat="1" ht="18" customHeight="1" thickBot="1">
      <c r="A7" s="700" t="s">
        <v>2</v>
      </c>
      <c r="B7" s="549" t="s">
        <v>417</v>
      </c>
      <c r="C7" s="700" t="s">
        <v>232</v>
      </c>
      <c r="D7" s="700" t="s">
        <v>227</v>
      </c>
      <c r="E7" s="700" t="s">
        <v>281</v>
      </c>
      <c r="F7" s="700" t="s">
        <v>286</v>
      </c>
      <c r="G7" s="700" t="s">
        <v>304</v>
      </c>
      <c r="H7" s="422" t="s">
        <v>311</v>
      </c>
      <c r="I7" s="401" t="s">
        <v>3</v>
      </c>
      <c r="J7" s="699" t="s">
        <v>124</v>
      </c>
      <c r="K7" s="699"/>
      <c r="L7" s="699"/>
      <c r="M7" s="699"/>
      <c r="N7" s="696" t="s">
        <v>123</v>
      </c>
      <c r="O7" s="697"/>
      <c r="P7" s="697"/>
      <c r="Q7" s="698"/>
      <c r="R7" s="699" t="s">
        <v>129</v>
      </c>
      <c r="S7" s="699"/>
      <c r="T7" s="699"/>
      <c r="U7" s="699"/>
      <c r="V7" s="699"/>
      <c r="W7" s="699" t="s">
        <v>132</v>
      </c>
      <c r="X7" s="699"/>
      <c r="Y7" s="699"/>
      <c r="Z7" s="699"/>
      <c r="AA7" s="401" t="s">
        <v>77</v>
      </c>
      <c r="AB7" s="401" t="s">
        <v>6</v>
      </c>
      <c r="AC7" s="401" t="s">
        <v>6</v>
      </c>
      <c r="AD7" s="401" t="s">
        <v>6</v>
      </c>
      <c r="AE7" s="401" t="s">
        <v>6</v>
      </c>
      <c r="AF7" s="401" t="s">
        <v>7</v>
      </c>
      <c r="AG7" s="401" t="s">
        <v>10</v>
      </c>
      <c r="AH7" s="401" t="s">
        <v>10</v>
      </c>
      <c r="AI7" s="401" t="s">
        <v>10</v>
      </c>
      <c r="AJ7" s="401" t="s">
        <v>10</v>
      </c>
      <c r="AK7" s="401" t="s">
        <v>155</v>
      </c>
      <c r="AL7" s="401" t="s">
        <v>156</v>
      </c>
      <c r="AM7" s="401" t="s">
        <v>157</v>
      </c>
      <c r="AN7" s="401" t="s">
        <v>80</v>
      </c>
      <c r="AO7" s="408" t="s">
        <v>81</v>
      </c>
      <c r="AP7" s="408" t="s">
        <v>81</v>
      </c>
      <c r="AQ7" s="408" t="s">
        <v>81</v>
      </c>
      <c r="AR7" s="408" t="s">
        <v>81</v>
      </c>
      <c r="AS7" s="409" t="s">
        <v>130</v>
      </c>
    </row>
    <row r="8" spans="1:44" s="409" customFormat="1" ht="17.25" thickBot="1">
      <c r="A8" s="701"/>
      <c r="B8" s="402" t="s">
        <v>82</v>
      </c>
      <c r="C8" s="701"/>
      <c r="D8" s="701"/>
      <c r="E8" s="701"/>
      <c r="F8" s="701"/>
      <c r="G8" s="701"/>
      <c r="H8" s="423" t="s">
        <v>312</v>
      </c>
      <c r="I8" s="402" t="s">
        <v>83</v>
      </c>
      <c r="J8" s="403" t="s">
        <v>217</v>
      </c>
      <c r="K8" s="403" t="s">
        <v>229</v>
      </c>
      <c r="L8" s="403" t="s">
        <v>223</v>
      </c>
      <c r="M8" s="403" t="s">
        <v>83</v>
      </c>
      <c r="N8" s="402" t="s">
        <v>224</v>
      </c>
      <c r="O8" s="402" t="s">
        <v>283</v>
      </c>
      <c r="P8" s="402" t="s">
        <v>282</v>
      </c>
      <c r="Q8" s="402" t="s">
        <v>83</v>
      </c>
      <c r="R8" s="402" t="s">
        <v>284</v>
      </c>
      <c r="S8" s="402" t="s">
        <v>291</v>
      </c>
      <c r="T8" s="402" t="s">
        <v>301</v>
      </c>
      <c r="U8" s="402" t="s">
        <v>295</v>
      </c>
      <c r="V8" s="402" t="s">
        <v>83</v>
      </c>
      <c r="W8" s="402" t="s">
        <v>296</v>
      </c>
      <c r="X8" s="402" t="s">
        <v>304</v>
      </c>
      <c r="Y8" s="402"/>
      <c r="Z8" s="402" t="s">
        <v>83</v>
      </c>
      <c r="AA8" s="402" t="s">
        <v>5</v>
      </c>
      <c r="AB8" s="402" t="s">
        <v>12</v>
      </c>
      <c r="AC8" s="402" t="s">
        <v>13</v>
      </c>
      <c r="AD8" s="402" t="s">
        <v>14</v>
      </c>
      <c r="AE8" s="402" t="s">
        <v>15</v>
      </c>
      <c r="AF8" s="402" t="s">
        <v>6</v>
      </c>
      <c r="AG8" s="402" t="s">
        <v>12</v>
      </c>
      <c r="AH8" s="402" t="s">
        <v>13</v>
      </c>
      <c r="AI8" s="402" t="s">
        <v>14</v>
      </c>
      <c r="AJ8" s="402" t="s">
        <v>15</v>
      </c>
      <c r="AK8" s="402"/>
      <c r="AL8" s="402"/>
      <c r="AM8" s="402"/>
      <c r="AN8" s="402" t="s">
        <v>85</v>
      </c>
      <c r="AO8" s="410" t="s">
        <v>12</v>
      </c>
      <c r="AP8" s="410" t="s">
        <v>13</v>
      </c>
      <c r="AQ8" s="410" t="s">
        <v>14</v>
      </c>
      <c r="AR8" s="410" t="s">
        <v>15</v>
      </c>
    </row>
    <row r="9" spans="1:44" ht="15" customHeight="1">
      <c r="A9" s="315" t="s">
        <v>22</v>
      </c>
      <c r="B9" s="316"/>
      <c r="C9" s="317"/>
      <c r="D9" s="317"/>
      <c r="E9" s="317"/>
      <c r="F9" s="317"/>
      <c r="G9" s="317"/>
      <c r="H9" s="317"/>
      <c r="I9" s="318"/>
      <c r="J9" s="318"/>
      <c r="K9" s="318"/>
      <c r="L9" s="318"/>
      <c r="M9" s="318"/>
      <c r="N9" s="318"/>
      <c r="O9" s="317"/>
      <c r="P9" s="318"/>
      <c r="Q9" s="318"/>
      <c r="R9" s="317"/>
      <c r="S9" s="317"/>
      <c r="T9" s="317"/>
      <c r="U9" s="317"/>
      <c r="V9" s="318"/>
      <c r="W9" s="318"/>
      <c r="X9" s="318"/>
      <c r="Y9" s="319"/>
      <c r="Z9" s="319"/>
      <c r="AA9" s="318"/>
      <c r="AB9" s="318"/>
      <c r="AC9" s="318"/>
      <c r="AD9" s="318"/>
      <c r="AE9" s="319"/>
      <c r="AF9" s="318"/>
      <c r="AG9" s="318"/>
      <c r="AH9" s="316"/>
      <c r="AI9" s="316"/>
      <c r="AJ9" s="316"/>
      <c r="AK9" s="316"/>
      <c r="AL9" s="320"/>
      <c r="AM9" s="320"/>
      <c r="AN9" s="321"/>
      <c r="AO9" s="321"/>
      <c r="AP9" s="321"/>
      <c r="AQ9" s="321"/>
      <c r="AR9" s="321"/>
    </row>
    <row r="10" spans="1:44" ht="15" customHeight="1">
      <c r="A10" s="322" t="s">
        <v>23</v>
      </c>
      <c r="B10" s="323"/>
      <c r="C10" s="324"/>
      <c r="D10" s="324"/>
      <c r="E10" s="324"/>
      <c r="F10" s="324"/>
      <c r="G10" s="324"/>
      <c r="H10" s="324"/>
      <c r="I10" s="325"/>
      <c r="J10" s="325"/>
      <c r="K10" s="325"/>
      <c r="L10" s="325"/>
      <c r="M10" s="325"/>
      <c r="N10" s="325"/>
      <c r="O10" s="324"/>
      <c r="P10" s="325"/>
      <c r="Q10" s="325"/>
      <c r="R10" s="324"/>
      <c r="S10" s="324"/>
      <c r="T10" s="324"/>
      <c r="U10" s="324"/>
      <c r="V10" s="325"/>
      <c r="W10" s="325"/>
      <c r="X10" s="325"/>
      <c r="Y10" s="326"/>
      <c r="Z10" s="326"/>
      <c r="AA10" s="325"/>
      <c r="AB10" s="325"/>
      <c r="AC10" s="325"/>
      <c r="AD10" s="325"/>
      <c r="AE10" s="326"/>
      <c r="AF10" s="325"/>
      <c r="AG10" s="325"/>
      <c r="AH10" s="327"/>
      <c r="AI10" s="327"/>
      <c r="AJ10" s="327"/>
      <c r="AK10" s="327"/>
      <c r="AL10" s="327"/>
      <c r="AM10" s="327"/>
      <c r="AN10" s="328"/>
      <c r="AO10" s="328"/>
      <c r="AP10" s="328"/>
      <c r="AQ10" s="328"/>
      <c r="AR10" s="328"/>
    </row>
    <row r="11" spans="1:44" ht="15" customHeight="1">
      <c r="A11" s="322" t="s">
        <v>24</v>
      </c>
      <c r="B11" s="325">
        <v>591477600</v>
      </c>
      <c r="C11" s="324"/>
      <c r="D11" s="324"/>
      <c r="E11" s="324"/>
      <c r="F11" s="324">
        <v>-35145088</v>
      </c>
      <c r="G11" s="324"/>
      <c r="H11" s="324"/>
      <c r="I11" s="325">
        <f aca="true" t="shared" si="0" ref="I11:I21">SUM(B11:H11)</f>
        <v>556332512</v>
      </c>
      <c r="J11" s="325">
        <v>130759916</v>
      </c>
      <c r="K11" s="325"/>
      <c r="L11" s="325">
        <v>-10056888</v>
      </c>
      <c r="M11" s="325">
        <f aca="true" t="shared" si="1" ref="M11:M21">SUM(J11:L11)</f>
        <v>120703028</v>
      </c>
      <c r="N11" s="325">
        <v>138697856</v>
      </c>
      <c r="O11" s="325">
        <v>-951351</v>
      </c>
      <c r="P11" s="325">
        <f aca="true" t="shared" si="2" ref="P11:P21">+AC11-N11-O11</f>
        <v>0</v>
      </c>
      <c r="Q11" s="325">
        <f aca="true" t="shared" si="3" ref="Q11:Q21">+SUM(N11:P11)</f>
        <v>137746505</v>
      </c>
      <c r="R11" s="324">
        <v>138697856.21190003</v>
      </c>
      <c r="S11" s="324"/>
      <c r="T11" s="324">
        <v>-1982317</v>
      </c>
      <c r="U11" s="324">
        <v>-1135991</v>
      </c>
      <c r="V11" s="325">
        <f aca="true" t="shared" si="4" ref="V11:V21">+SUM(R11:U11)</f>
        <v>135579548.21190003</v>
      </c>
      <c r="W11" s="325">
        <v>162303430.78809997</v>
      </c>
      <c r="X11" s="325"/>
      <c r="Y11" s="326"/>
      <c r="Z11" s="326">
        <f>+SUM(W11:Y11)</f>
        <v>162303430.78809997</v>
      </c>
      <c r="AA11" s="325">
        <f aca="true" t="shared" si="5" ref="AA11:AA21">+M11+Q11+V11+Z11</f>
        <v>556332512</v>
      </c>
      <c r="AB11" s="460">
        <f>+'[4]ECO ENE-MAR-11'!$G$9</f>
        <v>120703028</v>
      </c>
      <c r="AC11" s="460">
        <f>+'[4]ECO ABR-JUN-11'!$G$9</f>
        <v>137746505</v>
      </c>
      <c r="AD11" s="460">
        <f>+'[4]ECO JUL-SEP-11'!$G$9</f>
        <v>135579548</v>
      </c>
      <c r="AE11" s="460">
        <f>+'[4]ECO OCT-DIC-11'!$G$9</f>
        <v>133385336</v>
      </c>
      <c r="AF11" s="460">
        <f aca="true" t="shared" si="6" ref="AF11:AF21">SUM(AB11:AE11)</f>
        <v>527414417</v>
      </c>
      <c r="AG11" s="325">
        <f aca="true" t="shared" si="7" ref="AG11:AG21">+M11-AB11</f>
        <v>0</v>
      </c>
      <c r="AH11" s="325">
        <f aca="true" t="shared" si="8" ref="AH11:AH21">+Q11-AC11</f>
        <v>0</v>
      </c>
      <c r="AI11" s="325">
        <f aca="true" t="shared" si="9" ref="AI11:AI21">+V11-AD11</f>
        <v>0.2119000256061554</v>
      </c>
      <c r="AJ11" s="325">
        <f aca="true" t="shared" si="10" ref="AJ11:AJ21">+Z11-AE11</f>
        <v>28918094.788099974</v>
      </c>
      <c r="AK11" s="327">
        <f>+AA11</f>
        <v>556332512</v>
      </c>
      <c r="AL11" s="327">
        <f aca="true" t="shared" si="11" ref="AL11:AL21">+I11-AK11</f>
        <v>0</v>
      </c>
      <c r="AM11" s="327">
        <f aca="true" t="shared" si="12" ref="AM11:AM21">+AK11-AF11</f>
        <v>28918095</v>
      </c>
      <c r="AN11" s="329">
        <f>+AF11/I11</f>
        <v>0.9480201239793802</v>
      </c>
      <c r="AO11" s="329">
        <f>+AB11/M11</f>
        <v>1</v>
      </c>
      <c r="AP11" s="329">
        <f>+AC11/Q11</f>
        <v>1</v>
      </c>
      <c r="AQ11" s="329">
        <f>+AD11/V11</f>
        <v>0.9999999984370798</v>
      </c>
      <c r="AR11" s="329">
        <f>+AE11/Z11</f>
        <v>0.8218269654086682</v>
      </c>
    </row>
    <row r="12" spans="1:44" ht="15" customHeight="1">
      <c r="A12" s="322" t="s">
        <v>25</v>
      </c>
      <c r="B12" s="325">
        <v>43644726</v>
      </c>
      <c r="C12" s="324"/>
      <c r="D12" s="324"/>
      <c r="E12" s="324"/>
      <c r="F12" s="324">
        <v>-4374907</v>
      </c>
      <c r="G12" s="324"/>
      <c r="H12" s="324"/>
      <c r="I12" s="325">
        <f t="shared" si="0"/>
        <v>39269819</v>
      </c>
      <c r="J12" s="325">
        <v>9132964.1</v>
      </c>
      <c r="K12" s="325"/>
      <c r="L12" s="325">
        <v>-723580.1</v>
      </c>
      <c r="M12" s="325">
        <f t="shared" si="1"/>
        <v>8409384</v>
      </c>
      <c r="N12" s="325">
        <v>9813528</v>
      </c>
      <c r="O12" s="325">
        <v>733758</v>
      </c>
      <c r="P12" s="325">
        <f t="shared" si="2"/>
        <v>0</v>
      </c>
      <c r="Q12" s="325">
        <f t="shared" si="3"/>
        <v>10547286</v>
      </c>
      <c r="R12" s="324">
        <v>9813527.70245127</v>
      </c>
      <c r="S12" s="324"/>
      <c r="T12" s="324">
        <v>3917</v>
      </c>
      <c r="U12" s="324">
        <v>0</v>
      </c>
      <c r="V12" s="325">
        <f t="shared" si="4"/>
        <v>9817444.70245127</v>
      </c>
      <c r="W12" s="325">
        <v>10495704.29754873</v>
      </c>
      <c r="X12" s="325"/>
      <c r="Y12" s="326"/>
      <c r="Z12" s="326">
        <f aca="true" t="shared" si="13" ref="Z12:Z21">+SUM(W12:Y12)</f>
        <v>10495704.29754873</v>
      </c>
      <c r="AA12" s="325">
        <f t="shared" si="5"/>
        <v>39269819</v>
      </c>
      <c r="AB12" s="460">
        <f>+'[4]ECO ENE-MAR-11'!$G$19</f>
        <v>8409384</v>
      </c>
      <c r="AC12" s="460">
        <f>+'[4]ECO ABR-JUN-11'!$G$23</f>
        <v>10547286</v>
      </c>
      <c r="AD12" s="460">
        <f>+'[4]ECO JUL-SEP-11'!$G$25</f>
        <v>9817445</v>
      </c>
      <c r="AE12" s="460">
        <f>+'[4]ECO OCT-DIC-11'!$G$26</f>
        <v>9787202</v>
      </c>
      <c r="AF12" s="460">
        <f t="shared" si="6"/>
        <v>38561317</v>
      </c>
      <c r="AG12" s="325">
        <f t="shared" si="7"/>
        <v>0</v>
      </c>
      <c r="AH12" s="325">
        <f t="shared" si="8"/>
        <v>0</v>
      </c>
      <c r="AI12" s="325">
        <f t="shared" si="9"/>
        <v>-0.29754872992634773</v>
      </c>
      <c r="AJ12" s="325">
        <f t="shared" si="10"/>
        <v>708502.2975487299</v>
      </c>
      <c r="AK12" s="327">
        <f aca="true" t="shared" si="14" ref="AK12:AK21">+AA12</f>
        <v>39269819</v>
      </c>
      <c r="AL12" s="327">
        <f t="shared" si="11"/>
        <v>0</v>
      </c>
      <c r="AM12" s="327">
        <f t="shared" si="12"/>
        <v>708502</v>
      </c>
      <c r="AN12" s="329">
        <f>+AF12/I12</f>
        <v>0.9819581037539287</v>
      </c>
      <c r="AO12" s="329">
        <f>+AB12/M12</f>
        <v>1</v>
      </c>
      <c r="AP12" s="329">
        <f>+AC12/Q12</f>
        <v>1</v>
      </c>
      <c r="AQ12" s="329">
        <f>+AD12/V12</f>
        <v>1.0000000303081646</v>
      </c>
      <c r="AR12" s="329">
        <f>+AE12/Z12</f>
        <v>0.9324959738324373</v>
      </c>
    </row>
    <row r="13" spans="1:44" ht="15" customHeight="1">
      <c r="A13" s="322" t="s">
        <v>26</v>
      </c>
      <c r="B13" s="325">
        <v>5237366.5</v>
      </c>
      <c r="C13" s="324"/>
      <c r="D13" s="324"/>
      <c r="E13" s="324"/>
      <c r="F13" s="324">
        <v>-524989</v>
      </c>
      <c r="G13" s="324"/>
      <c r="H13" s="324"/>
      <c r="I13" s="325">
        <f t="shared" si="0"/>
        <v>4712377.5</v>
      </c>
      <c r="J13" s="325">
        <v>1095956.4</v>
      </c>
      <c r="K13" s="325"/>
      <c r="L13" s="325">
        <v>-86830.3999999999</v>
      </c>
      <c r="M13" s="325">
        <f t="shared" si="1"/>
        <v>1009126</v>
      </c>
      <c r="N13" s="325">
        <v>1177623</v>
      </c>
      <c r="O13" s="325">
        <v>-516165</v>
      </c>
      <c r="P13" s="325">
        <f t="shared" si="2"/>
        <v>-561352</v>
      </c>
      <c r="Q13" s="325">
        <f t="shared" si="3"/>
        <v>100106</v>
      </c>
      <c r="R13" s="324">
        <v>1177623.3242941524</v>
      </c>
      <c r="S13" s="324"/>
      <c r="T13" s="324">
        <v>254300</v>
      </c>
      <c r="U13" s="324">
        <v>0</v>
      </c>
      <c r="V13" s="325">
        <f t="shared" si="4"/>
        <v>1431923.3242941524</v>
      </c>
      <c r="W13" s="325">
        <v>2171222.1757058473</v>
      </c>
      <c r="X13" s="325"/>
      <c r="Y13" s="326"/>
      <c r="Z13" s="326">
        <f t="shared" si="13"/>
        <v>2171222.1757058473</v>
      </c>
      <c r="AA13" s="325">
        <f t="shared" si="5"/>
        <v>4712377.5</v>
      </c>
      <c r="AB13" s="460">
        <f>+'[4]ECO ENE-MAR-11'!$G$26</f>
        <v>1009126</v>
      </c>
      <c r="AC13" s="460">
        <f>+'[4]ECO ABR-JUN-11'!$G$31</f>
        <v>100106</v>
      </c>
      <c r="AD13" s="460">
        <f>+'[4]ECO JUL-SEP-11'!$G$32</f>
        <v>1431923</v>
      </c>
      <c r="AE13" s="460">
        <f>+'[4]ECO OCT-DIC-11'!$G$33</f>
        <v>2015091</v>
      </c>
      <c r="AF13" s="460">
        <f t="shared" si="6"/>
        <v>4556246</v>
      </c>
      <c r="AG13" s="325">
        <f t="shared" si="7"/>
        <v>0</v>
      </c>
      <c r="AH13" s="325">
        <f t="shared" si="8"/>
        <v>0</v>
      </c>
      <c r="AI13" s="325">
        <f t="shared" si="9"/>
        <v>0.32429415243677795</v>
      </c>
      <c r="AJ13" s="325">
        <f t="shared" si="10"/>
        <v>156131.17570584733</v>
      </c>
      <c r="AK13" s="327">
        <f t="shared" si="14"/>
        <v>4712377.5</v>
      </c>
      <c r="AL13" s="327">
        <f t="shared" si="11"/>
        <v>0</v>
      </c>
      <c r="AM13" s="327">
        <f t="shared" si="12"/>
        <v>156131.5</v>
      </c>
      <c r="AN13" s="329">
        <f>+AF13/I13</f>
        <v>0.9668677859530566</v>
      </c>
      <c r="AO13" s="329">
        <f>+AB13/M13</f>
        <v>1</v>
      </c>
      <c r="AP13" s="329">
        <f>+AC13/Q13</f>
        <v>1</v>
      </c>
      <c r="AQ13" s="329">
        <f>+AD13/V13</f>
        <v>0.9999997735254765</v>
      </c>
      <c r="AR13" s="329">
        <f>+AE13/Z13</f>
        <v>0.9280906498409863</v>
      </c>
    </row>
    <row r="14" spans="1:44" ht="15" customHeight="1">
      <c r="A14" s="322" t="s">
        <v>27</v>
      </c>
      <c r="B14" s="325">
        <v>43644726</v>
      </c>
      <c r="C14" s="324"/>
      <c r="D14" s="324"/>
      <c r="E14" s="324"/>
      <c r="F14" s="324">
        <v>-4374907</v>
      </c>
      <c r="G14" s="324"/>
      <c r="H14" s="324"/>
      <c r="I14" s="325">
        <f t="shared" si="0"/>
        <v>39269819</v>
      </c>
      <c r="J14" s="325">
        <v>9132964.1</v>
      </c>
      <c r="K14" s="325"/>
      <c r="L14" s="325">
        <v>-723580.1</v>
      </c>
      <c r="M14" s="325">
        <f t="shared" si="1"/>
        <v>8409384</v>
      </c>
      <c r="N14" s="325">
        <v>9813528</v>
      </c>
      <c r="O14" s="325">
        <v>733758</v>
      </c>
      <c r="P14" s="325">
        <f t="shared" si="2"/>
        <v>0</v>
      </c>
      <c r="Q14" s="325">
        <f t="shared" si="3"/>
        <v>10547286</v>
      </c>
      <c r="R14" s="324">
        <v>9813527.70245127</v>
      </c>
      <c r="S14" s="324"/>
      <c r="T14" s="324">
        <v>3917</v>
      </c>
      <c r="U14" s="324">
        <v>0</v>
      </c>
      <c r="V14" s="325">
        <f t="shared" si="4"/>
        <v>9817444.70245127</v>
      </c>
      <c r="W14" s="325">
        <v>10495704.29754873</v>
      </c>
      <c r="X14" s="325"/>
      <c r="Y14" s="326"/>
      <c r="Z14" s="326">
        <f t="shared" si="13"/>
        <v>10495704.29754873</v>
      </c>
      <c r="AA14" s="325">
        <f t="shared" si="5"/>
        <v>39269819</v>
      </c>
      <c r="AB14" s="460">
        <f>+'[4]ECO ENE-MAR-11'!$G$33</f>
        <v>8409384</v>
      </c>
      <c r="AC14" s="460">
        <f>+'[4]ECO ABR-JUN-11'!$G$39</f>
        <v>10547286</v>
      </c>
      <c r="AD14" s="460">
        <f>+'[4]ECO JUL-SEP-11'!$G$39</f>
        <v>9817445</v>
      </c>
      <c r="AE14" s="460">
        <f>+'[4]ECO OCT-DIC-11'!$G$40</f>
        <v>9787202</v>
      </c>
      <c r="AF14" s="460">
        <f t="shared" si="6"/>
        <v>38561317</v>
      </c>
      <c r="AG14" s="325">
        <f t="shared" si="7"/>
        <v>0</v>
      </c>
      <c r="AH14" s="325">
        <f t="shared" si="8"/>
        <v>0</v>
      </c>
      <c r="AI14" s="325">
        <f t="shared" si="9"/>
        <v>-0.29754872992634773</v>
      </c>
      <c r="AJ14" s="325">
        <f t="shared" si="10"/>
        <v>708502.2975487299</v>
      </c>
      <c r="AK14" s="327">
        <f t="shared" si="14"/>
        <v>39269819</v>
      </c>
      <c r="AL14" s="327">
        <f t="shared" si="11"/>
        <v>0</v>
      </c>
      <c r="AM14" s="327">
        <f t="shared" si="12"/>
        <v>708502</v>
      </c>
      <c r="AN14" s="329">
        <f>+AF14/I14</f>
        <v>0.9819581037539287</v>
      </c>
      <c r="AO14" s="329">
        <f>+AB14/M14</f>
        <v>1</v>
      </c>
      <c r="AP14" s="329">
        <f>+AC14/Q14</f>
        <v>1</v>
      </c>
      <c r="AQ14" s="329">
        <f>+AD14/V14</f>
        <v>1.0000000303081646</v>
      </c>
      <c r="AR14" s="329">
        <f>+AE14/Z14</f>
        <v>0.9324959738324373</v>
      </c>
    </row>
    <row r="15" spans="1:44" ht="15" customHeight="1">
      <c r="A15" s="322" t="s">
        <v>28</v>
      </c>
      <c r="B15" s="325">
        <v>25303763</v>
      </c>
      <c r="C15" s="324"/>
      <c r="D15" s="324"/>
      <c r="E15" s="324"/>
      <c r="F15" s="324">
        <v>-2187454</v>
      </c>
      <c r="G15" s="324"/>
      <c r="H15" s="324"/>
      <c r="I15" s="325">
        <f t="shared" si="0"/>
        <v>23116309</v>
      </c>
      <c r="J15" s="325">
        <v>5775744</v>
      </c>
      <c r="K15" s="325"/>
      <c r="L15" s="325">
        <v>-746450</v>
      </c>
      <c r="M15" s="325">
        <f t="shared" si="1"/>
        <v>5029294</v>
      </c>
      <c r="N15" s="325">
        <v>5775744</v>
      </c>
      <c r="O15" s="325"/>
      <c r="P15" s="325">
        <f t="shared" si="2"/>
        <v>-1326705</v>
      </c>
      <c r="Q15" s="325">
        <f t="shared" si="3"/>
        <v>4449039</v>
      </c>
      <c r="R15" s="324">
        <v>5775744.244036229</v>
      </c>
      <c r="S15" s="324"/>
      <c r="T15" s="324">
        <v>1720183</v>
      </c>
      <c r="U15" s="324">
        <v>0</v>
      </c>
      <c r="V15" s="325">
        <f t="shared" si="4"/>
        <v>7495927.244036229</v>
      </c>
      <c r="W15" s="325">
        <v>6142048.755963771</v>
      </c>
      <c r="X15" s="325"/>
      <c r="Y15" s="326"/>
      <c r="Z15" s="326">
        <f t="shared" si="13"/>
        <v>6142048.755963771</v>
      </c>
      <c r="AA15" s="325">
        <f t="shared" si="5"/>
        <v>23116309</v>
      </c>
      <c r="AB15" s="460">
        <f>+'[4]ECO ENE-MAR-11'!$G$40</f>
        <v>5029294</v>
      </c>
      <c r="AC15" s="460">
        <f>+'[4]ECO ABR-JUN-11'!$G$47</f>
        <v>4449039</v>
      </c>
      <c r="AD15" s="460">
        <f>+'[4]ECO JUL-SEP-11'!$G$46</f>
        <v>7495927</v>
      </c>
      <c r="AE15" s="460">
        <f>+'[4]ECO OCT-DIC-11'!$G$47</f>
        <v>5140080</v>
      </c>
      <c r="AF15" s="460">
        <f t="shared" si="6"/>
        <v>22114340</v>
      </c>
      <c r="AG15" s="325">
        <f t="shared" si="7"/>
        <v>0</v>
      </c>
      <c r="AH15" s="325">
        <f t="shared" si="8"/>
        <v>0</v>
      </c>
      <c r="AI15" s="325">
        <f t="shared" si="9"/>
        <v>0.24403622932732105</v>
      </c>
      <c r="AJ15" s="325">
        <f t="shared" si="10"/>
        <v>1001968.7559637707</v>
      </c>
      <c r="AK15" s="327">
        <f t="shared" si="14"/>
        <v>23116309</v>
      </c>
      <c r="AL15" s="327">
        <f t="shared" si="11"/>
        <v>0</v>
      </c>
      <c r="AM15" s="327">
        <f t="shared" si="12"/>
        <v>1001969</v>
      </c>
      <c r="AN15" s="329">
        <f>+AF15/I15</f>
        <v>0.9566553207088554</v>
      </c>
      <c r="AO15" s="329">
        <f>+AB15/M15</f>
        <v>1</v>
      </c>
      <c r="AP15" s="329">
        <f>+AC15/Q15</f>
        <v>1</v>
      </c>
      <c r="AQ15" s="329">
        <f>+AD15/V15</f>
        <v>0.9999999674441572</v>
      </c>
      <c r="AR15" s="329">
        <f>+AE15/Z15</f>
        <v>0.8368673392586008</v>
      </c>
    </row>
    <row r="16" spans="1:44" ht="15" customHeight="1">
      <c r="A16" s="322" t="s">
        <v>29</v>
      </c>
      <c r="B16" s="325"/>
      <c r="C16" s="324"/>
      <c r="D16" s="324"/>
      <c r="E16" s="324"/>
      <c r="F16" s="324"/>
      <c r="G16" s="324"/>
      <c r="H16" s="324"/>
      <c r="I16" s="325">
        <f t="shared" si="0"/>
        <v>0</v>
      </c>
      <c r="J16" s="325"/>
      <c r="K16" s="325"/>
      <c r="L16" s="325">
        <v>0</v>
      </c>
      <c r="M16" s="325">
        <f t="shared" si="1"/>
        <v>0</v>
      </c>
      <c r="N16" s="325">
        <v>0</v>
      </c>
      <c r="O16" s="325"/>
      <c r="P16" s="325">
        <f t="shared" si="2"/>
        <v>0</v>
      </c>
      <c r="Q16" s="325">
        <f t="shared" si="3"/>
        <v>0</v>
      </c>
      <c r="R16" s="324">
        <v>0</v>
      </c>
      <c r="S16" s="324"/>
      <c r="T16" s="324"/>
      <c r="U16" s="324"/>
      <c r="V16" s="325">
        <f t="shared" si="4"/>
        <v>0</v>
      </c>
      <c r="W16" s="325">
        <v>0</v>
      </c>
      <c r="X16" s="325"/>
      <c r="Y16" s="326"/>
      <c r="Z16" s="326">
        <f t="shared" si="13"/>
        <v>0</v>
      </c>
      <c r="AA16" s="325">
        <f t="shared" si="5"/>
        <v>0</v>
      </c>
      <c r="AB16" s="460"/>
      <c r="AC16" s="460"/>
      <c r="AD16" s="460"/>
      <c r="AE16" s="460"/>
      <c r="AF16" s="460">
        <f t="shared" si="6"/>
        <v>0</v>
      </c>
      <c r="AG16" s="325">
        <f t="shared" si="7"/>
        <v>0</v>
      </c>
      <c r="AH16" s="325">
        <f t="shared" si="8"/>
        <v>0</v>
      </c>
      <c r="AI16" s="325">
        <f t="shared" si="9"/>
        <v>0</v>
      </c>
      <c r="AJ16" s="325">
        <f t="shared" si="10"/>
        <v>0</v>
      </c>
      <c r="AK16" s="327">
        <f t="shared" si="14"/>
        <v>0</v>
      </c>
      <c r="AL16" s="327">
        <f t="shared" si="11"/>
        <v>0</v>
      </c>
      <c r="AM16" s="327">
        <f t="shared" si="12"/>
        <v>0</v>
      </c>
      <c r="AN16" s="329">
        <v>0</v>
      </c>
      <c r="AO16" s="329">
        <v>0</v>
      </c>
      <c r="AP16" s="329">
        <v>0</v>
      </c>
      <c r="AQ16" s="329">
        <v>0</v>
      </c>
      <c r="AR16" s="329">
        <v>0</v>
      </c>
    </row>
    <row r="17" spans="1:44" ht="15" customHeight="1">
      <c r="A17" s="322" t="s">
        <v>30</v>
      </c>
      <c r="B17" s="325">
        <v>120044534.09204145</v>
      </c>
      <c r="C17" s="324"/>
      <c r="D17" s="324"/>
      <c r="E17" s="324"/>
      <c r="F17" s="324">
        <v>-7280795</v>
      </c>
      <c r="G17" s="324"/>
      <c r="H17" s="324"/>
      <c r="I17" s="325">
        <f t="shared" si="0"/>
        <v>112763739.09204145</v>
      </c>
      <c r="J17" s="325">
        <v>26397723</v>
      </c>
      <c r="K17" s="325"/>
      <c r="L17" s="325">
        <v>-111300</v>
      </c>
      <c r="M17" s="325">
        <f t="shared" si="1"/>
        <v>26286423</v>
      </c>
      <c r="N17" s="325">
        <v>28112844</v>
      </c>
      <c r="O17" s="325"/>
      <c r="P17" s="325">
        <f t="shared" si="2"/>
        <v>-127420</v>
      </c>
      <c r="Q17" s="325">
        <f t="shared" si="3"/>
        <v>27985424</v>
      </c>
      <c r="R17" s="324">
        <v>28112843.614861254</v>
      </c>
      <c r="S17" s="324"/>
      <c r="T17" s="324"/>
      <c r="U17" s="324">
        <v>-98018</v>
      </c>
      <c r="V17" s="325">
        <f t="shared" si="4"/>
        <v>28014825.614861254</v>
      </c>
      <c r="W17" s="325">
        <v>30477066.477180194</v>
      </c>
      <c r="X17" s="325"/>
      <c r="Y17" s="326"/>
      <c r="Z17" s="326">
        <f t="shared" si="13"/>
        <v>30477066.477180194</v>
      </c>
      <c r="AA17" s="325">
        <f t="shared" si="5"/>
        <v>112763739.09204145</v>
      </c>
      <c r="AB17" s="460">
        <f>+'[4]ECO ENE-MAR-11'!$G$47</f>
        <v>26286423</v>
      </c>
      <c r="AC17" s="460">
        <f>+'[4]ECO ABR-JUN-11'!$G$56</f>
        <v>27985424</v>
      </c>
      <c r="AD17" s="460">
        <f>+'[4]ECO JUL-SEP-11'!$G$53</f>
        <v>28014826</v>
      </c>
      <c r="AE17" s="460">
        <f>+'[4]ECO OCT-DIC-11'!$G$55</f>
        <v>27930532</v>
      </c>
      <c r="AF17" s="460">
        <f t="shared" si="6"/>
        <v>110217205</v>
      </c>
      <c r="AG17" s="325">
        <f t="shared" si="7"/>
        <v>0</v>
      </c>
      <c r="AH17" s="325">
        <f t="shared" si="8"/>
        <v>0</v>
      </c>
      <c r="AI17" s="325">
        <f t="shared" si="9"/>
        <v>-0.38513874635100365</v>
      </c>
      <c r="AJ17" s="325">
        <f t="shared" si="10"/>
        <v>2546534.477180194</v>
      </c>
      <c r="AK17" s="327">
        <f t="shared" si="14"/>
        <v>112763739.09204145</v>
      </c>
      <c r="AL17" s="327">
        <f t="shared" si="11"/>
        <v>0</v>
      </c>
      <c r="AM17" s="327">
        <f t="shared" si="12"/>
        <v>2546534.0920414478</v>
      </c>
      <c r="AN17" s="329">
        <f aca="true" t="shared" si="15" ref="AN17:AN22">+AF17/I17</f>
        <v>0.9774170836073209</v>
      </c>
      <c r="AO17" s="329">
        <f>+AB17/M17</f>
        <v>1</v>
      </c>
      <c r="AP17" s="329">
        <f>+AC17/Q17</f>
        <v>1</v>
      </c>
      <c r="AQ17" s="329">
        <f>+AD17/V17</f>
        <v>1.000000013747676</v>
      </c>
      <c r="AR17" s="329">
        <f>+AE17/Z17</f>
        <v>0.9164442391761386</v>
      </c>
    </row>
    <row r="18" spans="1:44" ht="15" customHeight="1">
      <c r="A18" s="322" t="s">
        <v>31</v>
      </c>
      <c r="B18" s="325">
        <v>22602626.067778535</v>
      </c>
      <c r="C18" s="324"/>
      <c r="D18" s="324"/>
      <c r="E18" s="324"/>
      <c r="F18" s="324">
        <v>-1385367</v>
      </c>
      <c r="G18" s="324"/>
      <c r="H18" s="324"/>
      <c r="I18" s="325">
        <f t="shared" si="0"/>
        <v>21217259.067778535</v>
      </c>
      <c r="J18" s="325">
        <v>4969234</v>
      </c>
      <c r="K18" s="325"/>
      <c r="L18" s="325">
        <v>-5434</v>
      </c>
      <c r="M18" s="325">
        <f t="shared" si="1"/>
        <v>4963800</v>
      </c>
      <c r="N18" s="325">
        <v>5289621</v>
      </c>
      <c r="O18" s="325"/>
      <c r="P18" s="325">
        <f t="shared" si="2"/>
        <v>-124721</v>
      </c>
      <c r="Q18" s="325">
        <f t="shared" si="3"/>
        <v>5164900</v>
      </c>
      <c r="R18" s="324">
        <v>5289621.448476002</v>
      </c>
      <c r="S18" s="324"/>
      <c r="T18" s="324"/>
      <c r="U18" s="324">
        <v>-123021</v>
      </c>
      <c r="V18" s="325">
        <f t="shared" si="4"/>
        <v>5166600.448476002</v>
      </c>
      <c r="W18" s="325">
        <v>5921958.619302534</v>
      </c>
      <c r="X18" s="325"/>
      <c r="Y18" s="326"/>
      <c r="Z18" s="326">
        <f t="shared" si="13"/>
        <v>5921958.619302534</v>
      </c>
      <c r="AA18" s="325">
        <f t="shared" si="5"/>
        <v>21217259.067778535</v>
      </c>
      <c r="AB18" s="460">
        <f>+'[4]ECO ENE-MAR-11'!$G$54</f>
        <v>4963800</v>
      </c>
      <c r="AC18" s="460">
        <f>+'[4]ECO ABR-JUN-11'!$G$65</f>
        <v>5164900</v>
      </c>
      <c r="AD18" s="460">
        <f>+'[4]ECO JUL-SEP-11'!$G$60</f>
        <v>5166600</v>
      </c>
      <c r="AE18" s="460">
        <f>+'[4]ECO OCT-DIC-11'!$G$64</f>
        <v>5219300</v>
      </c>
      <c r="AF18" s="460">
        <f t="shared" si="6"/>
        <v>20514600</v>
      </c>
      <c r="AG18" s="325">
        <f t="shared" si="7"/>
        <v>0</v>
      </c>
      <c r="AH18" s="325">
        <f t="shared" si="8"/>
        <v>0</v>
      </c>
      <c r="AI18" s="325">
        <f t="shared" si="9"/>
        <v>0.44847600162029266</v>
      </c>
      <c r="AJ18" s="325">
        <f t="shared" si="10"/>
        <v>702658.6193025336</v>
      </c>
      <c r="AK18" s="327">
        <f t="shared" si="14"/>
        <v>21217259.067778535</v>
      </c>
      <c r="AL18" s="327">
        <f t="shared" si="11"/>
        <v>0</v>
      </c>
      <c r="AM18" s="327">
        <f t="shared" si="12"/>
        <v>702659.0677785352</v>
      </c>
      <c r="AN18" s="329">
        <f t="shared" si="15"/>
        <v>0.966882665403015</v>
      </c>
      <c r="AO18" s="329">
        <f>+AB18/M18</f>
        <v>1</v>
      </c>
      <c r="AP18" s="329">
        <f>+AC18/Q18</f>
        <v>1</v>
      </c>
      <c r="AQ18" s="329">
        <f>+AD18/V18</f>
        <v>0.9999999131970807</v>
      </c>
      <c r="AR18" s="329">
        <f>+AE18/Z18</f>
        <v>0.8813469217747945</v>
      </c>
    </row>
    <row r="19" spans="1:44" ht="15" customHeight="1">
      <c r="A19" s="326" t="s">
        <v>32</v>
      </c>
      <c r="B19" s="325">
        <v>28253282.584723167</v>
      </c>
      <c r="C19" s="324"/>
      <c r="D19" s="324"/>
      <c r="E19" s="324"/>
      <c r="F19" s="324">
        <v>-1731708</v>
      </c>
      <c r="G19" s="324"/>
      <c r="H19" s="324"/>
      <c r="I19" s="325">
        <f t="shared" si="0"/>
        <v>26521574.584723167</v>
      </c>
      <c r="J19" s="325">
        <v>6211542</v>
      </c>
      <c r="K19" s="325"/>
      <c r="L19" s="325">
        <v>-5442</v>
      </c>
      <c r="M19" s="325">
        <f t="shared" si="1"/>
        <v>6206100</v>
      </c>
      <c r="N19" s="325">
        <v>6612027</v>
      </c>
      <c r="O19" s="325"/>
      <c r="P19" s="325">
        <f t="shared" si="2"/>
        <v>-154427</v>
      </c>
      <c r="Q19" s="325">
        <f t="shared" si="3"/>
        <v>6457600</v>
      </c>
      <c r="R19" s="324">
        <v>6612026.810595001</v>
      </c>
      <c r="S19" s="324"/>
      <c r="T19" s="324"/>
      <c r="U19" s="324">
        <v>-152327</v>
      </c>
      <c r="V19" s="325">
        <f t="shared" si="4"/>
        <v>6459699.810595001</v>
      </c>
      <c r="W19" s="325">
        <v>7398174.774128166</v>
      </c>
      <c r="X19" s="325"/>
      <c r="Y19" s="326"/>
      <c r="Z19" s="326">
        <f t="shared" si="13"/>
        <v>7398174.774128166</v>
      </c>
      <c r="AA19" s="325">
        <f t="shared" si="5"/>
        <v>26521574.584723167</v>
      </c>
      <c r="AB19" s="460">
        <f>+'[4]ECO ENE-MAR-11'!$G$61</f>
        <v>6206100</v>
      </c>
      <c r="AC19" s="460">
        <f>+'[4]ECO ABR-JUN-11'!$G$72</f>
        <v>6457600</v>
      </c>
      <c r="AD19" s="460">
        <f>+'[4]ECO JUL-SEP-11'!$G$67</f>
        <v>6459700</v>
      </c>
      <c r="AE19" s="460">
        <f>+'[4]ECO OCT-DIC-11'!$G$71</f>
        <v>6525800</v>
      </c>
      <c r="AF19" s="460">
        <f t="shared" si="6"/>
        <v>25649200</v>
      </c>
      <c r="AG19" s="325">
        <f t="shared" si="7"/>
        <v>0</v>
      </c>
      <c r="AH19" s="325">
        <f t="shared" si="8"/>
        <v>0</v>
      </c>
      <c r="AI19" s="325">
        <f t="shared" si="9"/>
        <v>-0.18940499890595675</v>
      </c>
      <c r="AJ19" s="325">
        <f t="shared" si="10"/>
        <v>872374.774128166</v>
      </c>
      <c r="AK19" s="327">
        <f t="shared" si="14"/>
        <v>26521574.584723167</v>
      </c>
      <c r="AL19" s="327">
        <f t="shared" si="11"/>
        <v>0</v>
      </c>
      <c r="AM19" s="327">
        <f t="shared" si="12"/>
        <v>872374.5847231671</v>
      </c>
      <c r="AN19" s="329">
        <f t="shared" si="15"/>
        <v>0.9671069837148482</v>
      </c>
      <c r="AO19" s="329">
        <f>+AB19/M19</f>
        <v>1</v>
      </c>
      <c r="AP19" s="329">
        <f>+AC19/Q19</f>
        <v>1</v>
      </c>
      <c r="AQ19" s="329">
        <f>+AD19/V19</f>
        <v>1.0000000293210218</v>
      </c>
      <c r="AR19" s="329">
        <f>+AE19/Z19</f>
        <v>0.8820824323887414</v>
      </c>
    </row>
    <row r="20" spans="1:44" ht="15" customHeight="1">
      <c r="A20" s="326" t="s">
        <v>33</v>
      </c>
      <c r="B20" s="325">
        <v>600000</v>
      </c>
      <c r="C20" s="324"/>
      <c r="D20" s="324"/>
      <c r="E20" s="324"/>
      <c r="F20" s="324"/>
      <c r="G20" s="324"/>
      <c r="H20" s="324"/>
      <c r="I20" s="325">
        <f t="shared" si="0"/>
        <v>600000</v>
      </c>
      <c r="J20" s="325">
        <v>0</v>
      </c>
      <c r="K20" s="325"/>
      <c r="L20" s="325">
        <v>0</v>
      </c>
      <c r="M20" s="325">
        <f t="shared" si="1"/>
        <v>0</v>
      </c>
      <c r="N20" s="325">
        <v>300000</v>
      </c>
      <c r="O20" s="325"/>
      <c r="P20" s="325">
        <f t="shared" si="2"/>
        <v>0</v>
      </c>
      <c r="Q20" s="325">
        <f t="shared" si="3"/>
        <v>300000</v>
      </c>
      <c r="R20" s="330">
        <v>0</v>
      </c>
      <c r="S20" s="330"/>
      <c r="T20" s="324"/>
      <c r="U20" s="324">
        <v>0</v>
      </c>
      <c r="V20" s="325">
        <f t="shared" si="4"/>
        <v>0</v>
      </c>
      <c r="W20" s="325"/>
      <c r="X20" s="331"/>
      <c r="Y20" s="332"/>
      <c r="Z20" s="326">
        <v>0</v>
      </c>
      <c r="AA20" s="325">
        <f t="shared" si="5"/>
        <v>300000</v>
      </c>
      <c r="AB20" s="460">
        <f>+'[4]ECO ENE-MAR-11'!$G$68</f>
        <v>0</v>
      </c>
      <c r="AC20" s="460">
        <f>+'[4]ECO ABR-JUN-11'!$G$79</f>
        <v>300000</v>
      </c>
      <c r="AD20" s="460">
        <f>+'[4]ECO JUL-SEP-11'!$G$74</f>
        <v>0</v>
      </c>
      <c r="AE20" s="460">
        <f>+'[4]ECO OCT-DIC-11'!$G$78</f>
        <v>0</v>
      </c>
      <c r="AF20" s="460">
        <f t="shared" si="6"/>
        <v>300000</v>
      </c>
      <c r="AG20" s="325">
        <f t="shared" si="7"/>
        <v>0</v>
      </c>
      <c r="AH20" s="325">
        <f t="shared" si="8"/>
        <v>0</v>
      </c>
      <c r="AI20" s="325">
        <f t="shared" si="9"/>
        <v>0</v>
      </c>
      <c r="AJ20" s="325">
        <f t="shared" si="10"/>
        <v>0</v>
      </c>
      <c r="AK20" s="327">
        <f t="shared" si="14"/>
        <v>300000</v>
      </c>
      <c r="AL20" s="327">
        <f t="shared" si="11"/>
        <v>300000</v>
      </c>
      <c r="AM20" s="327">
        <f t="shared" si="12"/>
        <v>0</v>
      </c>
      <c r="AN20" s="329">
        <f t="shared" si="15"/>
        <v>0.5</v>
      </c>
      <c r="AO20" s="329">
        <v>0</v>
      </c>
      <c r="AP20" s="329">
        <v>0</v>
      </c>
      <c r="AQ20" s="329">
        <v>0</v>
      </c>
      <c r="AR20" s="329">
        <v>0</v>
      </c>
    </row>
    <row r="21" spans="1:44" ht="15" customHeight="1" thickBot="1">
      <c r="A21" s="332" t="s">
        <v>34</v>
      </c>
      <c r="B21" s="325">
        <v>48166976</v>
      </c>
      <c r="C21" s="330"/>
      <c r="D21" s="330"/>
      <c r="E21" s="330"/>
      <c r="F21" s="330">
        <v>4700000</v>
      </c>
      <c r="G21" s="330"/>
      <c r="H21" s="330"/>
      <c r="I21" s="325">
        <f t="shared" si="0"/>
        <v>52866976</v>
      </c>
      <c r="J21" s="331">
        <v>8703594</v>
      </c>
      <c r="K21" s="331"/>
      <c r="L21" s="325">
        <v>-1027567</v>
      </c>
      <c r="M21" s="333">
        <f t="shared" si="1"/>
        <v>7676027</v>
      </c>
      <c r="N21" s="333">
        <v>12405391</v>
      </c>
      <c r="O21" s="325"/>
      <c r="P21" s="325">
        <f t="shared" si="2"/>
        <v>-1071351</v>
      </c>
      <c r="Q21" s="325">
        <f t="shared" si="3"/>
        <v>11334040</v>
      </c>
      <c r="R21" s="330">
        <v>12405391</v>
      </c>
      <c r="S21" s="330"/>
      <c r="T21" s="324"/>
      <c r="U21" s="324">
        <v>-1191351</v>
      </c>
      <c r="V21" s="333">
        <f t="shared" si="4"/>
        <v>11214040</v>
      </c>
      <c r="W21" s="333">
        <v>22642869</v>
      </c>
      <c r="X21" s="331"/>
      <c r="Y21" s="332"/>
      <c r="Z21" s="326">
        <f t="shared" si="13"/>
        <v>22642869</v>
      </c>
      <c r="AA21" s="333">
        <f t="shared" si="5"/>
        <v>52866976</v>
      </c>
      <c r="AB21" s="460">
        <f>+'[4]ECO ENE-MAR-11'!$G$72</f>
        <v>7676027</v>
      </c>
      <c r="AC21" s="460">
        <f>+'[4]ECO ABR-JUN-11'!$G$84</f>
        <v>11334040</v>
      </c>
      <c r="AD21" s="460">
        <f>+'[4]ECO JUL-SEP-11'!$G$79</f>
        <v>11214040</v>
      </c>
      <c r="AE21" s="460">
        <f>+'[4]ECO OCT-DIC-11'!$G$83</f>
        <v>11616380</v>
      </c>
      <c r="AF21" s="460">
        <f t="shared" si="6"/>
        <v>41840487</v>
      </c>
      <c r="AG21" s="333">
        <f t="shared" si="7"/>
        <v>0</v>
      </c>
      <c r="AH21" s="333">
        <f t="shared" si="8"/>
        <v>0</v>
      </c>
      <c r="AI21" s="333">
        <f t="shared" si="9"/>
        <v>0</v>
      </c>
      <c r="AJ21" s="333">
        <f t="shared" si="10"/>
        <v>11026489</v>
      </c>
      <c r="AK21" s="334">
        <f t="shared" si="14"/>
        <v>52866976</v>
      </c>
      <c r="AL21" s="327">
        <f t="shared" si="11"/>
        <v>0</v>
      </c>
      <c r="AM21" s="334">
        <f t="shared" si="12"/>
        <v>11026489</v>
      </c>
      <c r="AN21" s="335">
        <f t="shared" si="15"/>
        <v>0.7914295495168856</v>
      </c>
      <c r="AO21" s="336">
        <v>0</v>
      </c>
      <c r="AP21" s="336">
        <f>+AC21/Q21</f>
        <v>1</v>
      </c>
      <c r="AQ21" s="336">
        <f>+AD21/V21</f>
        <v>1</v>
      </c>
      <c r="AR21" s="336">
        <f>+AE21/Z21</f>
        <v>0.513025977405955</v>
      </c>
    </row>
    <row r="22" spans="1:44" ht="15" customHeight="1" thickBot="1">
      <c r="A22" s="337" t="s">
        <v>35</v>
      </c>
      <c r="B22" s="338">
        <f aca="true" t="shared" si="16" ref="B22:J22">SUM(B11:B21)</f>
        <v>928975600.2445432</v>
      </c>
      <c r="C22" s="338">
        <f t="shared" si="16"/>
        <v>0</v>
      </c>
      <c r="D22" s="338">
        <f t="shared" si="16"/>
        <v>0</v>
      </c>
      <c r="E22" s="338">
        <f t="shared" si="16"/>
        <v>0</v>
      </c>
      <c r="F22" s="338">
        <f t="shared" si="16"/>
        <v>-52305215</v>
      </c>
      <c r="G22" s="338">
        <f>SUM(G11:G21)</f>
        <v>0</v>
      </c>
      <c r="H22" s="338">
        <f t="shared" si="16"/>
        <v>0</v>
      </c>
      <c r="I22" s="338">
        <f t="shared" si="16"/>
        <v>876670385.2445432</v>
      </c>
      <c r="J22" s="338">
        <f t="shared" si="16"/>
        <v>202179637.6</v>
      </c>
      <c r="K22" s="338"/>
      <c r="L22" s="338">
        <f aca="true" t="shared" si="17" ref="L22:W22">SUM(L11:L21)</f>
        <v>-13487071.6</v>
      </c>
      <c r="M22" s="338">
        <f t="shared" si="17"/>
        <v>188692566</v>
      </c>
      <c r="N22" s="338">
        <f t="shared" si="17"/>
        <v>217998162</v>
      </c>
      <c r="O22" s="338">
        <f t="shared" si="17"/>
        <v>0</v>
      </c>
      <c r="P22" s="338">
        <f t="shared" si="17"/>
        <v>-3365976</v>
      </c>
      <c r="Q22" s="338">
        <f t="shared" si="17"/>
        <v>214632186</v>
      </c>
      <c r="R22" s="338">
        <f t="shared" si="17"/>
        <v>217698162.0590652</v>
      </c>
      <c r="S22" s="338">
        <f t="shared" si="17"/>
        <v>0</v>
      </c>
      <c r="T22" s="338">
        <f t="shared" si="17"/>
        <v>0</v>
      </c>
      <c r="U22" s="338">
        <f t="shared" si="17"/>
        <v>-2700708</v>
      </c>
      <c r="V22" s="338">
        <f t="shared" si="17"/>
        <v>214997454.0590652</v>
      </c>
      <c r="W22" s="338">
        <f t="shared" si="17"/>
        <v>258048179.18547797</v>
      </c>
      <c r="X22" s="338"/>
      <c r="Y22" s="338"/>
      <c r="Z22" s="338">
        <f aca="true" t="shared" si="18" ref="Z22:AM22">SUM(Z11:Z21)</f>
        <v>258048179.18547797</v>
      </c>
      <c r="AA22" s="338">
        <f t="shared" si="18"/>
        <v>876370385.2445432</v>
      </c>
      <c r="AB22" s="338">
        <f t="shared" si="18"/>
        <v>188692566</v>
      </c>
      <c r="AC22" s="338">
        <f t="shared" si="18"/>
        <v>214632186</v>
      </c>
      <c r="AD22" s="338">
        <f t="shared" si="18"/>
        <v>214997454</v>
      </c>
      <c r="AE22" s="338">
        <f t="shared" si="18"/>
        <v>211406923</v>
      </c>
      <c r="AF22" s="338">
        <f t="shared" si="18"/>
        <v>829729129</v>
      </c>
      <c r="AG22" s="338">
        <f t="shared" si="18"/>
        <v>0</v>
      </c>
      <c r="AH22" s="338">
        <f t="shared" si="18"/>
        <v>0</v>
      </c>
      <c r="AI22" s="338">
        <f t="shared" si="18"/>
        <v>0.059065203880891204</v>
      </c>
      <c r="AJ22" s="338">
        <f>SUM(AJ11:AJ21)</f>
        <v>46641256.18547795</v>
      </c>
      <c r="AK22" s="338">
        <f t="shared" si="18"/>
        <v>876370385.2445432</v>
      </c>
      <c r="AL22" s="338">
        <f t="shared" si="18"/>
        <v>300000</v>
      </c>
      <c r="AM22" s="338">
        <f t="shared" si="18"/>
        <v>46641256.24454315</v>
      </c>
      <c r="AN22" s="339">
        <f t="shared" si="15"/>
        <v>0.9464550679085058</v>
      </c>
      <c r="AO22" s="339">
        <f>+AB22/M22</f>
        <v>1</v>
      </c>
      <c r="AP22" s="339">
        <f>+AC22/Q22</f>
        <v>1</v>
      </c>
      <c r="AQ22" s="339">
        <f>+AD22/V22</f>
        <v>0.9999999997252749</v>
      </c>
      <c r="AR22" s="339">
        <f>+AE22/Z22</f>
        <v>0.8192536900175005</v>
      </c>
    </row>
    <row r="23" spans="1:44" ht="15" customHeight="1">
      <c r="A23" s="315"/>
      <c r="B23" s="340"/>
      <c r="C23" s="341"/>
      <c r="D23" s="341"/>
      <c r="E23" s="341"/>
      <c r="F23" s="341"/>
      <c r="G23" s="341"/>
      <c r="H23" s="341"/>
      <c r="I23" s="316"/>
      <c r="J23" s="316"/>
      <c r="K23" s="316"/>
      <c r="L23" s="316"/>
      <c r="M23" s="316"/>
      <c r="N23" s="316"/>
      <c r="O23" s="341"/>
      <c r="P23" s="316"/>
      <c r="Q23" s="316"/>
      <c r="R23" s="341"/>
      <c r="S23" s="341"/>
      <c r="T23" s="341"/>
      <c r="U23" s="341"/>
      <c r="V23" s="316"/>
      <c r="W23" s="316"/>
      <c r="X23" s="316"/>
      <c r="Y23" s="342"/>
      <c r="Z23" s="342"/>
      <c r="AA23" s="316"/>
      <c r="AB23" s="316"/>
      <c r="AC23" s="316"/>
      <c r="AD23" s="316"/>
      <c r="AE23" s="342"/>
      <c r="AF23" s="316"/>
      <c r="AG23" s="316"/>
      <c r="AH23" s="320"/>
      <c r="AI23" s="320"/>
      <c r="AJ23" s="320"/>
      <c r="AK23" s="320"/>
      <c r="AL23" s="320"/>
      <c r="AM23" s="320"/>
      <c r="AN23" s="321"/>
      <c r="AO23" s="321"/>
      <c r="AP23" s="321"/>
      <c r="AQ23" s="321"/>
      <c r="AR23" s="321"/>
    </row>
    <row r="24" spans="1:44" ht="15" customHeight="1">
      <c r="A24" s="343" t="s">
        <v>36</v>
      </c>
      <c r="B24" s="316"/>
      <c r="C24" s="344"/>
      <c r="D24" s="344"/>
      <c r="E24" s="344"/>
      <c r="F24" s="344"/>
      <c r="G24" s="344"/>
      <c r="H24" s="344"/>
      <c r="I24" s="323"/>
      <c r="J24" s="323"/>
      <c r="K24" s="323"/>
      <c r="L24" s="323"/>
      <c r="M24" s="325"/>
      <c r="N24" s="323"/>
      <c r="O24" s="344"/>
      <c r="P24" s="323"/>
      <c r="Q24" s="323"/>
      <c r="R24" s="344"/>
      <c r="S24" s="344"/>
      <c r="T24" s="344"/>
      <c r="U24" s="344"/>
      <c r="V24" s="323"/>
      <c r="W24" s="323"/>
      <c r="X24" s="323"/>
      <c r="Y24" s="343"/>
      <c r="Z24" s="343"/>
      <c r="AA24" s="323"/>
      <c r="AB24" s="325"/>
      <c r="AC24" s="325"/>
      <c r="AD24" s="325"/>
      <c r="AE24" s="326"/>
      <c r="AF24" s="323"/>
      <c r="AG24" s="323"/>
      <c r="AH24" s="327"/>
      <c r="AI24" s="327"/>
      <c r="AJ24" s="327"/>
      <c r="AK24" s="327"/>
      <c r="AL24" s="327"/>
      <c r="AM24" s="327"/>
      <c r="AN24" s="328"/>
      <c r="AO24" s="328"/>
      <c r="AP24" s="328"/>
      <c r="AQ24" s="328"/>
      <c r="AR24" s="328"/>
    </row>
    <row r="25" spans="1:44" ht="15" customHeight="1">
      <c r="A25" s="326" t="s">
        <v>37</v>
      </c>
      <c r="B25" s="325">
        <v>14260000</v>
      </c>
      <c r="C25" s="324"/>
      <c r="D25" s="324"/>
      <c r="E25" s="324"/>
      <c r="F25" s="324"/>
      <c r="G25" s="324"/>
      <c r="H25" s="324"/>
      <c r="I25" s="325">
        <f aca="true" t="shared" si="19" ref="I25:I32">SUM(B25:H25)</f>
        <v>14260000</v>
      </c>
      <c r="J25" s="325">
        <v>14260000</v>
      </c>
      <c r="K25" s="325"/>
      <c r="L25" s="325">
        <v>-663148</v>
      </c>
      <c r="M25" s="325">
        <f aca="true" t="shared" si="20" ref="M25:M32">SUM(J25:L25)</f>
        <v>13596852</v>
      </c>
      <c r="N25" s="325">
        <v>0</v>
      </c>
      <c r="O25" s="324"/>
      <c r="P25" s="325">
        <f aca="true" t="shared" si="21" ref="P25:P32">+AC25-N25-O25</f>
        <v>0</v>
      </c>
      <c r="Q25" s="325">
        <f>+SUM(N25:P25)</f>
        <v>0</v>
      </c>
      <c r="R25" s="324"/>
      <c r="S25" s="324"/>
      <c r="T25" s="324"/>
      <c r="U25" s="324"/>
      <c r="V25" s="325">
        <f aca="true" t="shared" si="22" ref="V25:V32">+SUM(R25:U25)</f>
        <v>0</v>
      </c>
      <c r="W25" s="325">
        <v>663148</v>
      </c>
      <c r="X25" s="325"/>
      <c r="Y25" s="326"/>
      <c r="Z25" s="326">
        <f aca="true" t="shared" si="23" ref="Z25:Z32">+SUM(W25:Y25)</f>
        <v>663148</v>
      </c>
      <c r="AA25" s="325">
        <f aca="true" t="shared" si="24" ref="AA25:AA32">+M25+Q25+V25+Z25</f>
        <v>14260000</v>
      </c>
      <c r="AB25" s="460">
        <f>+'[4]ECO ENE-MAR-11'!$G$85</f>
        <v>13596852</v>
      </c>
      <c r="AC25" s="460">
        <f>+'[4]ECO ABR-JUN-11'!$G$102</f>
        <v>0</v>
      </c>
      <c r="AD25" s="460">
        <f>+'[4]ECO JUL-SEP-11'!$G$94</f>
        <v>0</v>
      </c>
      <c r="AE25" s="460">
        <f>+'[4]ECO OCT-DIC-11'!$G$97</f>
        <v>0</v>
      </c>
      <c r="AF25" s="460">
        <f aca="true" t="shared" si="25" ref="AF25:AF32">SUM(AB25:AE25)</f>
        <v>13596852</v>
      </c>
      <c r="AG25" s="325">
        <f aca="true" t="shared" si="26" ref="AG25:AG32">+M25-AB25</f>
        <v>0</v>
      </c>
      <c r="AH25" s="325">
        <f aca="true" t="shared" si="27" ref="AH25:AH32">+Q25-AC25</f>
        <v>0</v>
      </c>
      <c r="AI25" s="325">
        <f aca="true" t="shared" si="28" ref="AI25:AI32">+V25-AD25</f>
        <v>0</v>
      </c>
      <c r="AJ25" s="325">
        <f aca="true" t="shared" si="29" ref="AJ25:AJ32">+Z25-AE25</f>
        <v>663148</v>
      </c>
      <c r="AK25" s="327">
        <f aca="true" t="shared" si="30" ref="AK25:AK32">+AA25</f>
        <v>14260000</v>
      </c>
      <c r="AL25" s="327">
        <f aca="true" t="shared" si="31" ref="AL25:AL32">+I25-AK25</f>
        <v>0</v>
      </c>
      <c r="AM25" s="327">
        <f aca="true" t="shared" si="32" ref="AM25:AM32">+AK25-AF25</f>
        <v>663148</v>
      </c>
      <c r="AN25" s="329">
        <v>0</v>
      </c>
      <c r="AO25" s="329">
        <v>0</v>
      </c>
      <c r="AP25" s="329">
        <v>0</v>
      </c>
      <c r="AQ25" s="329">
        <v>0</v>
      </c>
      <c r="AR25" s="329">
        <v>0</v>
      </c>
    </row>
    <row r="26" spans="1:44" ht="15" customHeight="1">
      <c r="A26" s="326" t="s">
        <v>40</v>
      </c>
      <c r="B26" s="325">
        <v>6190200</v>
      </c>
      <c r="C26" s="324"/>
      <c r="D26" s="324"/>
      <c r="E26" s="324"/>
      <c r="F26" s="324"/>
      <c r="G26" s="324"/>
      <c r="H26" s="324"/>
      <c r="I26" s="325">
        <f t="shared" si="19"/>
        <v>6190200</v>
      </c>
      <c r="J26" s="325">
        <v>1545000</v>
      </c>
      <c r="K26" s="325"/>
      <c r="L26" s="325">
        <v>0</v>
      </c>
      <c r="M26" s="325">
        <f t="shared" si="20"/>
        <v>1545000</v>
      </c>
      <c r="N26" s="325">
        <v>1545000</v>
      </c>
      <c r="O26" s="324"/>
      <c r="P26" s="325">
        <f t="shared" si="21"/>
        <v>0</v>
      </c>
      <c r="Q26" s="325">
        <f>+SUM(N26:P26)</f>
        <v>1545000</v>
      </c>
      <c r="R26" s="325">
        <v>1545000</v>
      </c>
      <c r="S26" s="325"/>
      <c r="T26" s="325"/>
      <c r="U26" s="325"/>
      <c r="V26" s="325">
        <f t="shared" si="22"/>
        <v>1545000</v>
      </c>
      <c r="W26" s="325">
        <v>1555200</v>
      </c>
      <c r="X26" s="325"/>
      <c r="Y26" s="343"/>
      <c r="Z26" s="326">
        <f t="shared" si="23"/>
        <v>1555200</v>
      </c>
      <c r="AA26" s="325">
        <f t="shared" si="24"/>
        <v>6190200</v>
      </c>
      <c r="AB26" s="460">
        <f>+'[4]ECO ENE-MAR-11'!$G$91</f>
        <v>1545000</v>
      </c>
      <c r="AC26" s="460">
        <f>+'[4]ECO ABR-JUN-11'!$G$110</f>
        <v>1545000</v>
      </c>
      <c r="AD26" s="460">
        <f>+'[4]ECO JUL-SEP-11'!$G$102</f>
        <v>1545000</v>
      </c>
      <c r="AE26" s="460">
        <f>+'[4]ECO OCT-DIC-11'!$G$105</f>
        <v>1545000</v>
      </c>
      <c r="AF26" s="460">
        <f t="shared" si="25"/>
        <v>6180000</v>
      </c>
      <c r="AG26" s="325">
        <f t="shared" si="26"/>
        <v>0</v>
      </c>
      <c r="AH26" s="325">
        <f t="shared" si="27"/>
        <v>0</v>
      </c>
      <c r="AI26" s="325">
        <f t="shared" si="28"/>
        <v>0</v>
      </c>
      <c r="AJ26" s="325">
        <f t="shared" si="29"/>
        <v>10200</v>
      </c>
      <c r="AK26" s="327">
        <f t="shared" si="30"/>
        <v>6190200</v>
      </c>
      <c r="AL26" s="327">
        <f t="shared" si="31"/>
        <v>0</v>
      </c>
      <c r="AM26" s="327">
        <f t="shared" si="32"/>
        <v>10200</v>
      </c>
      <c r="AN26" s="329">
        <f aca="true" t="shared" si="33" ref="AN26:AN33">+AF26/I26</f>
        <v>0.9983522341766017</v>
      </c>
      <c r="AO26" s="329">
        <f aca="true" t="shared" si="34" ref="AO26:AO31">+AB26/M26</f>
        <v>1</v>
      </c>
      <c r="AP26" s="329">
        <f>+AC26/Q26</f>
        <v>1</v>
      </c>
      <c r="AQ26" s="329">
        <f>+AD26/V26</f>
        <v>1</v>
      </c>
      <c r="AR26" s="329">
        <f aca="true" t="shared" si="35" ref="AR26:AR31">+AE26/Z26</f>
        <v>0.9934413580246914</v>
      </c>
    </row>
    <row r="27" spans="1:44" ht="15" customHeight="1">
      <c r="A27" s="326" t="s">
        <v>41</v>
      </c>
      <c r="B27" s="325">
        <v>8986533.0921</v>
      </c>
      <c r="C27" s="324"/>
      <c r="D27" s="324"/>
      <c r="E27" s="324"/>
      <c r="F27" s="324"/>
      <c r="G27" s="324"/>
      <c r="H27" s="324"/>
      <c r="I27" s="325">
        <f t="shared" si="19"/>
        <v>8986533.0921</v>
      </c>
      <c r="J27" s="325">
        <v>2242931.3475</v>
      </c>
      <c r="K27" s="325"/>
      <c r="L27" s="325">
        <v>-491363.34750000015</v>
      </c>
      <c r="M27" s="325">
        <f t="shared" si="20"/>
        <v>1751568</v>
      </c>
      <c r="N27" s="325">
        <v>2246633</v>
      </c>
      <c r="O27" s="324"/>
      <c r="P27" s="325">
        <f t="shared" si="21"/>
        <v>-472730</v>
      </c>
      <c r="Q27" s="325">
        <f>+SUM(N27:P27)</f>
        <v>1773903</v>
      </c>
      <c r="R27" s="324">
        <v>2246633.273025</v>
      </c>
      <c r="S27" s="324"/>
      <c r="T27" s="324"/>
      <c r="U27" s="324">
        <v>-275956</v>
      </c>
      <c r="V27" s="325">
        <f t="shared" si="22"/>
        <v>1970677.273025</v>
      </c>
      <c r="W27" s="325">
        <v>3490384.819075</v>
      </c>
      <c r="X27" s="325"/>
      <c r="Y27" s="326"/>
      <c r="Z27" s="326">
        <f t="shared" si="23"/>
        <v>3490384.819075</v>
      </c>
      <c r="AA27" s="325">
        <f t="shared" si="24"/>
        <v>8986533.0921</v>
      </c>
      <c r="AB27" s="460">
        <f>+'[4]ECO ENE-MAR-11'!$G$99</f>
        <v>1751568</v>
      </c>
      <c r="AC27" s="460">
        <f>+'[4]ECO ABR-JUN-11'!$G$118</f>
        <v>1773903</v>
      </c>
      <c r="AD27" s="460">
        <f>+'[4]ECO JUL-SEP-11'!$G$109</f>
        <v>1970676.6800000002</v>
      </c>
      <c r="AE27" s="460">
        <f>+'[4]ECO OCT-DIC-11'!$G$113</f>
        <v>3211433</v>
      </c>
      <c r="AF27" s="460">
        <f t="shared" si="25"/>
        <v>8707580.68</v>
      </c>
      <c r="AG27" s="325">
        <f t="shared" si="26"/>
        <v>0</v>
      </c>
      <c r="AH27" s="325">
        <f t="shared" si="27"/>
        <v>0</v>
      </c>
      <c r="AI27" s="325">
        <f t="shared" si="28"/>
        <v>0.5930249998345971</v>
      </c>
      <c r="AJ27" s="325">
        <f t="shared" si="29"/>
        <v>278951.819075</v>
      </c>
      <c r="AK27" s="327">
        <f t="shared" si="30"/>
        <v>8986533.0921</v>
      </c>
      <c r="AL27" s="327">
        <f t="shared" si="31"/>
        <v>0</v>
      </c>
      <c r="AM27" s="327">
        <f t="shared" si="32"/>
        <v>278952.4121000003</v>
      </c>
      <c r="AN27" s="329">
        <f t="shared" si="33"/>
        <v>0.9689588399395952</v>
      </c>
      <c r="AO27" s="329">
        <f t="shared" si="34"/>
        <v>1</v>
      </c>
      <c r="AP27" s="329">
        <f>+AC27/Q27</f>
        <v>1</v>
      </c>
      <c r="AQ27" s="329">
        <f>+AD27/V27</f>
        <v>0.9999996990755371</v>
      </c>
      <c r="AR27" s="329">
        <f t="shared" si="35"/>
        <v>0.9200799242677986</v>
      </c>
    </row>
    <row r="28" spans="1:44" ht="15" customHeight="1">
      <c r="A28" s="326" t="s">
        <v>42</v>
      </c>
      <c r="B28" s="325">
        <v>2500000</v>
      </c>
      <c r="C28" s="324"/>
      <c r="D28" s="324"/>
      <c r="E28" s="324"/>
      <c r="F28" s="324"/>
      <c r="G28" s="324"/>
      <c r="H28" s="324"/>
      <c r="I28" s="325">
        <f t="shared" si="19"/>
        <v>2500000</v>
      </c>
      <c r="J28" s="325">
        <v>2500000</v>
      </c>
      <c r="K28" s="325"/>
      <c r="L28" s="325">
        <v>-1091</v>
      </c>
      <c r="M28" s="325">
        <f t="shared" si="20"/>
        <v>2498909</v>
      </c>
      <c r="N28" s="325">
        <v>0</v>
      </c>
      <c r="O28" s="324"/>
      <c r="P28" s="325">
        <f t="shared" si="21"/>
        <v>0</v>
      </c>
      <c r="Q28" s="345"/>
      <c r="R28" s="324"/>
      <c r="S28" s="324"/>
      <c r="T28" s="324"/>
      <c r="U28" s="324"/>
      <c r="V28" s="325">
        <f t="shared" si="22"/>
        <v>0</v>
      </c>
      <c r="W28" s="325">
        <v>0</v>
      </c>
      <c r="X28" s="325"/>
      <c r="Y28" s="326"/>
      <c r="Z28" s="326">
        <f t="shared" si="23"/>
        <v>0</v>
      </c>
      <c r="AA28" s="327">
        <f t="shared" si="24"/>
        <v>2498909</v>
      </c>
      <c r="AB28" s="460">
        <f>+'[4]ECO ENE-MAR-11'!$G$109</f>
        <v>2498909</v>
      </c>
      <c r="AC28" s="460">
        <f>+'[4]ECO ABR-JUN-11'!$G$129</f>
        <v>0</v>
      </c>
      <c r="AD28" s="460">
        <f>+'[4]ECO JUL-SEP-11'!$G$120</f>
        <v>0</v>
      </c>
      <c r="AE28" s="460">
        <f>+'[4]ECO OCT-DIC-11'!$G$130</f>
        <v>0</v>
      </c>
      <c r="AF28" s="460">
        <f t="shared" si="25"/>
        <v>2498909</v>
      </c>
      <c r="AG28" s="325">
        <f t="shared" si="26"/>
        <v>0</v>
      </c>
      <c r="AH28" s="325">
        <f t="shared" si="27"/>
        <v>0</v>
      </c>
      <c r="AI28" s="325">
        <f t="shared" si="28"/>
        <v>0</v>
      </c>
      <c r="AJ28" s="325">
        <f t="shared" si="29"/>
        <v>0</v>
      </c>
      <c r="AK28" s="327">
        <f t="shared" si="30"/>
        <v>2498909</v>
      </c>
      <c r="AL28" s="327">
        <f t="shared" si="31"/>
        <v>1091</v>
      </c>
      <c r="AM28" s="327">
        <f t="shared" si="32"/>
        <v>0</v>
      </c>
      <c r="AN28" s="329">
        <f t="shared" si="33"/>
        <v>0.9995636</v>
      </c>
      <c r="AO28" s="329">
        <f t="shared" si="34"/>
        <v>1</v>
      </c>
      <c r="AP28" s="329">
        <v>0</v>
      </c>
      <c r="AQ28" s="329">
        <v>0</v>
      </c>
      <c r="AR28" s="329">
        <v>0</v>
      </c>
    </row>
    <row r="29" spans="1:44" ht="15" customHeight="1">
      <c r="A29" s="326" t="s">
        <v>43</v>
      </c>
      <c r="B29" s="325">
        <v>11000000</v>
      </c>
      <c r="C29" s="324"/>
      <c r="D29" s="324"/>
      <c r="E29" s="324"/>
      <c r="F29" s="324"/>
      <c r="G29" s="324"/>
      <c r="H29" s="324"/>
      <c r="I29" s="325">
        <f t="shared" si="19"/>
        <v>11000000</v>
      </c>
      <c r="J29" s="325">
        <v>2500000</v>
      </c>
      <c r="K29" s="325"/>
      <c r="L29" s="325">
        <v>-107905</v>
      </c>
      <c r="M29" s="325">
        <f t="shared" si="20"/>
        <v>2392095</v>
      </c>
      <c r="N29" s="325">
        <v>3000000</v>
      </c>
      <c r="O29" s="324"/>
      <c r="P29" s="325">
        <f t="shared" si="21"/>
        <v>0</v>
      </c>
      <c r="Q29" s="325">
        <f>+SUM(N29:P29)</f>
        <v>3000000</v>
      </c>
      <c r="R29" s="324">
        <v>3000000</v>
      </c>
      <c r="S29" s="324"/>
      <c r="T29" s="324"/>
      <c r="U29" s="324">
        <v>-79775</v>
      </c>
      <c r="V29" s="325">
        <f t="shared" si="22"/>
        <v>2920225</v>
      </c>
      <c r="W29" s="325">
        <v>2687680</v>
      </c>
      <c r="X29" s="325"/>
      <c r="Y29" s="326"/>
      <c r="Z29" s="326">
        <f t="shared" si="23"/>
        <v>2687680</v>
      </c>
      <c r="AA29" s="325">
        <f t="shared" si="24"/>
        <v>11000000</v>
      </c>
      <c r="AB29" s="460">
        <f>+'[4]ECO ENE-MAR-11'!$G$114</f>
        <v>2392095</v>
      </c>
      <c r="AC29" s="460">
        <f>+'[4]ECO ABR-JUN-11'!$G$133</f>
        <v>3000000</v>
      </c>
      <c r="AD29" s="460">
        <f>+'[4]ECO JUL-SEP-11'!$G$124</f>
        <v>2920225</v>
      </c>
      <c r="AE29" s="460">
        <f>+'[4]ECO OCT-DIC-11'!$G$134</f>
        <v>2687680</v>
      </c>
      <c r="AF29" s="460">
        <f t="shared" si="25"/>
        <v>11000000</v>
      </c>
      <c r="AG29" s="325">
        <f t="shared" si="26"/>
        <v>0</v>
      </c>
      <c r="AH29" s="325">
        <f t="shared" si="27"/>
        <v>0</v>
      </c>
      <c r="AI29" s="325">
        <f t="shared" si="28"/>
        <v>0</v>
      </c>
      <c r="AJ29" s="325">
        <f t="shared" si="29"/>
        <v>0</v>
      </c>
      <c r="AK29" s="327">
        <f t="shared" si="30"/>
        <v>11000000</v>
      </c>
      <c r="AL29" s="327">
        <f t="shared" si="31"/>
        <v>0</v>
      </c>
      <c r="AM29" s="327">
        <f t="shared" si="32"/>
        <v>0</v>
      </c>
      <c r="AN29" s="329">
        <f t="shared" si="33"/>
        <v>1</v>
      </c>
      <c r="AO29" s="329">
        <f t="shared" si="34"/>
        <v>1</v>
      </c>
      <c r="AP29" s="329">
        <f>+AC29/Q29</f>
        <v>1</v>
      </c>
      <c r="AQ29" s="329">
        <f>+AD29/V29</f>
        <v>1</v>
      </c>
      <c r="AR29" s="329">
        <f t="shared" si="35"/>
        <v>1</v>
      </c>
    </row>
    <row r="30" spans="1:44" ht="15" customHeight="1">
      <c r="A30" s="326" t="s">
        <v>44</v>
      </c>
      <c r="B30" s="325">
        <v>24308078.204192</v>
      </c>
      <c r="C30" s="324"/>
      <c r="D30" s="324"/>
      <c r="E30" s="324"/>
      <c r="F30" s="324"/>
      <c r="G30" s="324"/>
      <c r="H30" s="324"/>
      <c r="I30" s="325">
        <f t="shared" si="19"/>
        <v>24308078.204192</v>
      </c>
      <c r="J30" s="325">
        <v>6385336</v>
      </c>
      <c r="K30" s="325"/>
      <c r="L30" s="325">
        <v>-4025896</v>
      </c>
      <c r="M30" s="325">
        <f t="shared" si="20"/>
        <v>2359440</v>
      </c>
      <c r="N30" s="325">
        <v>0</v>
      </c>
      <c r="O30" s="324"/>
      <c r="P30" s="325">
        <f t="shared" si="21"/>
        <v>0</v>
      </c>
      <c r="Q30" s="325">
        <f>+SUM(N30:P30)</f>
        <v>0</v>
      </c>
      <c r="R30" s="324">
        <v>9667294</v>
      </c>
      <c r="S30" s="324"/>
      <c r="T30" s="324"/>
      <c r="U30" s="324">
        <v>-1575326</v>
      </c>
      <c r="V30" s="325">
        <f t="shared" si="22"/>
        <v>8091968</v>
      </c>
      <c r="W30" s="325">
        <v>13856670.204192001</v>
      </c>
      <c r="X30" s="325"/>
      <c r="Y30" s="343"/>
      <c r="Z30" s="326">
        <f t="shared" si="23"/>
        <v>13856670.204192001</v>
      </c>
      <c r="AA30" s="325">
        <f t="shared" si="24"/>
        <v>24308078.204192</v>
      </c>
      <c r="AB30" s="460">
        <f>+'[4]ECO ENE-MAR-11'!$G$124</f>
        <v>2359440</v>
      </c>
      <c r="AC30" s="460">
        <f>+'[4]ECO ABR-JUN-11'!$G$146</f>
        <v>0</v>
      </c>
      <c r="AD30" s="460">
        <f>+'[4]ECO JUL-SEP-11'!$G$136</f>
        <v>8091968</v>
      </c>
      <c r="AE30" s="460">
        <f>+'[4]ECO OCT-DIC-11'!$G$146</f>
        <v>13435139</v>
      </c>
      <c r="AF30" s="460">
        <f t="shared" si="25"/>
        <v>23886547</v>
      </c>
      <c r="AG30" s="325">
        <f t="shared" si="26"/>
        <v>0</v>
      </c>
      <c r="AH30" s="325">
        <f t="shared" si="27"/>
        <v>0</v>
      </c>
      <c r="AI30" s="325">
        <f t="shared" si="28"/>
        <v>0</v>
      </c>
      <c r="AJ30" s="325">
        <f t="shared" si="29"/>
        <v>421531.2041920014</v>
      </c>
      <c r="AK30" s="327">
        <f t="shared" si="30"/>
        <v>24308078.204192</v>
      </c>
      <c r="AL30" s="327">
        <f t="shared" si="31"/>
        <v>0</v>
      </c>
      <c r="AM30" s="327">
        <f t="shared" si="32"/>
        <v>421531.2041920014</v>
      </c>
      <c r="AN30" s="329">
        <f t="shared" si="33"/>
        <v>0.9826588017098239</v>
      </c>
      <c r="AO30" s="329">
        <f t="shared" si="34"/>
        <v>1</v>
      </c>
      <c r="AP30" s="329">
        <v>0</v>
      </c>
      <c r="AQ30" s="329">
        <v>0</v>
      </c>
      <c r="AR30" s="329">
        <f t="shared" si="35"/>
        <v>0.9695791847550448</v>
      </c>
    </row>
    <row r="31" spans="1:44" ht="15" customHeight="1">
      <c r="A31" s="326" t="s">
        <v>45</v>
      </c>
      <c r="B31" s="325">
        <v>45687645.59616</v>
      </c>
      <c r="C31" s="346"/>
      <c r="D31" s="346"/>
      <c r="E31" s="346"/>
      <c r="F31" s="346"/>
      <c r="G31" s="346"/>
      <c r="H31" s="346"/>
      <c r="I31" s="325">
        <f t="shared" si="19"/>
        <v>45687645.59616</v>
      </c>
      <c r="J31" s="325">
        <v>12902530</v>
      </c>
      <c r="K31" s="325"/>
      <c r="L31" s="325">
        <v>-2160240</v>
      </c>
      <c r="M31" s="325">
        <f t="shared" si="20"/>
        <v>10742290</v>
      </c>
      <c r="N31" s="325">
        <v>11985956</v>
      </c>
      <c r="O31" s="346"/>
      <c r="P31" s="325">
        <f t="shared" si="21"/>
        <v>-1356806</v>
      </c>
      <c r="Q31" s="325">
        <f>+SUM(N31:P31)</f>
        <v>10629150</v>
      </c>
      <c r="R31" s="324">
        <v>10000000</v>
      </c>
      <c r="S31" s="324"/>
      <c r="T31" s="324"/>
      <c r="U31" s="324">
        <v>-3236683</v>
      </c>
      <c r="V31" s="325">
        <f t="shared" si="22"/>
        <v>6763317</v>
      </c>
      <c r="W31" s="325">
        <v>17552888.596160002</v>
      </c>
      <c r="X31" s="325"/>
      <c r="Y31" s="343"/>
      <c r="Z31" s="326">
        <f t="shared" si="23"/>
        <v>17552888.596160002</v>
      </c>
      <c r="AA31" s="325">
        <f t="shared" si="24"/>
        <v>45687645.59616</v>
      </c>
      <c r="AB31" s="460">
        <f>+'[4]ECO ENE-MAR-11'!$G$130</f>
        <v>10742290</v>
      </c>
      <c r="AC31" s="460">
        <f>+'[4]ECO ABR-JUN-11'!$G$150</f>
        <v>10629150</v>
      </c>
      <c r="AD31" s="460">
        <f>+'[4]ECO JUL-SEP-11'!$G$144</f>
        <v>6763317</v>
      </c>
      <c r="AE31" s="460">
        <f>+'[4]ECO OCT-DIC-11'!$G$160</f>
        <v>6232330</v>
      </c>
      <c r="AF31" s="460">
        <f t="shared" si="25"/>
        <v>34367087</v>
      </c>
      <c r="AG31" s="325">
        <f t="shared" si="26"/>
        <v>0</v>
      </c>
      <c r="AH31" s="325">
        <f t="shared" si="27"/>
        <v>0</v>
      </c>
      <c r="AI31" s="325">
        <f t="shared" si="28"/>
        <v>0</v>
      </c>
      <c r="AJ31" s="325">
        <f t="shared" si="29"/>
        <v>11320558.596160002</v>
      </c>
      <c r="AK31" s="327">
        <f t="shared" si="30"/>
        <v>45687645.59616</v>
      </c>
      <c r="AL31" s="327">
        <f t="shared" si="31"/>
        <v>0</v>
      </c>
      <c r="AM31" s="327">
        <f t="shared" si="32"/>
        <v>11320558.596160002</v>
      </c>
      <c r="AN31" s="329">
        <f t="shared" si="33"/>
        <v>0.752218385332785</v>
      </c>
      <c r="AO31" s="329">
        <f t="shared" si="34"/>
        <v>1</v>
      </c>
      <c r="AP31" s="329">
        <f>+AC31/Q31</f>
        <v>1</v>
      </c>
      <c r="AQ31" s="329">
        <f>+AD31/V31</f>
        <v>1</v>
      </c>
      <c r="AR31" s="329">
        <f t="shared" si="35"/>
        <v>0.3550600783373872</v>
      </c>
    </row>
    <row r="32" spans="1:44" ht="15" customHeight="1" thickBot="1">
      <c r="A32" s="332" t="s">
        <v>47</v>
      </c>
      <c r="B32" s="325">
        <v>15000000</v>
      </c>
      <c r="C32" s="346"/>
      <c r="D32" s="346"/>
      <c r="E32" s="346"/>
      <c r="F32" s="346"/>
      <c r="G32" s="346"/>
      <c r="H32" s="346"/>
      <c r="I32" s="325">
        <f t="shared" si="19"/>
        <v>15000000</v>
      </c>
      <c r="J32" s="330">
        <v>600000</v>
      </c>
      <c r="K32" s="330"/>
      <c r="L32" s="325">
        <v>-528800</v>
      </c>
      <c r="M32" s="333">
        <f t="shared" si="20"/>
        <v>71200</v>
      </c>
      <c r="N32" s="330">
        <v>600000</v>
      </c>
      <c r="O32" s="346"/>
      <c r="P32" s="325">
        <f t="shared" si="21"/>
        <v>0</v>
      </c>
      <c r="Q32" s="325">
        <f>+SUM(N32:P32)</f>
        <v>600000</v>
      </c>
      <c r="R32" s="330">
        <v>1200000</v>
      </c>
      <c r="S32" s="330"/>
      <c r="T32" s="330"/>
      <c r="U32" s="330">
        <v>-1200000</v>
      </c>
      <c r="V32" s="333">
        <f t="shared" si="22"/>
        <v>0</v>
      </c>
      <c r="W32" s="333">
        <v>14328800</v>
      </c>
      <c r="X32" s="330"/>
      <c r="Y32" s="348"/>
      <c r="Z32" s="326">
        <f t="shared" si="23"/>
        <v>14328800</v>
      </c>
      <c r="AA32" s="333">
        <f t="shared" si="24"/>
        <v>15000000</v>
      </c>
      <c r="AB32" s="460">
        <f>+'[4]ECO ENE-MAR-11'!$G$142</f>
        <v>71200</v>
      </c>
      <c r="AC32" s="460">
        <f>+'[4]ECO ABR-JUN-11'!$G$167</f>
        <v>600000</v>
      </c>
      <c r="AD32" s="460">
        <f>+'[4]ECO JUL-SEP-11'!$G$155</f>
        <v>0</v>
      </c>
      <c r="AE32" s="460">
        <f>+'[4]ECO OCT-DIC-11'!$G$183</f>
        <v>61950</v>
      </c>
      <c r="AF32" s="460">
        <f t="shared" si="25"/>
        <v>733150</v>
      </c>
      <c r="AG32" s="333">
        <f t="shared" si="26"/>
        <v>0</v>
      </c>
      <c r="AH32" s="333">
        <f t="shared" si="27"/>
        <v>0</v>
      </c>
      <c r="AI32" s="333">
        <f t="shared" si="28"/>
        <v>0</v>
      </c>
      <c r="AJ32" s="333">
        <f t="shared" si="29"/>
        <v>14266850</v>
      </c>
      <c r="AK32" s="334">
        <f t="shared" si="30"/>
        <v>15000000</v>
      </c>
      <c r="AL32" s="327">
        <f t="shared" si="31"/>
        <v>0</v>
      </c>
      <c r="AM32" s="334">
        <f t="shared" si="32"/>
        <v>14266850</v>
      </c>
      <c r="AN32" s="335">
        <f t="shared" si="33"/>
        <v>0.048876666666666665</v>
      </c>
      <c r="AO32" s="336">
        <v>0</v>
      </c>
      <c r="AP32" s="336">
        <f>+AC32/Q32</f>
        <v>1</v>
      </c>
      <c r="AQ32" s="336">
        <v>0</v>
      </c>
      <c r="AR32" s="336">
        <v>0</v>
      </c>
    </row>
    <row r="33" spans="1:44" ht="15" customHeight="1" thickBot="1">
      <c r="A33" s="337" t="s">
        <v>51</v>
      </c>
      <c r="B33" s="338">
        <f aca="true" t="shared" si="36" ref="B33:J33">SUM(B25:B32)</f>
        <v>127932456.892452</v>
      </c>
      <c r="C33" s="338">
        <f t="shared" si="36"/>
        <v>0</v>
      </c>
      <c r="D33" s="338">
        <f t="shared" si="36"/>
        <v>0</v>
      </c>
      <c r="E33" s="338">
        <f t="shared" si="36"/>
        <v>0</v>
      </c>
      <c r="F33" s="338">
        <f t="shared" si="36"/>
        <v>0</v>
      </c>
      <c r="G33" s="338">
        <f>SUM(G25:G32)</f>
        <v>0</v>
      </c>
      <c r="H33" s="338">
        <f t="shared" si="36"/>
        <v>0</v>
      </c>
      <c r="I33" s="338">
        <f t="shared" si="36"/>
        <v>127932456.892452</v>
      </c>
      <c r="J33" s="338">
        <f t="shared" si="36"/>
        <v>42935797.3475</v>
      </c>
      <c r="K33" s="338"/>
      <c r="L33" s="338">
        <f aca="true" t="shared" si="37" ref="L33:X33">SUM(L25:L32)</f>
        <v>-7978443.3475</v>
      </c>
      <c r="M33" s="338">
        <f t="shared" si="37"/>
        <v>34957354</v>
      </c>
      <c r="N33" s="338">
        <f t="shared" si="37"/>
        <v>19377589</v>
      </c>
      <c r="O33" s="338">
        <f t="shared" si="37"/>
        <v>0</v>
      </c>
      <c r="P33" s="338">
        <f t="shared" si="37"/>
        <v>-1829536</v>
      </c>
      <c r="Q33" s="338">
        <f t="shared" si="37"/>
        <v>17548053</v>
      </c>
      <c r="R33" s="338">
        <f t="shared" si="37"/>
        <v>27658927.273025</v>
      </c>
      <c r="S33" s="338">
        <f t="shared" si="37"/>
        <v>0</v>
      </c>
      <c r="T33" s="338"/>
      <c r="U33" s="338">
        <f t="shared" si="37"/>
        <v>-6367740</v>
      </c>
      <c r="V33" s="338">
        <f t="shared" si="37"/>
        <v>21291187.273025</v>
      </c>
      <c r="W33" s="338">
        <f t="shared" si="37"/>
        <v>54134771.619427</v>
      </c>
      <c r="X33" s="338">
        <f t="shared" si="37"/>
        <v>0</v>
      </c>
      <c r="Y33" s="338"/>
      <c r="Z33" s="338">
        <f aca="true" t="shared" si="38" ref="Z33:AM33">SUM(Z25:Z32)</f>
        <v>54134771.619427</v>
      </c>
      <c r="AA33" s="338">
        <f t="shared" si="38"/>
        <v>127931365.892452</v>
      </c>
      <c r="AB33" s="338">
        <f t="shared" si="38"/>
        <v>34957354</v>
      </c>
      <c r="AC33" s="338">
        <f t="shared" si="38"/>
        <v>17548053</v>
      </c>
      <c r="AD33" s="338">
        <f t="shared" si="38"/>
        <v>21291186.68</v>
      </c>
      <c r="AE33" s="338">
        <f t="shared" si="38"/>
        <v>27173532</v>
      </c>
      <c r="AF33" s="338">
        <f t="shared" si="38"/>
        <v>100970125.68</v>
      </c>
      <c r="AG33" s="338">
        <f t="shared" si="38"/>
        <v>0</v>
      </c>
      <c r="AH33" s="338">
        <f t="shared" si="38"/>
        <v>0</v>
      </c>
      <c r="AI33" s="338">
        <f t="shared" si="38"/>
        <v>0.5930249998345971</v>
      </c>
      <c r="AJ33" s="338">
        <f>SUM(AJ25:AJ32)</f>
        <v>26961239.619427003</v>
      </c>
      <c r="AK33" s="338">
        <f t="shared" si="38"/>
        <v>127931365.892452</v>
      </c>
      <c r="AL33" s="338">
        <f t="shared" si="38"/>
        <v>1091</v>
      </c>
      <c r="AM33" s="338">
        <f t="shared" si="38"/>
        <v>26961240.212452002</v>
      </c>
      <c r="AN33" s="339">
        <f t="shared" si="33"/>
        <v>0.789245576397253</v>
      </c>
      <c r="AO33" s="339">
        <f>+AB33/M33</f>
        <v>1</v>
      </c>
      <c r="AP33" s="339">
        <f>+AC33/Q33</f>
        <v>1</v>
      </c>
      <c r="AQ33" s="339">
        <f>+AD33/V33</f>
        <v>0.9999999721469267</v>
      </c>
      <c r="AR33" s="339">
        <f>+AE33/Z33</f>
        <v>0.5019607765417894</v>
      </c>
    </row>
    <row r="34" spans="1:44" ht="15" customHeight="1">
      <c r="A34" s="319"/>
      <c r="B34" s="318"/>
      <c r="C34" s="349"/>
      <c r="D34" s="349"/>
      <c r="E34" s="349"/>
      <c r="F34" s="349"/>
      <c r="G34" s="349"/>
      <c r="H34" s="349"/>
      <c r="I34" s="318"/>
      <c r="J34" s="318"/>
      <c r="K34" s="318"/>
      <c r="L34" s="318"/>
      <c r="M34" s="318"/>
      <c r="N34" s="318"/>
      <c r="O34" s="349"/>
      <c r="P34" s="318"/>
      <c r="Q34" s="318"/>
      <c r="R34" s="317"/>
      <c r="S34" s="317"/>
      <c r="T34" s="317"/>
      <c r="U34" s="317"/>
      <c r="V34" s="318"/>
      <c r="W34" s="318"/>
      <c r="X34" s="318"/>
      <c r="Y34" s="319"/>
      <c r="Z34" s="319"/>
      <c r="AA34" s="318"/>
      <c r="AB34" s="318"/>
      <c r="AC34" s="318"/>
      <c r="AD34" s="318"/>
      <c r="AE34" s="319"/>
      <c r="AF34" s="318"/>
      <c r="AG34" s="318"/>
      <c r="AH34" s="318"/>
      <c r="AI34" s="318"/>
      <c r="AJ34" s="318"/>
      <c r="AK34" s="318"/>
      <c r="AL34" s="320"/>
      <c r="AM34" s="320"/>
      <c r="AN34" s="350"/>
      <c r="AO34" s="321"/>
      <c r="AP34" s="321"/>
      <c r="AQ34" s="321"/>
      <c r="AR34" s="321"/>
    </row>
    <row r="35" spans="1:44" ht="15" customHeight="1" thickBot="1">
      <c r="A35" s="351" t="s">
        <v>52</v>
      </c>
      <c r="B35" s="352"/>
      <c r="C35" s="353"/>
      <c r="D35" s="353"/>
      <c r="E35" s="353"/>
      <c r="F35" s="353"/>
      <c r="G35" s="353"/>
      <c r="H35" s="353"/>
      <c r="I35" s="352"/>
      <c r="J35" s="352"/>
      <c r="K35" s="352"/>
      <c r="L35" s="333"/>
      <c r="M35" s="333"/>
      <c r="N35" s="333"/>
      <c r="O35" s="353"/>
      <c r="P35" s="333"/>
      <c r="Q35" s="333"/>
      <c r="R35" s="346"/>
      <c r="S35" s="390"/>
      <c r="T35" s="346"/>
      <c r="U35" s="346"/>
      <c r="V35" s="333"/>
      <c r="W35" s="333"/>
      <c r="X35" s="333"/>
      <c r="Y35" s="322"/>
      <c r="Z35" s="322"/>
      <c r="AA35" s="333"/>
      <c r="AB35" s="333"/>
      <c r="AC35" s="333"/>
      <c r="AD35" s="333"/>
      <c r="AE35" s="322"/>
      <c r="AF35" s="333"/>
      <c r="AG35" s="333"/>
      <c r="AH35" s="333"/>
      <c r="AI35" s="333"/>
      <c r="AJ35" s="333"/>
      <c r="AK35" s="333"/>
      <c r="AL35" s="334"/>
      <c r="AM35" s="334"/>
      <c r="AN35" s="354"/>
      <c r="AO35" s="355"/>
      <c r="AP35" s="355"/>
      <c r="AQ35" s="355"/>
      <c r="AR35" s="355"/>
    </row>
    <row r="36" spans="1:44" ht="15" customHeight="1" thickBot="1">
      <c r="A36" s="338" t="s">
        <v>86</v>
      </c>
      <c r="B36" s="338">
        <f aca="true" t="shared" si="39" ref="B36:J36">+B38+B48+B53+B58</f>
        <v>2260118760.375</v>
      </c>
      <c r="C36" s="338">
        <f t="shared" si="39"/>
        <v>0</v>
      </c>
      <c r="D36" s="338">
        <f t="shared" si="39"/>
        <v>0</v>
      </c>
      <c r="E36" s="338">
        <f t="shared" si="39"/>
        <v>0</v>
      </c>
      <c r="F36" s="338">
        <f t="shared" si="39"/>
        <v>-382411608</v>
      </c>
      <c r="G36" s="338">
        <f>+G38+G48+G53+G58</f>
        <v>-2450000</v>
      </c>
      <c r="H36" s="338">
        <f t="shared" si="39"/>
        <v>0</v>
      </c>
      <c r="I36" s="338">
        <f t="shared" si="39"/>
        <v>1875257152.375</v>
      </c>
      <c r="J36" s="338">
        <f t="shared" si="39"/>
        <v>368382008</v>
      </c>
      <c r="K36" s="338"/>
      <c r="L36" s="338">
        <f aca="true" t="shared" si="40" ref="L36:X36">+L38+L48+L53+L58</f>
        <v>-30063718.00000021</v>
      </c>
      <c r="M36" s="338">
        <f t="shared" si="40"/>
        <v>338318289.99999976</v>
      </c>
      <c r="N36" s="338">
        <f t="shared" si="40"/>
        <v>504579769</v>
      </c>
      <c r="O36" s="338">
        <f t="shared" si="40"/>
        <v>0</v>
      </c>
      <c r="P36" s="338">
        <f t="shared" si="40"/>
        <v>-12927301</v>
      </c>
      <c r="Q36" s="338">
        <f t="shared" si="40"/>
        <v>415186710</v>
      </c>
      <c r="R36" s="338">
        <f t="shared" si="40"/>
        <v>505221319</v>
      </c>
      <c r="S36" s="338">
        <f t="shared" si="40"/>
        <v>0</v>
      </c>
      <c r="T36" s="338"/>
      <c r="U36" s="338">
        <f t="shared" si="40"/>
        <v>-51217484.99999985</v>
      </c>
      <c r="V36" s="338">
        <f t="shared" si="40"/>
        <v>454003834.0000001</v>
      </c>
      <c r="W36" s="338">
        <f t="shared" si="40"/>
        <v>670181255.3750002</v>
      </c>
      <c r="X36" s="338">
        <f t="shared" si="40"/>
        <v>-2450000</v>
      </c>
      <c r="Y36" s="338"/>
      <c r="Z36" s="338">
        <f aca="true" t="shared" si="41" ref="Z36:AM36">+Z38+Z48+Z53+Z58</f>
        <v>667731255.3750002</v>
      </c>
      <c r="AA36" s="338">
        <f t="shared" si="41"/>
        <v>1875240089.3750005</v>
      </c>
      <c r="AB36" s="338">
        <f t="shared" si="41"/>
        <v>338318289.99999976</v>
      </c>
      <c r="AC36" s="338">
        <f t="shared" si="41"/>
        <v>415186710</v>
      </c>
      <c r="AD36" s="338">
        <f t="shared" si="41"/>
        <v>454003834.0000001</v>
      </c>
      <c r="AE36" s="338">
        <f t="shared" si="41"/>
        <v>537738434.9500002</v>
      </c>
      <c r="AF36" s="338">
        <f t="shared" si="41"/>
        <v>1745247268.95</v>
      </c>
      <c r="AG36" s="338">
        <f t="shared" si="41"/>
        <v>0</v>
      </c>
      <c r="AH36" s="338">
        <f t="shared" si="41"/>
        <v>0</v>
      </c>
      <c r="AI36" s="338">
        <f t="shared" si="41"/>
        <v>0</v>
      </c>
      <c r="AJ36" s="338">
        <f>+AJ38+AJ48+AJ53+AJ58</f>
        <v>129992820.42500006</v>
      </c>
      <c r="AK36" s="338">
        <f t="shared" si="41"/>
        <v>1875240089.3750005</v>
      </c>
      <c r="AL36" s="338">
        <f t="shared" si="41"/>
        <v>17063</v>
      </c>
      <c r="AM36" s="338">
        <f t="shared" si="41"/>
        <v>121992820.42500013</v>
      </c>
      <c r="AN36" s="339">
        <f>+AF36/I36</f>
        <v>0.9306709038489237</v>
      </c>
      <c r="AO36" s="339">
        <f>+AB36/M36</f>
        <v>1</v>
      </c>
      <c r="AP36" s="339">
        <f>+AC36/Q36</f>
        <v>1</v>
      </c>
      <c r="AQ36" s="339">
        <f>+AD36/V36</f>
        <v>1</v>
      </c>
      <c r="AR36" s="339">
        <f>+AE36/W36</f>
        <v>0.8023776114852815</v>
      </c>
    </row>
    <row r="37" spans="1:44" ht="15" customHeight="1">
      <c r="A37" s="356"/>
      <c r="B37" s="316"/>
      <c r="C37" s="347"/>
      <c r="D37" s="347"/>
      <c r="E37" s="347"/>
      <c r="F37" s="347"/>
      <c r="G37" s="347"/>
      <c r="H37" s="347"/>
      <c r="I37" s="357"/>
      <c r="J37" s="357"/>
      <c r="K37" s="357"/>
      <c r="L37" s="357"/>
      <c r="M37" s="357"/>
      <c r="N37" s="357"/>
      <c r="O37" s="347"/>
      <c r="P37" s="34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8"/>
      <c r="AO37" s="359"/>
      <c r="AP37" s="359"/>
      <c r="AQ37" s="359"/>
      <c r="AR37" s="321"/>
    </row>
    <row r="38" spans="1:45" ht="15" customHeight="1">
      <c r="A38" s="360" t="s">
        <v>87</v>
      </c>
      <c r="B38" s="323">
        <f aca="true" t="shared" si="42" ref="B38:J38">+B39+B42+SUM(B45:B47)</f>
        <v>1738258330.845</v>
      </c>
      <c r="C38" s="323">
        <f t="shared" si="42"/>
        <v>0</v>
      </c>
      <c r="D38" s="323">
        <f t="shared" si="42"/>
        <v>0</v>
      </c>
      <c r="E38" s="323">
        <f t="shared" si="42"/>
        <v>-12380000</v>
      </c>
      <c r="F38" s="323">
        <f t="shared" si="42"/>
        <v>-403411608</v>
      </c>
      <c r="G38" s="323">
        <f t="shared" si="42"/>
        <v>-2450000</v>
      </c>
      <c r="H38" s="323">
        <f t="shared" si="42"/>
        <v>0</v>
      </c>
      <c r="I38" s="323">
        <f t="shared" si="42"/>
        <v>1320016722.845</v>
      </c>
      <c r="J38" s="323">
        <f t="shared" si="42"/>
        <v>198351204</v>
      </c>
      <c r="K38" s="323"/>
      <c r="L38" s="323">
        <f aca="true" t="shared" si="43" ref="L38:X38">+L39+L42+SUM(L45:L47)</f>
        <v>-6103838.000000209</v>
      </c>
      <c r="M38" s="323">
        <f t="shared" si="43"/>
        <v>192247365.9999998</v>
      </c>
      <c r="N38" s="323">
        <f t="shared" si="43"/>
        <v>359259908</v>
      </c>
      <c r="O38" s="323">
        <f t="shared" si="43"/>
        <v>0</v>
      </c>
      <c r="P38" s="323">
        <f t="shared" si="43"/>
        <v>-11117228</v>
      </c>
      <c r="Q38" s="323">
        <f t="shared" si="43"/>
        <v>271676922</v>
      </c>
      <c r="R38" s="323">
        <f t="shared" si="43"/>
        <v>369579281</v>
      </c>
      <c r="S38" s="323">
        <f t="shared" si="43"/>
        <v>0</v>
      </c>
      <c r="T38" s="323"/>
      <c r="U38" s="323">
        <f t="shared" si="43"/>
        <v>-29531912.99999985</v>
      </c>
      <c r="V38" s="323">
        <f t="shared" si="43"/>
        <v>340047368.0000001</v>
      </c>
      <c r="W38" s="323">
        <f t="shared" si="43"/>
        <v>518495066.84500027</v>
      </c>
      <c r="X38" s="323">
        <f t="shared" si="43"/>
        <v>-2450000</v>
      </c>
      <c r="Y38" s="323"/>
      <c r="Z38" s="323">
        <f aca="true" t="shared" si="44" ref="Z38:AM38">+Z39+Z42+SUM(Z45:Z47)</f>
        <v>516045066.84500027</v>
      </c>
      <c r="AA38" s="323">
        <f t="shared" si="44"/>
        <v>1320016722.8450003</v>
      </c>
      <c r="AB38" s="461">
        <f t="shared" si="44"/>
        <v>192247365.9999998</v>
      </c>
      <c r="AC38" s="461">
        <f t="shared" si="44"/>
        <v>271676922</v>
      </c>
      <c r="AD38" s="461">
        <f t="shared" si="44"/>
        <v>340047368.0000001</v>
      </c>
      <c r="AE38" s="461">
        <f t="shared" si="44"/>
        <v>395213563.0000002</v>
      </c>
      <c r="AF38" s="461">
        <f>+AF39+AF42+SUM(AF45:AF47)</f>
        <v>1199185219</v>
      </c>
      <c r="AG38" s="343">
        <f t="shared" si="44"/>
        <v>0</v>
      </c>
      <c r="AH38" s="323">
        <f t="shared" si="44"/>
        <v>0</v>
      </c>
      <c r="AI38" s="323">
        <f t="shared" si="44"/>
        <v>0</v>
      </c>
      <c r="AJ38" s="323">
        <f>+AJ39+AJ42+SUM(AJ45:AJ47)</f>
        <v>120831503.84500006</v>
      </c>
      <c r="AK38" s="323">
        <f t="shared" si="44"/>
        <v>1320016722.8450003</v>
      </c>
      <c r="AL38" s="323">
        <f t="shared" si="44"/>
        <v>0</v>
      </c>
      <c r="AM38" s="323">
        <f t="shared" si="44"/>
        <v>120831503.84500012</v>
      </c>
      <c r="AN38" s="361">
        <f aca="true" t="shared" si="45" ref="AN38:AN44">+AF38/I38</f>
        <v>0.9084621416124374</v>
      </c>
      <c r="AO38" s="361">
        <f>+AB38/M38</f>
        <v>1</v>
      </c>
      <c r="AP38" s="361">
        <f>+AC38/Q38</f>
        <v>1</v>
      </c>
      <c r="AQ38" s="361">
        <f>+AD38/V38</f>
        <v>1</v>
      </c>
      <c r="AR38" s="361">
        <f aca="true" t="shared" si="46" ref="AR38:AR44">+AE38/Z38</f>
        <v>0.7658508692201235</v>
      </c>
      <c r="AS38" s="362"/>
    </row>
    <row r="39" spans="1:44" ht="15" customHeight="1" hidden="1" outlineLevel="1">
      <c r="A39" s="363" t="s">
        <v>137</v>
      </c>
      <c r="B39" s="325">
        <f aca="true" t="shared" si="47" ref="B39:G39">+SUM(B40:B41)</f>
        <v>1027674434</v>
      </c>
      <c r="C39" s="325">
        <f t="shared" si="47"/>
        <v>0</v>
      </c>
      <c r="D39" s="325">
        <f t="shared" si="47"/>
        <v>0</v>
      </c>
      <c r="E39" s="325">
        <f t="shared" si="47"/>
        <v>0</v>
      </c>
      <c r="F39" s="325">
        <f t="shared" si="47"/>
        <v>15167532</v>
      </c>
      <c r="G39" s="325">
        <f t="shared" si="47"/>
        <v>-2450000</v>
      </c>
      <c r="H39" s="325"/>
      <c r="I39" s="325">
        <f aca="true" t="shared" si="48" ref="I39:I47">SUM(B39:H39)</f>
        <v>1040391966</v>
      </c>
      <c r="J39" s="334">
        <f>+SUM(J40:J41)</f>
        <v>174705904</v>
      </c>
      <c r="K39" s="334"/>
      <c r="L39" s="334">
        <f>+SUM(L40:L41)</f>
        <v>-4462413.000000209</v>
      </c>
      <c r="M39" s="325">
        <f>+SUM(M40:M41)</f>
        <v>170243490.9999998</v>
      </c>
      <c r="N39" s="325">
        <f>+SUM(N40:N41)</f>
        <v>302804377</v>
      </c>
      <c r="O39" s="325"/>
      <c r="P39" s="325"/>
      <c r="Q39" s="325">
        <f aca="true" t="shared" si="49" ref="Q39:W39">+SUM(Q40:Q41)</f>
        <v>226338619.00000003</v>
      </c>
      <c r="R39" s="325">
        <f t="shared" si="49"/>
        <v>317079281</v>
      </c>
      <c r="S39" s="325">
        <f t="shared" si="49"/>
        <v>0</v>
      </c>
      <c r="T39" s="325"/>
      <c r="U39" s="325">
        <f t="shared" si="49"/>
        <v>-27717282.99999985</v>
      </c>
      <c r="V39" s="325">
        <f t="shared" si="49"/>
        <v>289361998.0000001</v>
      </c>
      <c r="W39" s="325">
        <f t="shared" si="49"/>
        <v>356897858.00000024</v>
      </c>
      <c r="X39" s="325">
        <f>+SUM(X40:X41)</f>
        <v>-2450000</v>
      </c>
      <c r="Y39" s="334"/>
      <c r="Z39" s="334">
        <f aca="true" t="shared" si="50" ref="Z39:AM39">+SUM(Z40:Z41)</f>
        <v>354447858.00000024</v>
      </c>
      <c r="AA39" s="325">
        <f t="shared" si="50"/>
        <v>1040391966.0000002</v>
      </c>
      <c r="AB39" s="462">
        <f t="shared" si="50"/>
        <v>170243490.9999998</v>
      </c>
      <c r="AC39" s="462">
        <f t="shared" si="50"/>
        <v>226338619.00000003</v>
      </c>
      <c r="AD39" s="462">
        <f t="shared" si="50"/>
        <v>289361998.0000001</v>
      </c>
      <c r="AE39" s="462">
        <f t="shared" si="50"/>
        <v>334049992.0000002</v>
      </c>
      <c r="AF39" s="462">
        <f>+SUM(AF40:AF41)</f>
        <v>1019994100.0000001</v>
      </c>
      <c r="AG39" s="325">
        <f t="shared" si="50"/>
        <v>0</v>
      </c>
      <c r="AH39" s="325">
        <f t="shared" si="50"/>
        <v>0</v>
      </c>
      <c r="AI39" s="325">
        <f t="shared" si="50"/>
        <v>0</v>
      </c>
      <c r="AJ39" s="325">
        <f>+SUM(AJ40:AJ41)</f>
        <v>20397866.00000006</v>
      </c>
      <c r="AK39" s="327">
        <f t="shared" si="50"/>
        <v>1040391966.0000002</v>
      </c>
      <c r="AL39" s="327">
        <f t="shared" si="50"/>
        <v>0</v>
      </c>
      <c r="AM39" s="327">
        <f t="shared" si="50"/>
        <v>20397866.00000012</v>
      </c>
      <c r="AN39" s="329">
        <f t="shared" si="45"/>
        <v>0.9803940565992415</v>
      </c>
      <c r="AO39" s="329">
        <v>0</v>
      </c>
      <c r="AP39" s="329">
        <f>+AC39/Q39</f>
        <v>1</v>
      </c>
      <c r="AQ39" s="329">
        <f>+AD39/V39</f>
        <v>1</v>
      </c>
      <c r="AR39" s="329">
        <f t="shared" si="46"/>
        <v>0.9424517159869533</v>
      </c>
    </row>
    <row r="40" spans="1:44" ht="15" customHeight="1" hidden="1" outlineLevel="2">
      <c r="A40" s="363" t="s">
        <v>121</v>
      </c>
      <c r="B40" s="325">
        <f>659415239+16342126</f>
        <v>675757365</v>
      </c>
      <c r="C40" s="346"/>
      <c r="D40" s="346"/>
      <c r="E40" s="325"/>
      <c r="F40" s="325"/>
      <c r="G40" s="325"/>
      <c r="H40" s="325"/>
      <c r="I40" s="325">
        <f t="shared" si="48"/>
        <v>675757365</v>
      </c>
      <c r="J40" s="334">
        <v>139764723</v>
      </c>
      <c r="K40" s="334"/>
      <c r="L40" s="325">
        <v>-3569930.200000167</v>
      </c>
      <c r="M40" s="325">
        <f>SUM(J40:L40)</f>
        <v>136194792.79999983</v>
      </c>
      <c r="N40" s="334">
        <v>191681680</v>
      </c>
      <c r="O40" s="346"/>
      <c r="P40" s="325">
        <f>+AC40-N40-O40</f>
        <v>-32068034.800000012</v>
      </c>
      <c r="Q40" s="325">
        <f>+SUM(N40:P40)</f>
        <v>159613645.2</v>
      </c>
      <c r="R40" s="334">
        <v>186274980</v>
      </c>
      <c r="S40" s="334"/>
      <c r="T40" s="334"/>
      <c r="U40" s="334">
        <f aca="true" t="shared" si="51" ref="U40:U47">-R40+AD40</f>
        <v>-23946331.600000054</v>
      </c>
      <c r="V40" s="334">
        <f>+SUM(R40:U40)</f>
        <v>162328648.39999995</v>
      </c>
      <c r="W40" s="334">
        <v>217620278.60000023</v>
      </c>
      <c r="X40" s="325"/>
      <c r="Y40" s="364"/>
      <c r="Z40" s="326">
        <f>+SUM(W40:Y40)</f>
        <v>217620278.60000023</v>
      </c>
      <c r="AA40" s="325">
        <f>+M40+Q40+V40+Z40</f>
        <v>675757365</v>
      </c>
      <c r="AB40" s="460">
        <f>+'[4]ECO ENE-MAR-11'!$G$154</f>
        <v>136194792.79999983</v>
      </c>
      <c r="AC40" s="460">
        <f>+'[4]ECO ABR-JUN-11'!$G$180</f>
        <v>159613645.2</v>
      </c>
      <c r="AD40" s="460">
        <f>+'[4]ECO JUL-SEP-11'!$G$168</f>
        <v>162328648.39999995</v>
      </c>
      <c r="AE40" s="460">
        <f>+'[4]ECO OCT-DIC-11'!$G$194</f>
        <v>214885774.40000007</v>
      </c>
      <c r="AF40" s="460">
        <f>SUM(AB40:AE40)</f>
        <v>673022860.7999998</v>
      </c>
      <c r="AG40" s="325">
        <f>+M40-AB40</f>
        <v>0</v>
      </c>
      <c r="AH40" s="325">
        <f>+Q40-AC40</f>
        <v>0</v>
      </c>
      <c r="AI40" s="325">
        <f>+V40-AD40</f>
        <v>0</v>
      </c>
      <c r="AJ40" s="325">
        <f>+Z40-AE40</f>
        <v>2734504.200000167</v>
      </c>
      <c r="AK40" s="327">
        <f>+AA40</f>
        <v>675757365</v>
      </c>
      <c r="AL40" s="327">
        <f>+I40-AK40</f>
        <v>0</v>
      </c>
      <c r="AM40" s="327">
        <f aca="true" t="shared" si="52" ref="AM40:AM47">+AK40-AF40</f>
        <v>2734504.200000167</v>
      </c>
      <c r="AN40" s="329">
        <f t="shared" si="45"/>
        <v>0.9959534230159665</v>
      </c>
      <c r="AO40" s="329">
        <v>0</v>
      </c>
      <c r="AP40" s="329">
        <f>+AC40/Q40</f>
        <v>1</v>
      </c>
      <c r="AQ40" s="329">
        <f>+AD40/V40</f>
        <v>1</v>
      </c>
      <c r="AR40" s="329">
        <f t="shared" si="46"/>
        <v>0.9874345156729334</v>
      </c>
    </row>
    <row r="41" spans="1:44" ht="15" customHeight="1" hidden="1" outlineLevel="2">
      <c r="A41" s="363" t="s">
        <v>125</v>
      </c>
      <c r="B41" s="325">
        <f>340370162+11546907</f>
        <v>351917069</v>
      </c>
      <c r="C41" s="346"/>
      <c r="D41" s="346"/>
      <c r="E41" s="325"/>
      <c r="F41" s="325">
        <v>15167532</v>
      </c>
      <c r="G41" s="325">
        <v>-2450000</v>
      </c>
      <c r="H41" s="325"/>
      <c r="I41" s="325">
        <f t="shared" si="48"/>
        <v>364634601</v>
      </c>
      <c r="J41" s="334">
        <v>34941181</v>
      </c>
      <c r="K41" s="334"/>
      <c r="L41" s="325">
        <v>-892482.8000000417</v>
      </c>
      <c r="M41" s="325">
        <f>SUM(J41:L41)</f>
        <v>34048698.19999996</v>
      </c>
      <c r="N41" s="334">
        <v>111122697</v>
      </c>
      <c r="O41" s="346"/>
      <c r="P41" s="325">
        <f>+AC41-N41-O41</f>
        <v>-44397723.19999996</v>
      </c>
      <c r="Q41" s="325">
        <f>+SUM(N41:P41)</f>
        <v>66724973.80000004</v>
      </c>
      <c r="R41" s="334">
        <v>130804301</v>
      </c>
      <c r="S41" s="334"/>
      <c r="T41" s="334"/>
      <c r="U41" s="334">
        <f t="shared" si="51"/>
        <v>-3770951.3999997973</v>
      </c>
      <c r="V41" s="334">
        <f>+SUM(R41:U41)</f>
        <v>127033349.6000002</v>
      </c>
      <c r="W41" s="334">
        <f>139277579.4</f>
        <v>139277579.4</v>
      </c>
      <c r="X41" s="325">
        <v>-2450000</v>
      </c>
      <c r="Y41" s="364"/>
      <c r="Z41" s="326">
        <f>+SUM(W41:Y41)</f>
        <v>136827579.4</v>
      </c>
      <c r="AA41" s="325">
        <f>+M41+Q41+V41+Z41</f>
        <v>364634601.00000024</v>
      </c>
      <c r="AB41" s="460">
        <f>+'[4]ECO ENE-MAR-11'!$G$302</f>
        <v>34048698.19999996</v>
      </c>
      <c r="AC41" s="460">
        <f>+'[4]ECO ABR-JUN-11'!$G$332</f>
        <v>66724973.80000004</v>
      </c>
      <c r="AD41" s="460">
        <f>+'[4]ECO JUL-SEP-11'!$G$300</f>
        <v>127033349.6000002</v>
      </c>
      <c r="AE41" s="460">
        <f>+'[4]ECO OCT-DIC-11'!$G$377</f>
        <v>119164217.60000011</v>
      </c>
      <c r="AF41" s="460">
        <f>SUM(AB41:AE41)</f>
        <v>346971239.2000003</v>
      </c>
      <c r="AG41" s="325">
        <f>+M41-AB41</f>
        <v>0</v>
      </c>
      <c r="AH41" s="325">
        <f>+Q41-AC41</f>
        <v>0</v>
      </c>
      <c r="AI41" s="325">
        <f>+V41-AD41</f>
        <v>0</v>
      </c>
      <c r="AJ41" s="325">
        <f>+Z41-AE41</f>
        <v>17663361.799999893</v>
      </c>
      <c r="AK41" s="327">
        <f>+AA41</f>
        <v>364634601.00000024</v>
      </c>
      <c r="AL41" s="327">
        <f>+I41-AK41</f>
        <v>0</v>
      </c>
      <c r="AM41" s="327">
        <f t="shared" si="52"/>
        <v>17663361.799999952</v>
      </c>
      <c r="AN41" s="329">
        <f t="shared" si="45"/>
        <v>0.9515587337253282</v>
      </c>
      <c r="AO41" s="329">
        <v>0</v>
      </c>
      <c r="AP41" s="329">
        <f>+AC41/Q41</f>
        <v>1</v>
      </c>
      <c r="AQ41" s="329">
        <f>+AD41/V41</f>
        <v>1</v>
      </c>
      <c r="AR41" s="329">
        <f t="shared" si="46"/>
        <v>0.8709078836484928</v>
      </c>
    </row>
    <row r="42" spans="1:44" ht="15" customHeight="1" hidden="1" outlineLevel="2">
      <c r="A42" s="363" t="s">
        <v>138</v>
      </c>
      <c r="B42" s="325">
        <f>+SUM(B43:B44)</f>
        <v>527079140</v>
      </c>
      <c r="C42" s="325">
        <f>+SUM(C43:C44)</f>
        <v>0</v>
      </c>
      <c r="D42" s="325">
        <f>+SUM(D43:D44)</f>
        <v>0</v>
      </c>
      <c r="E42" s="325">
        <f>+SUM(E43:E44)</f>
        <v>0</v>
      </c>
      <c r="F42" s="325">
        <f>+SUM(F43:F44)</f>
        <v>-427079140</v>
      </c>
      <c r="G42" s="325"/>
      <c r="H42" s="325"/>
      <c r="I42" s="325">
        <f t="shared" si="48"/>
        <v>100000000</v>
      </c>
      <c r="J42" s="325">
        <f>+SUM(J43:J44)</f>
        <v>0</v>
      </c>
      <c r="K42" s="325"/>
      <c r="L42" s="325"/>
      <c r="M42" s="325">
        <f>+SUM(M43:M44)</f>
        <v>0</v>
      </c>
      <c r="N42" s="325">
        <f>+SUM(N43:N44)</f>
        <v>0</v>
      </c>
      <c r="O42" s="325"/>
      <c r="P42" s="325"/>
      <c r="Q42" s="325">
        <f>+SUM(Q43:Q44)</f>
        <v>0</v>
      </c>
      <c r="R42" s="325">
        <f>+SUM(R43:R44)</f>
        <v>0</v>
      </c>
      <c r="S42" s="325"/>
      <c r="T42" s="325"/>
      <c r="U42" s="334">
        <f t="shared" si="51"/>
        <v>0</v>
      </c>
      <c r="V42" s="325">
        <f>+SUM(V43:V44)</f>
        <v>0</v>
      </c>
      <c r="W42" s="325">
        <f>+SUM(W43:W44)</f>
        <v>100000000</v>
      </c>
      <c r="X42" s="325">
        <f>+SUM(X43:X44)</f>
        <v>0</v>
      </c>
      <c r="Y42" s="325"/>
      <c r="Z42" s="325">
        <f aca="true" t="shared" si="53" ref="Z42:AL42">+SUM(Z43:Z44)</f>
        <v>100000000</v>
      </c>
      <c r="AA42" s="325">
        <f t="shared" si="53"/>
        <v>100000000</v>
      </c>
      <c r="AB42" s="460">
        <f t="shared" si="53"/>
        <v>0</v>
      </c>
      <c r="AC42" s="460">
        <f t="shared" si="53"/>
        <v>0</v>
      </c>
      <c r="AD42" s="460">
        <f t="shared" si="53"/>
        <v>0</v>
      </c>
      <c r="AE42" s="460">
        <f t="shared" si="53"/>
        <v>0</v>
      </c>
      <c r="AF42" s="460">
        <f t="shared" si="53"/>
        <v>0</v>
      </c>
      <c r="AG42" s="325">
        <f t="shared" si="53"/>
        <v>0</v>
      </c>
      <c r="AH42" s="325">
        <f t="shared" si="53"/>
        <v>0</v>
      </c>
      <c r="AI42" s="325">
        <f t="shared" si="53"/>
        <v>0</v>
      </c>
      <c r="AJ42" s="325">
        <f>+SUM(AJ43:AJ44)</f>
        <v>100000000</v>
      </c>
      <c r="AK42" s="327">
        <f t="shared" si="53"/>
        <v>100000000</v>
      </c>
      <c r="AL42" s="327">
        <f t="shared" si="53"/>
        <v>0</v>
      </c>
      <c r="AM42" s="327">
        <f t="shared" si="52"/>
        <v>100000000</v>
      </c>
      <c r="AN42" s="329">
        <f t="shared" si="45"/>
        <v>0</v>
      </c>
      <c r="AO42" s="329">
        <v>0</v>
      </c>
      <c r="AP42" s="431">
        <v>1</v>
      </c>
      <c r="AQ42" s="431">
        <v>1</v>
      </c>
      <c r="AR42" s="329">
        <f t="shared" si="46"/>
        <v>0</v>
      </c>
    </row>
    <row r="43" spans="1:44" ht="15" customHeight="1" hidden="1" outlineLevel="2">
      <c r="A43" s="363" t="s">
        <v>121</v>
      </c>
      <c r="B43" s="325">
        <f>443974538-3108168</f>
        <v>440866370</v>
      </c>
      <c r="C43" s="346"/>
      <c r="D43" s="346"/>
      <c r="E43" s="325"/>
      <c r="F43" s="325">
        <v>-400866370</v>
      </c>
      <c r="G43" s="325"/>
      <c r="H43" s="325"/>
      <c r="I43" s="325">
        <f t="shared" si="48"/>
        <v>40000000</v>
      </c>
      <c r="J43" s="334">
        <v>0</v>
      </c>
      <c r="K43" s="334"/>
      <c r="L43" s="334"/>
      <c r="M43" s="325">
        <f>SUM(J43:L43)</f>
        <v>0</v>
      </c>
      <c r="N43" s="334">
        <v>0</v>
      </c>
      <c r="O43" s="346"/>
      <c r="P43" s="325">
        <f>+AC43-N43-O43</f>
        <v>0</v>
      </c>
      <c r="Q43" s="325">
        <f>+SUM(N43:P43)</f>
        <v>0</v>
      </c>
      <c r="R43" s="334"/>
      <c r="S43" s="334"/>
      <c r="T43" s="334"/>
      <c r="U43" s="334">
        <f t="shared" si="51"/>
        <v>0</v>
      </c>
      <c r="V43" s="334">
        <f>+'[2]ECO JUL-SEP10'!$G$445</f>
        <v>0</v>
      </c>
      <c r="W43" s="334">
        <v>40000000</v>
      </c>
      <c r="X43" s="334"/>
      <c r="Y43" s="364"/>
      <c r="Z43" s="326">
        <f aca="true" t="shared" si="54" ref="Z43:Z51">+SUM(W43:Y43)</f>
        <v>40000000</v>
      </c>
      <c r="AA43" s="325">
        <f>+M43+Q43+V43+Z43</f>
        <v>40000000</v>
      </c>
      <c r="AB43" s="460">
        <f>+'[4]ECO ENE-MAR-11'!$G$451</f>
        <v>0</v>
      </c>
      <c r="AC43" s="460"/>
      <c r="AD43" s="460">
        <f>+'[4]ECO JUL-SEP-11'!$G$433</f>
        <v>0</v>
      </c>
      <c r="AE43" s="460">
        <f>+'[4]ECO OCT-DIC-11'!$G$561</f>
        <v>0</v>
      </c>
      <c r="AF43" s="460">
        <f>SUM(AB43:AE43)</f>
        <v>0</v>
      </c>
      <c r="AG43" s="325">
        <f>+M43-AB43</f>
        <v>0</v>
      </c>
      <c r="AH43" s="325">
        <f>+Q43-AC43</f>
        <v>0</v>
      </c>
      <c r="AI43" s="325">
        <f>+V43-AD43</f>
        <v>0</v>
      </c>
      <c r="AJ43" s="325">
        <f>+Z43-AE43</f>
        <v>40000000</v>
      </c>
      <c r="AK43" s="327">
        <f>+AA43</f>
        <v>40000000</v>
      </c>
      <c r="AL43" s="327">
        <f>+I43-AK43</f>
        <v>0</v>
      </c>
      <c r="AM43" s="327">
        <f t="shared" si="52"/>
        <v>40000000</v>
      </c>
      <c r="AN43" s="329">
        <f t="shared" si="45"/>
        <v>0</v>
      </c>
      <c r="AO43" s="329">
        <v>0</v>
      </c>
      <c r="AP43" s="431">
        <v>1</v>
      </c>
      <c r="AQ43" s="431">
        <v>1</v>
      </c>
      <c r="AR43" s="329">
        <f t="shared" si="46"/>
        <v>0</v>
      </c>
    </row>
    <row r="44" spans="1:44" ht="15" customHeight="1" hidden="1" outlineLevel="2">
      <c r="A44" s="363" t="s">
        <v>125</v>
      </c>
      <c r="B44" s="325">
        <f>110993635-27889033+3108168</f>
        <v>86212770</v>
      </c>
      <c r="C44" s="346"/>
      <c r="D44" s="346"/>
      <c r="E44" s="325"/>
      <c r="F44" s="325">
        <v>-26212770</v>
      </c>
      <c r="G44" s="325"/>
      <c r="H44" s="460"/>
      <c r="I44" s="325">
        <f t="shared" si="48"/>
        <v>60000000</v>
      </c>
      <c r="J44" s="334">
        <v>0</v>
      </c>
      <c r="K44" s="334"/>
      <c r="L44" s="334"/>
      <c r="M44" s="325">
        <f>SUM(J44:L44)</f>
        <v>0</v>
      </c>
      <c r="N44" s="334">
        <v>0</v>
      </c>
      <c r="O44" s="346"/>
      <c r="P44" s="325">
        <f>+AC44-N44-O44</f>
        <v>0</v>
      </c>
      <c r="Q44" s="325">
        <f>+SUM(N44:P44)</f>
        <v>0</v>
      </c>
      <c r="R44" s="334"/>
      <c r="S44" s="334"/>
      <c r="T44" s="334"/>
      <c r="U44" s="334">
        <f t="shared" si="51"/>
        <v>0</v>
      </c>
      <c r="V44" s="334">
        <f>+'[2]ECO JUL-SEP10'!$G$449</f>
        <v>0</v>
      </c>
      <c r="W44" s="334">
        <v>60000000</v>
      </c>
      <c r="X44" s="334"/>
      <c r="Y44" s="364"/>
      <c r="Z44" s="326">
        <f t="shared" si="54"/>
        <v>60000000</v>
      </c>
      <c r="AA44" s="325">
        <f>+M44+Q44+V44+Z44</f>
        <v>60000000</v>
      </c>
      <c r="AB44" s="460">
        <f>+'[4]ECO ENE-MAR-11'!$G$455</f>
        <v>0</v>
      </c>
      <c r="AC44" s="460"/>
      <c r="AD44" s="460">
        <f>+'[4]ECO JUL-SEP-11'!$G$437</f>
        <v>0</v>
      </c>
      <c r="AE44" s="460">
        <f>+'[4]ECO OCT-DIC-11'!$G$565</f>
        <v>0</v>
      </c>
      <c r="AF44" s="460">
        <f>SUM(AB44:AE44)</f>
        <v>0</v>
      </c>
      <c r="AG44" s="325">
        <f>+M44-AB44</f>
        <v>0</v>
      </c>
      <c r="AH44" s="325">
        <f>+Q44-AC44</f>
        <v>0</v>
      </c>
      <c r="AI44" s="325">
        <f>+V44-AD44</f>
        <v>0</v>
      </c>
      <c r="AJ44" s="325">
        <f>+Z44-AE44</f>
        <v>60000000</v>
      </c>
      <c r="AK44" s="327">
        <f>+AA44</f>
        <v>60000000</v>
      </c>
      <c r="AL44" s="327">
        <f>+I44-AK44</f>
        <v>0</v>
      </c>
      <c r="AM44" s="327">
        <f t="shared" si="52"/>
        <v>60000000</v>
      </c>
      <c r="AN44" s="329">
        <f t="shared" si="45"/>
        <v>0</v>
      </c>
      <c r="AO44" s="329">
        <v>0</v>
      </c>
      <c r="AP44" s="431">
        <v>1</v>
      </c>
      <c r="AQ44" s="431">
        <v>1</v>
      </c>
      <c r="AR44" s="329">
        <f t="shared" si="46"/>
        <v>0</v>
      </c>
    </row>
    <row r="45" spans="1:44" ht="15" customHeight="1" hidden="1" outlineLevel="1">
      <c r="A45" s="363" t="s">
        <v>114</v>
      </c>
      <c r="B45" s="325">
        <v>20314190</v>
      </c>
      <c r="C45" s="346"/>
      <c r="D45" s="346"/>
      <c r="E45" s="346">
        <v>-2900000</v>
      </c>
      <c r="F45" s="346">
        <v>8500000</v>
      </c>
      <c r="G45" s="346"/>
      <c r="H45" s="624">
        <v>4000000</v>
      </c>
      <c r="I45" s="325">
        <f t="shared" si="48"/>
        <v>29914190</v>
      </c>
      <c r="J45" s="334">
        <v>3197440</v>
      </c>
      <c r="K45" s="334"/>
      <c r="L45" s="325">
        <v>-1435040</v>
      </c>
      <c r="M45" s="325">
        <f>SUM(J45:L45)</f>
        <v>1762400</v>
      </c>
      <c r="N45" s="334">
        <v>8111950</v>
      </c>
      <c r="O45" s="346"/>
      <c r="P45" s="325">
        <f>+AC45-N45-O45</f>
        <v>-2114700</v>
      </c>
      <c r="Q45" s="325">
        <f>+SUM(N45:P45)</f>
        <v>5997250</v>
      </c>
      <c r="R45" s="334">
        <v>2500000</v>
      </c>
      <c r="S45" s="334"/>
      <c r="T45" s="334"/>
      <c r="U45" s="334">
        <f t="shared" si="51"/>
        <v>-163588</v>
      </c>
      <c r="V45" s="334">
        <f>+SUM(R45:U45)</f>
        <v>2336412</v>
      </c>
      <c r="W45" s="334">
        <f>15818128+4000000</f>
        <v>19818128</v>
      </c>
      <c r="X45" s="334"/>
      <c r="Y45" s="364"/>
      <c r="Z45" s="326">
        <f t="shared" si="54"/>
        <v>19818128</v>
      </c>
      <c r="AA45" s="325">
        <f>+M45+Q45+V45+Z45</f>
        <v>29914190</v>
      </c>
      <c r="AB45" s="460">
        <f>+'[4]ECO ENE-MAR-11'!$G$459</f>
        <v>1762400</v>
      </c>
      <c r="AC45" s="460">
        <f>+'[4]ECO ABR-JUN-11'!$G$494</f>
        <v>5997250</v>
      </c>
      <c r="AD45" s="460">
        <f>+'[4]ECO JUL-SEP-11'!$G$441</f>
        <v>2336412</v>
      </c>
      <c r="AE45" s="460">
        <f>+'[4]ECO OCT-DIC-11'!$G$569</f>
        <v>19563408</v>
      </c>
      <c r="AF45" s="460">
        <f>SUM(AB45:AE45)</f>
        <v>29659470</v>
      </c>
      <c r="AG45" s="325">
        <f>+M45-AB45</f>
        <v>0</v>
      </c>
      <c r="AH45" s="325">
        <f>+Q45-AC45</f>
        <v>0</v>
      </c>
      <c r="AI45" s="325">
        <f>+V45-AD45</f>
        <v>0</v>
      </c>
      <c r="AJ45" s="325">
        <f>+Z45-AE45</f>
        <v>254720</v>
      </c>
      <c r="AK45" s="327">
        <f>+AA45</f>
        <v>29914190</v>
      </c>
      <c r="AL45" s="327">
        <f>+I45-AK45</f>
        <v>0</v>
      </c>
      <c r="AM45" s="327">
        <f t="shared" si="52"/>
        <v>254720</v>
      </c>
      <c r="AN45" s="329">
        <f aca="true" t="shared" si="55" ref="AN45:AN51">+AF45/I45</f>
        <v>0.9914849775307304</v>
      </c>
      <c r="AO45" s="329">
        <f>+AB45/M45</f>
        <v>1</v>
      </c>
      <c r="AP45" s="329">
        <f aca="true" t="shared" si="56" ref="AP45:AP51">+AC45/Q45</f>
        <v>1</v>
      </c>
      <c r="AQ45" s="329">
        <f aca="true" t="shared" si="57" ref="AQ45:AQ51">+AD45/V45</f>
        <v>1</v>
      </c>
      <c r="AR45" s="329">
        <f aca="true" t="shared" si="58" ref="AR45:AR51">+AE45/Z45</f>
        <v>0.9871471210600719</v>
      </c>
    </row>
    <row r="46" spans="1:44" ht="15" customHeight="1" hidden="1" outlineLevel="1">
      <c r="A46" s="363" t="s">
        <v>115</v>
      </c>
      <c r="B46" s="325">
        <v>121690566.845</v>
      </c>
      <c r="C46" s="346"/>
      <c r="D46" s="346"/>
      <c r="E46" s="346">
        <v>-9480000</v>
      </c>
      <c r="F46" s="346"/>
      <c r="G46" s="346"/>
      <c r="H46" s="624">
        <f>-4000000+240000</f>
        <v>-3760000</v>
      </c>
      <c r="I46" s="325">
        <f t="shared" si="48"/>
        <v>108450566.845</v>
      </c>
      <c r="J46" s="334">
        <v>13947860</v>
      </c>
      <c r="K46" s="334"/>
      <c r="L46" s="325">
        <v>-82</v>
      </c>
      <c r="M46" s="325">
        <f>SUM(J46:L46)</f>
        <v>13947778</v>
      </c>
      <c r="N46" s="334">
        <v>36343581</v>
      </c>
      <c r="O46" s="346"/>
      <c r="P46" s="325">
        <f>+AC46-N46-O46</f>
        <v>-6505317</v>
      </c>
      <c r="Q46" s="325">
        <f>+SUM(N46:P46)</f>
        <v>29838264</v>
      </c>
      <c r="R46" s="334">
        <v>36000000</v>
      </c>
      <c r="S46" s="334"/>
      <c r="T46" s="334"/>
      <c r="U46" s="334">
        <f t="shared" si="51"/>
        <v>-1410643</v>
      </c>
      <c r="V46" s="334">
        <f>+SUM(R46:U46)</f>
        <v>34589357</v>
      </c>
      <c r="W46" s="334">
        <f>33835167.845-4000000+240000</f>
        <v>30075167.845</v>
      </c>
      <c r="X46" s="334">
        <v>0</v>
      </c>
      <c r="Y46" s="364"/>
      <c r="Z46" s="326">
        <f>+SUM(W46:Y46)</f>
        <v>30075167.845</v>
      </c>
      <c r="AA46" s="325">
        <f>+M46+Q46+V46+Z46</f>
        <v>108450566.845</v>
      </c>
      <c r="AB46" s="460">
        <f>+'[4]ECO ENE-MAR-11'!$G$465</f>
        <v>13947778</v>
      </c>
      <c r="AC46" s="460">
        <f>+'[4]ECO ABR-JUN-11'!$G$504</f>
        <v>29838264</v>
      </c>
      <c r="AD46" s="460">
        <f>+'[4]ECO JUL-SEP-11'!$G$450</f>
        <v>34589357</v>
      </c>
      <c r="AE46" s="460">
        <f>+'[4]ECO OCT-DIC-11'!$G$586</f>
        <v>29924278</v>
      </c>
      <c r="AF46" s="460">
        <f>SUM(AB46:AE46)</f>
        <v>108299677</v>
      </c>
      <c r="AG46" s="325">
        <f>+M46-AB46</f>
        <v>0</v>
      </c>
      <c r="AH46" s="325">
        <f>+Q46-AC46</f>
        <v>0</v>
      </c>
      <c r="AI46" s="325">
        <f>+V46-AD46</f>
        <v>0</v>
      </c>
      <c r="AJ46" s="325">
        <f>+Z46-AE46</f>
        <v>150889.8449999988</v>
      </c>
      <c r="AK46" s="327">
        <f>+AA46</f>
        <v>108450566.845</v>
      </c>
      <c r="AL46" s="327">
        <f>+I46-AK46</f>
        <v>0</v>
      </c>
      <c r="AM46" s="327">
        <f t="shared" si="52"/>
        <v>150889.8449999988</v>
      </c>
      <c r="AN46" s="329">
        <f t="shared" si="55"/>
        <v>0.9986086762901327</v>
      </c>
      <c r="AO46" s="329">
        <f>+AB46/M46</f>
        <v>1</v>
      </c>
      <c r="AP46" s="329">
        <f t="shared" si="56"/>
        <v>1</v>
      </c>
      <c r="AQ46" s="329">
        <f t="shared" si="57"/>
        <v>1</v>
      </c>
      <c r="AR46" s="329">
        <f t="shared" si="58"/>
        <v>0.994982909296545</v>
      </c>
    </row>
    <row r="47" spans="1:44" ht="15" customHeight="1" hidden="1" outlineLevel="1">
      <c r="A47" s="363" t="s">
        <v>116</v>
      </c>
      <c r="B47" s="325">
        <v>41500000</v>
      </c>
      <c r="C47" s="346"/>
      <c r="D47" s="346"/>
      <c r="E47" s="346"/>
      <c r="F47" s="346"/>
      <c r="G47" s="346"/>
      <c r="H47" s="624">
        <v>-240000</v>
      </c>
      <c r="I47" s="325">
        <f t="shared" si="48"/>
        <v>41260000</v>
      </c>
      <c r="J47" s="334">
        <v>6500000</v>
      </c>
      <c r="K47" s="334"/>
      <c r="L47" s="325">
        <v>-206303</v>
      </c>
      <c r="M47" s="325">
        <f>SUM(J47:L47)</f>
        <v>6293697</v>
      </c>
      <c r="N47" s="334">
        <v>12000000</v>
      </c>
      <c r="O47" s="346"/>
      <c r="P47" s="325">
        <f>+AC47-N47-O47</f>
        <v>-2497211</v>
      </c>
      <c r="Q47" s="325">
        <f>+SUM(N47:P47)</f>
        <v>9502789</v>
      </c>
      <c r="R47" s="334">
        <v>14000000</v>
      </c>
      <c r="S47" s="334"/>
      <c r="T47" s="334"/>
      <c r="U47" s="334">
        <f t="shared" si="51"/>
        <v>-240399</v>
      </c>
      <c r="V47" s="334">
        <f>+SUM(R47:U47)</f>
        <v>13759601</v>
      </c>
      <c r="W47" s="334">
        <f>11943913-240000</f>
        <v>11703913</v>
      </c>
      <c r="X47" s="334">
        <v>0</v>
      </c>
      <c r="Y47" s="364"/>
      <c r="Z47" s="326">
        <f t="shared" si="54"/>
        <v>11703913</v>
      </c>
      <c r="AA47" s="325">
        <f>+M47+Q47+V47+Z47</f>
        <v>41260000</v>
      </c>
      <c r="AB47" s="460">
        <f>+'[4]ECO ENE-MAR-11'!$G$486</f>
        <v>6293697</v>
      </c>
      <c r="AC47" s="460">
        <f>+'[4]ECO ABR-JUN-11'!$G$539</f>
        <v>9502789</v>
      </c>
      <c r="AD47" s="460">
        <f>+'[4]ECO JUL-SEP-11'!$G$495</f>
        <v>13759601</v>
      </c>
      <c r="AE47" s="460">
        <f>+'[4]ECO OCT-DIC-11'!$G$629</f>
        <v>11675885</v>
      </c>
      <c r="AF47" s="460">
        <f>SUM(AB47:AE47)</f>
        <v>41231972</v>
      </c>
      <c r="AG47" s="325">
        <f>+M47-AB47</f>
        <v>0</v>
      </c>
      <c r="AH47" s="325">
        <f>+Q47-AC47</f>
        <v>0</v>
      </c>
      <c r="AI47" s="325">
        <f>+V47-AD47</f>
        <v>0</v>
      </c>
      <c r="AJ47" s="325">
        <f>+Z47-AE47</f>
        <v>28028</v>
      </c>
      <c r="AK47" s="327">
        <f>+AA47</f>
        <v>41260000</v>
      </c>
      <c r="AL47" s="327">
        <f>+I47-AK47</f>
        <v>0</v>
      </c>
      <c r="AM47" s="327">
        <f t="shared" si="52"/>
        <v>28028</v>
      </c>
      <c r="AN47" s="329">
        <f t="shared" si="55"/>
        <v>0.999320698012603</v>
      </c>
      <c r="AO47" s="329">
        <f>+AB47/M47</f>
        <v>1</v>
      </c>
      <c r="AP47" s="329">
        <f t="shared" si="56"/>
        <v>1</v>
      </c>
      <c r="AQ47" s="329">
        <f t="shared" si="57"/>
        <v>1</v>
      </c>
      <c r="AR47" s="329">
        <f t="shared" si="58"/>
        <v>0.9976052453568307</v>
      </c>
    </row>
    <row r="48" spans="1:45" ht="15" customHeight="1" collapsed="1">
      <c r="A48" s="360" t="s">
        <v>88</v>
      </c>
      <c r="B48" s="323">
        <f>SUM(B49:B51)</f>
        <v>106635767.4</v>
      </c>
      <c r="C48" s="323">
        <f>SUM(C49:C51)</f>
        <v>0</v>
      </c>
      <c r="D48" s="323">
        <f>SUM(D49:D51)</f>
        <v>0</v>
      </c>
      <c r="E48" s="323">
        <f>SUM(E49:E51)</f>
        <v>0</v>
      </c>
      <c r="F48" s="323">
        <f>SUM(F49:F51)</f>
        <v>15000000</v>
      </c>
      <c r="G48" s="365"/>
      <c r="H48" s="365"/>
      <c r="I48" s="352">
        <f>SUM(I49:I51)</f>
        <v>121635767.4</v>
      </c>
      <c r="J48" s="352">
        <f>SUM(J49:J51)</f>
        <v>23432928</v>
      </c>
      <c r="K48" s="352"/>
      <c r="L48" s="352">
        <f>SUM(L49:L51)</f>
        <v>-5415096</v>
      </c>
      <c r="M48" s="352">
        <f>SUM(M49:M52)</f>
        <v>18017832</v>
      </c>
      <c r="N48" s="352">
        <f>SUM(N49:N52)</f>
        <v>34080319</v>
      </c>
      <c r="O48" s="365">
        <f>SUM(O49:O51)</f>
        <v>0</v>
      </c>
      <c r="P48" s="365">
        <f>SUM(P49:P51)</f>
        <v>-496164</v>
      </c>
      <c r="Q48" s="352">
        <f aca="true" t="shared" si="59" ref="Q48:X48">SUM(Q49:Q52)</f>
        <v>33584155</v>
      </c>
      <c r="R48" s="352">
        <f t="shared" si="59"/>
        <v>33916366</v>
      </c>
      <c r="S48" s="352">
        <f t="shared" si="59"/>
        <v>0</v>
      </c>
      <c r="T48" s="352"/>
      <c r="U48" s="352">
        <f t="shared" si="59"/>
        <v>-11493555</v>
      </c>
      <c r="V48" s="352">
        <f t="shared" si="59"/>
        <v>22422811</v>
      </c>
      <c r="W48" s="352">
        <f>SUM(W49:W52)</f>
        <v>47610969.400000006</v>
      </c>
      <c r="X48" s="352">
        <f t="shared" si="59"/>
        <v>0</v>
      </c>
      <c r="Y48" s="352"/>
      <c r="Z48" s="352">
        <f aca="true" t="shared" si="60" ref="Z48:AM48">SUM(Z49:Z52)</f>
        <v>47610969.400000006</v>
      </c>
      <c r="AA48" s="352">
        <f t="shared" si="60"/>
        <v>121635767.4</v>
      </c>
      <c r="AB48" s="463">
        <f t="shared" si="60"/>
        <v>18017832</v>
      </c>
      <c r="AC48" s="463">
        <f t="shared" si="60"/>
        <v>33584155</v>
      </c>
      <c r="AD48" s="463">
        <f t="shared" si="60"/>
        <v>22422811</v>
      </c>
      <c r="AE48" s="463">
        <f t="shared" si="60"/>
        <v>47610968.95</v>
      </c>
      <c r="AF48" s="463">
        <f>SUM(AF49:AF52)</f>
        <v>121635766.95</v>
      </c>
      <c r="AG48" s="352">
        <f t="shared" si="60"/>
        <v>0</v>
      </c>
      <c r="AH48" s="352">
        <f t="shared" si="60"/>
        <v>0</v>
      </c>
      <c r="AI48" s="352">
        <f t="shared" si="60"/>
        <v>0</v>
      </c>
      <c r="AJ48" s="352">
        <f>SUM(AJ49:AJ52)</f>
        <v>0.45000000670552254</v>
      </c>
      <c r="AK48" s="352">
        <f t="shared" si="60"/>
        <v>121635767.4</v>
      </c>
      <c r="AL48" s="352">
        <f t="shared" si="60"/>
        <v>0</v>
      </c>
      <c r="AM48" s="352">
        <f t="shared" si="60"/>
        <v>0.45000000670552254</v>
      </c>
      <c r="AN48" s="361">
        <f t="shared" si="55"/>
        <v>0.9999999963004302</v>
      </c>
      <c r="AO48" s="361">
        <f>+AB48/M48</f>
        <v>1</v>
      </c>
      <c r="AP48" s="361">
        <f t="shared" si="56"/>
        <v>1</v>
      </c>
      <c r="AQ48" s="361">
        <f t="shared" si="57"/>
        <v>1</v>
      </c>
      <c r="AR48" s="361">
        <f t="shared" si="58"/>
        <v>0.9999999905483965</v>
      </c>
      <c r="AS48" s="362"/>
    </row>
    <row r="49" spans="1:44" ht="15" customHeight="1" hidden="1" outlineLevel="1">
      <c r="A49" s="363" t="s">
        <v>89</v>
      </c>
      <c r="B49" s="325">
        <v>35349600</v>
      </c>
      <c r="C49" s="346"/>
      <c r="D49" s="346"/>
      <c r="E49" s="346"/>
      <c r="F49" s="346"/>
      <c r="G49" s="346"/>
      <c r="H49" s="346"/>
      <c r="I49" s="325">
        <f>SUM(B49:H49)</f>
        <v>35349600</v>
      </c>
      <c r="J49" s="334">
        <v>8837400</v>
      </c>
      <c r="K49" s="334"/>
      <c r="L49" s="325">
        <v>0</v>
      </c>
      <c r="M49" s="325">
        <f>SUM(J49:L49)</f>
        <v>8837400</v>
      </c>
      <c r="N49" s="334">
        <v>8837400</v>
      </c>
      <c r="O49" s="346"/>
      <c r="P49" s="325">
        <f>+AC49-N49-O49</f>
        <v>0</v>
      </c>
      <c r="Q49" s="325">
        <f>+SUM(N49:P49)</f>
        <v>8837400</v>
      </c>
      <c r="R49" s="334">
        <v>8837400</v>
      </c>
      <c r="S49" s="334"/>
      <c r="T49" s="334"/>
      <c r="U49" s="334">
        <f>-R49+AD49</f>
        <v>-2945800</v>
      </c>
      <c r="V49" s="334">
        <f>+SUM(R49:U49)</f>
        <v>5891600</v>
      </c>
      <c r="W49" s="334">
        <v>11783200</v>
      </c>
      <c r="X49" s="334"/>
      <c r="Y49" s="364"/>
      <c r="Z49" s="326">
        <f t="shared" si="54"/>
        <v>11783200</v>
      </c>
      <c r="AA49" s="325">
        <f>+M49+Q49+V49+Z49</f>
        <v>35349600</v>
      </c>
      <c r="AB49" s="460">
        <f>+'[4]ECO ENE-MAR-11'!$G$510</f>
        <v>8837400</v>
      </c>
      <c r="AC49" s="460">
        <f>+'[4]ECO ABR-JUN-11'!$G$562</f>
        <v>8837400</v>
      </c>
      <c r="AD49" s="460">
        <f>+'[4]ECO JUL-SEP-11'!$G$521</f>
        <v>5891600</v>
      </c>
      <c r="AE49" s="460">
        <f>+'[4]ECO OCT-DIC-11'!$G$650</f>
        <v>11783200</v>
      </c>
      <c r="AF49" s="460">
        <f>SUM(AB49:AE49)</f>
        <v>35349600</v>
      </c>
      <c r="AG49" s="325">
        <f>+M49-AB49</f>
        <v>0</v>
      </c>
      <c r="AH49" s="325">
        <f>+Q49-AC49</f>
        <v>0</v>
      </c>
      <c r="AI49" s="325">
        <f>+V49-AD49</f>
        <v>0</v>
      </c>
      <c r="AJ49" s="325">
        <f>+Z49-AE49</f>
        <v>0</v>
      </c>
      <c r="AK49" s="327">
        <f>+AA49</f>
        <v>35349600</v>
      </c>
      <c r="AL49" s="366">
        <f>+I49-AK49</f>
        <v>0</v>
      </c>
      <c r="AM49" s="327">
        <f>+AK49-AF49</f>
        <v>0</v>
      </c>
      <c r="AN49" s="329">
        <f t="shared" si="55"/>
        <v>1</v>
      </c>
      <c r="AO49" s="329">
        <f>+AB49/M49</f>
        <v>1</v>
      </c>
      <c r="AP49" s="329">
        <f t="shared" si="56"/>
        <v>1</v>
      </c>
      <c r="AQ49" s="329">
        <f t="shared" si="57"/>
        <v>1</v>
      </c>
      <c r="AR49" s="329">
        <f t="shared" si="58"/>
        <v>1</v>
      </c>
    </row>
    <row r="50" spans="1:44" ht="15" customHeight="1" hidden="1" outlineLevel="1">
      <c r="A50" s="363" t="s">
        <v>90</v>
      </c>
      <c r="B50" s="325">
        <v>15000000</v>
      </c>
      <c r="C50" s="346"/>
      <c r="D50" s="346"/>
      <c r="E50" s="346"/>
      <c r="F50" s="346">
        <v>15000000</v>
      </c>
      <c r="G50" s="346"/>
      <c r="H50" s="346"/>
      <c r="I50" s="325">
        <f>SUM(B50:H50)</f>
        <v>30000000</v>
      </c>
      <c r="J50" s="334">
        <v>5000000</v>
      </c>
      <c r="K50" s="334"/>
      <c r="L50" s="325">
        <v>-5000000</v>
      </c>
      <c r="M50" s="325">
        <f>SUM(J50:L50)</f>
        <v>0</v>
      </c>
      <c r="N50" s="334">
        <f>15000000-4590216</f>
        <v>10409784</v>
      </c>
      <c r="O50" s="346"/>
      <c r="P50" s="325">
        <f>+AC50-N50-O50</f>
        <v>0</v>
      </c>
      <c r="Q50" s="325">
        <f>+SUM(N50:P50)</f>
        <v>10409784</v>
      </c>
      <c r="R50" s="334">
        <v>4590216</v>
      </c>
      <c r="S50" s="334"/>
      <c r="T50" s="334"/>
      <c r="U50" s="334">
        <f>-R50+AD50</f>
        <v>-3267559</v>
      </c>
      <c r="V50" s="334">
        <f>+SUM(R50:U50)</f>
        <v>1322657</v>
      </c>
      <c r="W50" s="334">
        <v>18267559</v>
      </c>
      <c r="X50" s="334"/>
      <c r="Y50" s="364"/>
      <c r="Z50" s="326">
        <f t="shared" si="54"/>
        <v>18267559</v>
      </c>
      <c r="AA50" s="325">
        <f>+M50+Q50+V50+Z50</f>
        <v>30000000</v>
      </c>
      <c r="AB50" s="460">
        <f>+'[4]ECO ENE-MAR-11'!$G$516</f>
        <v>0</v>
      </c>
      <c r="AC50" s="460">
        <f>+'[4]ECO ABR-JUN-11'!$G$569</f>
        <v>10409784</v>
      </c>
      <c r="AD50" s="460">
        <f>+'[4]ECO JUL-SEP-11'!$G$527</f>
        <v>1322657</v>
      </c>
      <c r="AE50" s="460">
        <f>+'[4]ECO OCT-DIC-11'!$G$659</f>
        <v>18267558.95</v>
      </c>
      <c r="AF50" s="460">
        <f>SUM(AB50:AE50)</f>
        <v>29999999.95</v>
      </c>
      <c r="AG50" s="325">
        <f>+M50-AB50</f>
        <v>0</v>
      </c>
      <c r="AH50" s="325">
        <f>+Q50-AC50</f>
        <v>0</v>
      </c>
      <c r="AI50" s="325">
        <f>+V50-AD50</f>
        <v>0</v>
      </c>
      <c r="AJ50" s="325">
        <f>+Z50-AE50</f>
        <v>0.05000000074505806</v>
      </c>
      <c r="AK50" s="327">
        <f>+AA50</f>
        <v>30000000</v>
      </c>
      <c r="AL50" s="366">
        <f>+I50-AK50</f>
        <v>0</v>
      </c>
      <c r="AM50" s="327">
        <f>+AK50-AF50</f>
        <v>0.05000000074505806</v>
      </c>
      <c r="AN50" s="329">
        <f t="shared" si="55"/>
        <v>0.9999999983333333</v>
      </c>
      <c r="AO50" s="329">
        <v>0</v>
      </c>
      <c r="AP50" s="329">
        <f t="shared" si="56"/>
        <v>1</v>
      </c>
      <c r="AQ50" s="329">
        <f t="shared" si="57"/>
        <v>1</v>
      </c>
      <c r="AR50" s="329">
        <f t="shared" si="58"/>
        <v>0.9999999972629073</v>
      </c>
    </row>
    <row r="51" spans="1:44" ht="15" customHeight="1" hidden="1" outlineLevel="1">
      <c r="A51" s="363" t="s">
        <v>188</v>
      </c>
      <c r="B51" s="325">
        <v>56286167.400000006</v>
      </c>
      <c r="C51" s="346"/>
      <c r="D51" s="346"/>
      <c r="E51" s="346"/>
      <c r="F51" s="346"/>
      <c r="G51" s="346"/>
      <c r="H51" s="346"/>
      <c r="I51" s="325">
        <f>SUM(B51:H51)</f>
        <v>56286167.400000006</v>
      </c>
      <c r="J51" s="334">
        <v>9595528</v>
      </c>
      <c r="K51" s="334"/>
      <c r="L51" s="325">
        <v>-415096</v>
      </c>
      <c r="M51" s="325">
        <f>SUM(J51:L51)</f>
        <v>9180432</v>
      </c>
      <c r="N51" s="334">
        <f>10242919+4590216</f>
        <v>14833135</v>
      </c>
      <c r="O51" s="346"/>
      <c r="P51" s="325">
        <f>+AC51-N51-O51</f>
        <v>-496164</v>
      </c>
      <c r="Q51" s="325">
        <f>+SUM(N51:P51)</f>
        <v>14336971</v>
      </c>
      <c r="R51" s="334">
        <v>20488750</v>
      </c>
      <c r="S51" s="334"/>
      <c r="T51" s="334"/>
      <c r="U51" s="334">
        <f>-R51+AD51</f>
        <v>-5280196</v>
      </c>
      <c r="V51" s="334">
        <f>+SUM(R51:U51)</f>
        <v>15208554</v>
      </c>
      <c r="W51" s="334">
        <v>17560210.400000006</v>
      </c>
      <c r="X51" s="334"/>
      <c r="Y51" s="364"/>
      <c r="Z51" s="326">
        <f t="shared" si="54"/>
        <v>17560210.400000006</v>
      </c>
      <c r="AA51" s="325">
        <f>+M51+Q51+V51+Z51</f>
        <v>56286167.400000006</v>
      </c>
      <c r="AB51" s="460">
        <f>+'[4]ECO ENE-MAR-11'!$G$521</f>
        <v>9180432</v>
      </c>
      <c r="AC51" s="460">
        <f>+'[4]ECO ABR-JUN-11'!$G$575</f>
        <v>14336971</v>
      </c>
      <c r="AD51" s="460">
        <f>+'[4]ECO JUL-SEP-11'!$G$532</f>
        <v>15208554</v>
      </c>
      <c r="AE51" s="460">
        <f>+'[4]ECO OCT-DIC-11'!$G$672</f>
        <v>17560210</v>
      </c>
      <c r="AF51" s="460">
        <f>SUM(AB51:AE51)</f>
        <v>56286167</v>
      </c>
      <c r="AG51" s="325">
        <f>+M51-AB51</f>
        <v>0</v>
      </c>
      <c r="AH51" s="325">
        <f>+Q51-AC51</f>
        <v>0</v>
      </c>
      <c r="AI51" s="325">
        <f>+V51-AD51</f>
        <v>0</v>
      </c>
      <c r="AJ51" s="325">
        <f>+Z51-AE51</f>
        <v>0.4000000059604645</v>
      </c>
      <c r="AK51" s="327">
        <f>+AA51</f>
        <v>56286167.400000006</v>
      </c>
      <c r="AL51" s="366">
        <f>+I51-AK51</f>
        <v>0</v>
      </c>
      <c r="AM51" s="327">
        <f>+AK51-AF51</f>
        <v>0.4000000059604645</v>
      </c>
      <c r="AN51" s="329">
        <f t="shared" si="55"/>
        <v>0.9999999928934581</v>
      </c>
      <c r="AO51" s="329">
        <f>+AB51/M51</f>
        <v>1</v>
      </c>
      <c r="AP51" s="329">
        <f t="shared" si="56"/>
        <v>1</v>
      </c>
      <c r="AQ51" s="329">
        <f t="shared" si="57"/>
        <v>1</v>
      </c>
      <c r="AR51" s="329">
        <f t="shared" si="58"/>
        <v>0.9999999772212294</v>
      </c>
    </row>
    <row r="52" spans="1:44" ht="15" customHeight="1" hidden="1" outlineLevel="1">
      <c r="A52" s="363"/>
      <c r="B52" s="325"/>
      <c r="C52" s="346"/>
      <c r="D52" s="346"/>
      <c r="E52" s="346"/>
      <c r="F52" s="346"/>
      <c r="G52" s="346"/>
      <c r="H52" s="346"/>
      <c r="I52" s="325"/>
      <c r="J52" s="334"/>
      <c r="K52" s="334"/>
      <c r="L52" s="325"/>
      <c r="M52" s="325"/>
      <c r="N52" s="334">
        <v>0</v>
      </c>
      <c r="O52" s="346"/>
      <c r="P52" s="325">
        <f>+AC52-N52-O52</f>
        <v>0</v>
      </c>
      <c r="Q52" s="325"/>
      <c r="R52" s="334"/>
      <c r="S52" s="334"/>
      <c r="T52" s="334"/>
      <c r="U52" s="334"/>
      <c r="V52" s="334"/>
      <c r="W52" s="334"/>
      <c r="X52" s="334"/>
      <c r="Y52" s="364"/>
      <c r="Z52" s="326"/>
      <c r="AA52" s="325"/>
      <c r="AB52" s="460"/>
      <c r="AC52" s="460"/>
      <c r="AD52" s="460"/>
      <c r="AE52" s="460"/>
      <c r="AF52" s="460"/>
      <c r="AG52" s="325"/>
      <c r="AH52" s="333"/>
      <c r="AI52" s="325"/>
      <c r="AJ52" s="333"/>
      <c r="AK52" s="334"/>
      <c r="AL52" s="366">
        <f>+I52-AK52</f>
        <v>0</v>
      </c>
      <c r="AM52" s="334"/>
      <c r="AN52" s="329"/>
      <c r="AO52" s="329"/>
      <c r="AP52" s="329"/>
      <c r="AQ52" s="329"/>
      <c r="AR52" s="329"/>
    </row>
    <row r="53" spans="1:45" ht="15" customHeight="1" collapsed="1">
      <c r="A53" s="360" t="s">
        <v>91</v>
      </c>
      <c r="B53" s="323">
        <f>+SUM(B54:B57)</f>
        <v>184955619.13</v>
      </c>
      <c r="C53" s="323">
        <f>+SUM(C54:C57)</f>
        <v>0</v>
      </c>
      <c r="D53" s="323">
        <f>+SUM(D54:D57)</f>
        <v>0</v>
      </c>
      <c r="E53" s="323">
        <f>+SUM(E54:E57)</f>
        <v>20000000</v>
      </c>
      <c r="F53" s="323">
        <f>+SUM(F54:F57)</f>
        <v>6000000</v>
      </c>
      <c r="G53" s="323"/>
      <c r="H53" s="323"/>
      <c r="I53" s="323">
        <f>+SUM(I54:I57)</f>
        <v>210955619.13</v>
      </c>
      <c r="J53" s="323">
        <f>+SUM(J54:J57)</f>
        <v>89732217</v>
      </c>
      <c r="K53" s="323"/>
      <c r="L53" s="323">
        <f aca="true" t="shared" si="61" ref="L53:X53">+SUM(L54:L57)</f>
        <v>-7633468</v>
      </c>
      <c r="M53" s="323">
        <f t="shared" si="61"/>
        <v>82098749</v>
      </c>
      <c r="N53" s="323">
        <f t="shared" si="61"/>
        <v>49882322</v>
      </c>
      <c r="O53" s="323">
        <f t="shared" si="61"/>
        <v>0</v>
      </c>
      <c r="P53" s="323">
        <f t="shared" si="61"/>
        <v>-1173767</v>
      </c>
      <c r="Q53" s="323">
        <f t="shared" si="61"/>
        <v>48708555</v>
      </c>
      <c r="R53" s="323">
        <f t="shared" si="61"/>
        <v>42173626</v>
      </c>
      <c r="S53" s="323">
        <f t="shared" si="61"/>
        <v>0</v>
      </c>
      <c r="T53" s="323"/>
      <c r="U53" s="323">
        <f t="shared" si="61"/>
        <v>-203583</v>
      </c>
      <c r="V53" s="323">
        <f t="shared" si="61"/>
        <v>41970043</v>
      </c>
      <c r="W53" s="323">
        <f t="shared" si="61"/>
        <v>38178272.13</v>
      </c>
      <c r="X53" s="323">
        <f t="shared" si="61"/>
        <v>0</v>
      </c>
      <c r="Y53" s="323"/>
      <c r="Z53" s="323">
        <f aca="true" t="shared" si="62" ref="Z53:AM53">+SUM(Z54:Z57)</f>
        <v>38178272.13</v>
      </c>
      <c r="AA53" s="323">
        <f t="shared" si="62"/>
        <v>210955619.13</v>
      </c>
      <c r="AB53" s="463">
        <f t="shared" si="62"/>
        <v>82098749</v>
      </c>
      <c r="AC53" s="463">
        <f t="shared" si="62"/>
        <v>48708555</v>
      </c>
      <c r="AD53" s="463">
        <f t="shared" si="62"/>
        <v>41970043</v>
      </c>
      <c r="AE53" s="463">
        <f t="shared" si="62"/>
        <v>29815593</v>
      </c>
      <c r="AF53" s="463">
        <f>+SUM(AF54:AF57)</f>
        <v>202592940</v>
      </c>
      <c r="AG53" s="352">
        <f t="shared" si="62"/>
        <v>0</v>
      </c>
      <c r="AH53" s="352">
        <f t="shared" si="62"/>
        <v>0</v>
      </c>
      <c r="AI53" s="352">
        <f t="shared" si="62"/>
        <v>0</v>
      </c>
      <c r="AJ53" s="352">
        <f>+SUM(AJ54:AJ57)</f>
        <v>8362679.130000001</v>
      </c>
      <c r="AK53" s="352">
        <f t="shared" si="62"/>
        <v>210955619.13</v>
      </c>
      <c r="AL53" s="352">
        <f t="shared" si="62"/>
        <v>0</v>
      </c>
      <c r="AM53" s="352">
        <f t="shared" si="62"/>
        <v>362679.1300000027</v>
      </c>
      <c r="AN53" s="361">
        <f>+AF53/I53</f>
        <v>0.9603581115094804</v>
      </c>
      <c r="AO53" s="361">
        <f>+AB53/M53</f>
        <v>1</v>
      </c>
      <c r="AP53" s="361">
        <f>+AC53/Q53</f>
        <v>1</v>
      </c>
      <c r="AQ53" s="361">
        <f>+AD53/V53</f>
        <v>1</v>
      </c>
      <c r="AR53" s="361">
        <f>+AE53/Z53</f>
        <v>0.7809571082335935</v>
      </c>
      <c r="AS53" s="362"/>
    </row>
    <row r="54" spans="1:44" ht="15" customHeight="1" hidden="1" outlineLevel="1">
      <c r="A54" s="363" t="s">
        <v>92</v>
      </c>
      <c r="B54" s="325">
        <f>88637350-3480103</f>
        <v>85157247</v>
      </c>
      <c r="C54" s="346"/>
      <c r="D54" s="346"/>
      <c r="E54" s="346"/>
      <c r="F54" s="346"/>
      <c r="G54" s="346"/>
      <c r="H54" s="346"/>
      <c r="I54" s="325">
        <f>SUM(B54:H54)</f>
        <v>85157247</v>
      </c>
      <c r="J54" s="334">
        <v>31384580</v>
      </c>
      <c r="K54" s="334"/>
      <c r="L54" s="325">
        <v>-3575110</v>
      </c>
      <c r="M54" s="325">
        <f>SUM(J54:L54)</f>
        <v>27809470</v>
      </c>
      <c r="N54" s="334">
        <v>19084257</v>
      </c>
      <c r="O54" s="346"/>
      <c r="P54" s="325">
        <f>+AC54-N54-O54</f>
        <v>-2605</v>
      </c>
      <c r="Q54" s="325">
        <f>+SUM(N54:P54)</f>
        <v>19081652</v>
      </c>
      <c r="R54" s="334">
        <v>19030257</v>
      </c>
      <c r="S54" s="334"/>
      <c r="T54" s="334"/>
      <c r="U54" s="334">
        <f>-R54+AD54</f>
        <v>-2180</v>
      </c>
      <c r="V54" s="334">
        <f>+SUM(R54:U54)</f>
        <v>19028077</v>
      </c>
      <c r="W54" s="334">
        <v>19238048</v>
      </c>
      <c r="X54" s="334"/>
      <c r="Y54" s="364"/>
      <c r="Z54" s="326">
        <f>+SUM(W54:Y54)</f>
        <v>19238048</v>
      </c>
      <c r="AA54" s="325">
        <f>+M54+Q54+V54+Z54</f>
        <v>85157247</v>
      </c>
      <c r="AB54" s="460">
        <f>+'[4]ECO ENE-MAR-11'!$G$535</f>
        <v>27809470</v>
      </c>
      <c r="AC54" s="460">
        <f>+'[4]ECO ABR-JUN-11'!$G$592</f>
        <v>19081652</v>
      </c>
      <c r="AD54" s="460">
        <f>+'[4]ECO JUL-SEP-11'!$G$546</f>
        <v>19028077</v>
      </c>
      <c r="AE54" s="460">
        <f>+'[4]ECO OCT-DIC-11'!$G$690</f>
        <v>18956867</v>
      </c>
      <c r="AF54" s="460">
        <f>SUM(AB54:AE54)</f>
        <v>84876066</v>
      </c>
      <c r="AG54" s="325">
        <f>+M54-AB54</f>
        <v>0</v>
      </c>
      <c r="AH54" s="325">
        <f>+Q54-AC54</f>
        <v>0</v>
      </c>
      <c r="AI54" s="325">
        <f>+V54-AD54</f>
        <v>0</v>
      </c>
      <c r="AJ54" s="325">
        <f>+Z54-AE54</f>
        <v>281181</v>
      </c>
      <c r="AK54" s="327">
        <f>+AA54</f>
        <v>85157247</v>
      </c>
      <c r="AL54" s="327">
        <f>+I54-AK54</f>
        <v>0</v>
      </c>
      <c r="AM54" s="327">
        <f>+AK54-AF54</f>
        <v>281181</v>
      </c>
      <c r="AN54" s="329">
        <f>+AF54/I54</f>
        <v>0.9966980966399724</v>
      </c>
      <c r="AO54" s="329">
        <f>+AB54/M54</f>
        <v>1</v>
      </c>
      <c r="AP54" s="329">
        <f>+AC54/Q54</f>
        <v>1</v>
      </c>
      <c r="AQ54" s="329">
        <f>+AD54/V54</f>
        <v>1</v>
      </c>
      <c r="AR54" s="329">
        <f>+AE54/Z54</f>
        <v>0.9853841200520967</v>
      </c>
    </row>
    <row r="55" spans="1:44" ht="15" customHeight="1" hidden="1" outlineLevel="1">
      <c r="A55" s="363" t="s">
        <v>93</v>
      </c>
      <c r="B55" s="325">
        <f>34693269.13-3450000</f>
        <v>31243269.130000003</v>
      </c>
      <c r="C55" s="346"/>
      <c r="D55" s="346"/>
      <c r="E55" s="325"/>
      <c r="F55" s="325"/>
      <c r="G55" s="325"/>
      <c r="H55" s="325">
        <v>-1300000</v>
      </c>
      <c r="I55" s="325">
        <f>SUM(B55:H55)</f>
        <v>29943269.130000003</v>
      </c>
      <c r="J55" s="334">
        <v>13743882</v>
      </c>
      <c r="K55" s="334"/>
      <c r="L55" s="325">
        <v>-3495510</v>
      </c>
      <c r="M55" s="325">
        <f>SUM(J55:L55)</f>
        <v>10248372</v>
      </c>
      <c r="N55" s="334">
        <v>6143369</v>
      </c>
      <c r="O55" s="346"/>
      <c r="P55" s="325">
        <f>+AC55-N55-O55</f>
        <v>-1171080</v>
      </c>
      <c r="Q55" s="325">
        <f>+SUM(N55:P55)</f>
        <v>4972289</v>
      </c>
      <c r="R55" s="334">
        <v>6143369</v>
      </c>
      <c r="S55" s="334"/>
      <c r="T55" s="334"/>
      <c r="U55" s="334">
        <f>-R55+AD55</f>
        <v>-194080</v>
      </c>
      <c r="V55" s="334">
        <f>+SUM(R55:U55)</f>
        <v>5949289</v>
      </c>
      <c r="W55" s="334">
        <f>10073319.13-1300000</f>
        <v>8773319.13</v>
      </c>
      <c r="X55" s="334"/>
      <c r="Y55" s="364"/>
      <c r="Z55" s="326">
        <f>+SUM(W55:Y55)</f>
        <v>8773319.13</v>
      </c>
      <c r="AA55" s="325">
        <f>+M55+Q55+V55+Z55</f>
        <v>29943269.130000003</v>
      </c>
      <c r="AB55" s="460">
        <f>+'[4]ECO ENE-MAR-11'!$G$589</f>
        <v>10248372</v>
      </c>
      <c r="AC55" s="460">
        <f>+'[4]ECO ABR-JUN-11'!$G$637</f>
        <v>4972289</v>
      </c>
      <c r="AD55" s="460">
        <f>+'[4]ECO JUL-SEP-11'!$G$589</f>
        <v>5949289</v>
      </c>
      <c r="AE55" s="460">
        <f>+'[4]ECO OCT-DIC-11'!$G$735</f>
        <v>8710303</v>
      </c>
      <c r="AF55" s="460">
        <f>SUM(AB55:AE55)</f>
        <v>29880253</v>
      </c>
      <c r="AG55" s="325">
        <f>+M55-AB55</f>
        <v>0</v>
      </c>
      <c r="AH55" s="325">
        <f>+Q55-AC55</f>
        <v>0</v>
      </c>
      <c r="AI55" s="325">
        <f>+V55-AD55</f>
        <v>0</v>
      </c>
      <c r="AJ55" s="325">
        <f>+Z55-AE55</f>
        <v>63016.13000000082</v>
      </c>
      <c r="AK55" s="327">
        <f>+AA55</f>
        <v>29943269.130000003</v>
      </c>
      <c r="AL55" s="327">
        <f>+I55-AK55</f>
        <v>0</v>
      </c>
      <c r="AM55" s="327">
        <f>+AK55-AF55</f>
        <v>63016.13000000268</v>
      </c>
      <c r="AN55" s="329">
        <f>+AF55/I55</f>
        <v>0.9978954826299555</v>
      </c>
      <c r="AO55" s="329">
        <f>+AB55/M55</f>
        <v>1</v>
      </c>
      <c r="AP55" s="329">
        <f>+AC55/Q55</f>
        <v>1</v>
      </c>
      <c r="AQ55" s="329">
        <f>+AD55/V55</f>
        <v>1</v>
      </c>
      <c r="AR55" s="329">
        <f>+AE55/Z55</f>
        <v>0.9928172987821086</v>
      </c>
    </row>
    <row r="56" spans="1:44" ht="15" customHeight="1" hidden="1" outlineLevel="1">
      <c r="A56" s="363" t="s">
        <v>305</v>
      </c>
      <c r="B56" s="325"/>
      <c r="C56" s="346"/>
      <c r="D56" s="346"/>
      <c r="E56" s="346"/>
      <c r="F56" s="346"/>
      <c r="G56" s="346"/>
      <c r="H56" s="346">
        <v>8000000</v>
      </c>
      <c r="I56" s="325">
        <f>SUM(B56:H56)</f>
        <v>8000000</v>
      </c>
      <c r="J56" s="334"/>
      <c r="K56" s="334"/>
      <c r="L56" s="325"/>
      <c r="M56" s="325">
        <f>SUM(J56:L56)</f>
        <v>0</v>
      </c>
      <c r="N56" s="334"/>
      <c r="O56" s="346"/>
      <c r="P56" s="325"/>
      <c r="Q56" s="325">
        <f>+SUM(N56:P56)</f>
        <v>0</v>
      </c>
      <c r="R56" s="334"/>
      <c r="S56" s="334"/>
      <c r="T56" s="334"/>
      <c r="U56" s="334"/>
      <c r="V56" s="334">
        <f>+SUM(R56:U56)</f>
        <v>0</v>
      </c>
      <c r="W56" s="334">
        <v>8000000</v>
      </c>
      <c r="X56" s="334"/>
      <c r="Y56" s="364"/>
      <c r="Z56" s="326">
        <f>+SUM(W56:Y56)</f>
        <v>8000000</v>
      </c>
      <c r="AA56" s="325">
        <f>+M56+Q56+V56+Z56</f>
        <v>8000000</v>
      </c>
      <c r="AB56" s="460"/>
      <c r="AC56" s="460"/>
      <c r="AD56" s="460"/>
      <c r="AE56" s="460">
        <f>+'[4]ECO OCT-DIC-11'!$G$750</f>
        <v>0</v>
      </c>
      <c r="AF56" s="460">
        <f>SUM(AB56:AE56)</f>
        <v>0</v>
      </c>
      <c r="AG56" s="325">
        <f>+M56-AB56</f>
        <v>0</v>
      </c>
      <c r="AH56" s="325">
        <f>+Q56-AC56</f>
        <v>0</v>
      </c>
      <c r="AI56" s="325">
        <f>+V56-AD56</f>
        <v>0</v>
      </c>
      <c r="AJ56" s="325">
        <f>+Z56-AE56</f>
        <v>8000000</v>
      </c>
      <c r="AK56" s="327">
        <f>+AA56</f>
        <v>8000000</v>
      </c>
      <c r="AL56" s="327"/>
      <c r="AM56" s="327"/>
      <c r="AN56" s="329"/>
      <c r="AO56" s="329"/>
      <c r="AP56" s="329"/>
      <c r="AQ56" s="329"/>
      <c r="AR56" s="329"/>
    </row>
    <row r="57" spans="1:44" ht="15" customHeight="1" hidden="1" outlineLevel="1">
      <c r="A57" s="363" t="s">
        <v>187</v>
      </c>
      <c r="B57" s="325">
        <f>61625000+3480103+3450000</f>
        <v>68555103</v>
      </c>
      <c r="C57" s="346"/>
      <c r="D57" s="346"/>
      <c r="E57" s="346">
        <v>20000000</v>
      </c>
      <c r="F57" s="346">
        <v>6000000</v>
      </c>
      <c r="G57" s="346"/>
      <c r="H57" s="346">
        <v>-6700000</v>
      </c>
      <c r="I57" s="325">
        <f>SUM(B57:H57)</f>
        <v>87855103</v>
      </c>
      <c r="J57" s="334">
        <v>44603755</v>
      </c>
      <c r="K57" s="334"/>
      <c r="L57" s="325">
        <v>-562848</v>
      </c>
      <c r="M57" s="325">
        <f>SUM(J57:L57)</f>
        <v>44040907</v>
      </c>
      <c r="N57" s="334">
        <v>24654696</v>
      </c>
      <c r="O57" s="346"/>
      <c r="P57" s="325">
        <f>+AC57-N57-O57</f>
        <v>-82</v>
      </c>
      <c r="Q57" s="325">
        <f>+SUM(N57:P57)</f>
        <v>24654614</v>
      </c>
      <c r="R57" s="334">
        <v>17000000</v>
      </c>
      <c r="S57" s="334"/>
      <c r="T57" s="334"/>
      <c r="U57" s="334">
        <f>-R57+AD57</f>
        <v>-7323</v>
      </c>
      <c r="V57" s="334">
        <f>+SUM(R57:U57)</f>
        <v>16992677</v>
      </c>
      <c r="W57" s="334">
        <f>8866905-6700000</f>
        <v>2166905</v>
      </c>
      <c r="X57" s="334"/>
      <c r="Y57" s="364"/>
      <c r="Z57" s="326">
        <f>+SUM(W57:Y57)</f>
        <v>2166905</v>
      </c>
      <c r="AA57" s="325">
        <f>+M57+Q57+V57+Z57</f>
        <v>87855103</v>
      </c>
      <c r="AB57" s="460">
        <f>+'[4]ECO ENE-MAR-11'!$G$604</f>
        <v>44040907</v>
      </c>
      <c r="AC57" s="460">
        <f>+'[4]ECO ABR-JUN-11'!$G$652</f>
        <v>24654614</v>
      </c>
      <c r="AD57" s="460">
        <f>+'[4]ECO JUL-SEP-11'!$G$601</f>
        <v>16992677</v>
      </c>
      <c r="AE57" s="460">
        <f>+'[4]ECO OCT-DIC-11'!$G$761</f>
        <v>2148423</v>
      </c>
      <c r="AF57" s="460">
        <f>SUM(AB57:AE57)</f>
        <v>87836621</v>
      </c>
      <c r="AG57" s="325">
        <f>+M57-AB57</f>
        <v>0</v>
      </c>
      <c r="AH57" s="325">
        <f>+Q57-AC57</f>
        <v>0</v>
      </c>
      <c r="AI57" s="325">
        <f>+V57-AD57</f>
        <v>0</v>
      </c>
      <c r="AJ57" s="325">
        <f>+Z57-AE57</f>
        <v>18482</v>
      </c>
      <c r="AK57" s="327">
        <f>+AA57</f>
        <v>87855103</v>
      </c>
      <c r="AL57" s="327">
        <f>+I57-AK57</f>
        <v>0</v>
      </c>
      <c r="AM57" s="327">
        <f>+AK57-AF57</f>
        <v>18482</v>
      </c>
      <c r="AN57" s="329">
        <f aca="true" t="shared" si="63" ref="AN57:AN62">+AF57/I57</f>
        <v>0.9997896308880316</v>
      </c>
      <c r="AO57" s="329">
        <f aca="true" t="shared" si="64" ref="AO57:AO62">+AB57/M57</f>
        <v>1</v>
      </c>
      <c r="AP57" s="329">
        <v>0</v>
      </c>
      <c r="AQ57" s="329">
        <v>0</v>
      </c>
      <c r="AR57" s="329">
        <v>0</v>
      </c>
    </row>
    <row r="58" spans="1:45" ht="15" customHeight="1" collapsed="1">
      <c r="A58" s="360" t="s">
        <v>94</v>
      </c>
      <c r="B58" s="323">
        <f>SUM(B59:B63)</f>
        <v>230269043</v>
      </c>
      <c r="C58" s="365">
        <f>SUM(C59:C63)</f>
        <v>0</v>
      </c>
      <c r="D58" s="365">
        <f>SUM(D59:D63)</f>
        <v>0</v>
      </c>
      <c r="E58" s="365">
        <f>SUM(E59:E63)</f>
        <v>-7620000</v>
      </c>
      <c r="F58" s="365">
        <f>SUM(F59:F63)</f>
        <v>0</v>
      </c>
      <c r="G58" s="365"/>
      <c r="H58" s="365"/>
      <c r="I58" s="352">
        <f>SUM(I59:I63)</f>
        <v>222649043</v>
      </c>
      <c r="J58" s="352">
        <f>SUM(J59:J62)</f>
        <v>56865659</v>
      </c>
      <c r="K58" s="352"/>
      <c r="L58" s="352">
        <f>SUM(L59:L62)</f>
        <v>-10911316</v>
      </c>
      <c r="M58" s="352">
        <f aca="true" t="shared" si="65" ref="M58:W58">SUM(M59:M63)</f>
        <v>45954343</v>
      </c>
      <c r="N58" s="352">
        <f t="shared" si="65"/>
        <v>61357220</v>
      </c>
      <c r="O58" s="352">
        <f t="shared" si="65"/>
        <v>0</v>
      </c>
      <c r="P58" s="352">
        <f t="shared" si="65"/>
        <v>-140142</v>
      </c>
      <c r="Q58" s="352">
        <f t="shared" si="65"/>
        <v>61217078</v>
      </c>
      <c r="R58" s="352">
        <f t="shared" si="65"/>
        <v>59552046</v>
      </c>
      <c r="S58" s="352">
        <f t="shared" si="65"/>
        <v>0</v>
      </c>
      <c r="T58" s="352"/>
      <c r="U58" s="352">
        <f t="shared" si="65"/>
        <v>-9988434</v>
      </c>
      <c r="V58" s="352">
        <f t="shared" si="65"/>
        <v>49563612</v>
      </c>
      <c r="W58" s="352">
        <f t="shared" si="65"/>
        <v>65896947</v>
      </c>
      <c r="X58" s="352">
        <f>SUM(X59:X62)</f>
        <v>0</v>
      </c>
      <c r="Y58" s="352"/>
      <c r="Z58" s="352">
        <f>SUM(Z59:Z63)</f>
        <v>65896947</v>
      </c>
      <c r="AA58" s="352">
        <f>SUM(AA59:AA62)</f>
        <v>222631980</v>
      </c>
      <c r="AB58" s="463">
        <f>SUM(AB59:AB63)</f>
        <v>45954343</v>
      </c>
      <c r="AC58" s="463">
        <f>SUM(AC59:AC63)</f>
        <v>61217078</v>
      </c>
      <c r="AD58" s="463">
        <f>SUM(AD59:AD63)</f>
        <v>49563612</v>
      </c>
      <c r="AE58" s="463">
        <f>SUM(AE59:AE63)</f>
        <v>65098310</v>
      </c>
      <c r="AF58" s="463">
        <f>SUM(AF59:AF62)</f>
        <v>221833343</v>
      </c>
      <c r="AG58" s="352">
        <f aca="true" t="shared" si="66" ref="AG58:AM58">SUM(AG59:AG62)</f>
        <v>0</v>
      </c>
      <c r="AH58" s="352">
        <f t="shared" si="66"/>
        <v>0</v>
      </c>
      <c r="AI58" s="352">
        <f t="shared" si="66"/>
        <v>0</v>
      </c>
      <c r="AJ58" s="352">
        <f>SUM(AJ59:AJ62)</f>
        <v>798637</v>
      </c>
      <c r="AK58" s="352">
        <f t="shared" si="66"/>
        <v>222631980</v>
      </c>
      <c r="AL58" s="352">
        <f t="shared" si="66"/>
        <v>17063</v>
      </c>
      <c r="AM58" s="352">
        <f t="shared" si="66"/>
        <v>798637</v>
      </c>
      <c r="AN58" s="361">
        <f t="shared" si="63"/>
        <v>0.9963363866782935</v>
      </c>
      <c r="AO58" s="361">
        <f t="shared" si="64"/>
        <v>1</v>
      </c>
      <c r="AP58" s="361">
        <f>+AC58/Q58</f>
        <v>1</v>
      </c>
      <c r="AQ58" s="361">
        <f>+AD58/V58</f>
        <v>1</v>
      </c>
      <c r="AR58" s="361">
        <f>+AE58/Z58</f>
        <v>0.9878805159213219</v>
      </c>
      <c r="AS58" s="362"/>
    </row>
    <row r="59" spans="1:44" ht="15" customHeight="1" hidden="1" outlineLevel="1">
      <c r="A59" s="367" t="s">
        <v>95</v>
      </c>
      <c r="B59" s="325">
        <f>107922643+622757-161000</f>
        <v>108384400</v>
      </c>
      <c r="C59" s="346"/>
      <c r="D59" s="346"/>
      <c r="E59" s="325">
        <v>-2750000</v>
      </c>
      <c r="F59" s="325"/>
      <c r="G59" s="325"/>
      <c r="H59" s="625">
        <v>-1665000</v>
      </c>
      <c r="I59" s="460">
        <f>SUM(B59:H59)</f>
        <v>103969400</v>
      </c>
      <c r="J59" s="462">
        <f>22087859-622757-161000-225000</f>
        <v>21079102</v>
      </c>
      <c r="K59" s="462"/>
      <c r="L59" s="460">
        <v>-3223565</v>
      </c>
      <c r="M59" s="460">
        <f>SUM(J59:L59)</f>
        <v>17855537</v>
      </c>
      <c r="N59" s="462">
        <f>30701020-77045-159837</f>
        <v>30464138</v>
      </c>
      <c r="O59" s="624"/>
      <c r="P59" s="460">
        <f>+AC59-N59-O59</f>
        <v>-140142</v>
      </c>
      <c r="Q59" s="460">
        <f>+SUM(N59:P59)</f>
        <v>30323996</v>
      </c>
      <c r="R59" s="462">
        <v>25895846</v>
      </c>
      <c r="S59" s="462"/>
      <c r="T59" s="462"/>
      <c r="U59" s="462">
        <f>-R59+AD59</f>
        <v>-286938</v>
      </c>
      <c r="V59" s="462">
        <f>+SUM(R59:U59)</f>
        <v>25608908</v>
      </c>
      <c r="W59" s="462">
        <f>31845959-1665000</f>
        <v>30180959</v>
      </c>
      <c r="X59" s="462"/>
      <c r="Y59" s="626"/>
      <c r="Z59" s="627">
        <f>+SUM(W59:Y59)</f>
        <v>30180959</v>
      </c>
      <c r="AA59" s="460">
        <f>+M59+Q59+V59+Z59</f>
        <v>103969400</v>
      </c>
      <c r="AB59" s="460">
        <f>+'[4]ECO ENE-MAR-11'!$G$656</f>
        <v>17855537</v>
      </c>
      <c r="AC59" s="460">
        <f>+'[4]ECO ABR-JUN-11'!$G$681</f>
        <v>30323996</v>
      </c>
      <c r="AD59" s="460">
        <f>+'[4]ECO JUL-SEP-11'!$G$611</f>
        <v>25608908</v>
      </c>
      <c r="AE59" s="460">
        <f>+'[4]ECO OCT-DIC-11'!$G$773</f>
        <v>29415553</v>
      </c>
      <c r="AF59" s="460">
        <f>SUM(AB59:AE59)</f>
        <v>103203994</v>
      </c>
      <c r="AG59" s="325">
        <f>+M59-AB59</f>
        <v>0</v>
      </c>
      <c r="AH59" s="325">
        <f>+Q59-AC59</f>
        <v>0</v>
      </c>
      <c r="AI59" s="325">
        <f>+V59-AD59</f>
        <v>0</v>
      </c>
      <c r="AJ59" s="325">
        <f>+Z59-AE59</f>
        <v>765406</v>
      </c>
      <c r="AK59" s="327">
        <f>+AA59</f>
        <v>103969400</v>
      </c>
      <c r="AL59" s="327">
        <f>+I59-AK59</f>
        <v>0</v>
      </c>
      <c r="AM59" s="327">
        <f>+AK59-AF59</f>
        <v>765406</v>
      </c>
      <c r="AN59" s="329">
        <f t="shared" si="63"/>
        <v>0.992638160843479</v>
      </c>
      <c r="AO59" s="329">
        <f t="shared" si="64"/>
        <v>1</v>
      </c>
      <c r="AP59" s="329">
        <f>+AC59/Q59</f>
        <v>1</v>
      </c>
      <c r="AQ59" s="329">
        <f>+AD59/V59</f>
        <v>1</v>
      </c>
      <c r="AR59" s="329">
        <f>+AE59/Z59</f>
        <v>0.9746394407149223</v>
      </c>
    </row>
    <row r="60" spans="1:44" ht="15" customHeight="1" hidden="1" outlineLevel="1">
      <c r="A60" s="367" t="s">
        <v>139</v>
      </c>
      <c r="B60" s="325">
        <f>10507000+161000</f>
        <v>10668000</v>
      </c>
      <c r="C60" s="346"/>
      <c r="D60" s="346"/>
      <c r="E60" s="346"/>
      <c r="F60" s="346"/>
      <c r="G60" s="346"/>
      <c r="H60" s="628"/>
      <c r="I60" s="460">
        <f>SUM(B60:H60)</f>
        <v>10668000</v>
      </c>
      <c r="J60" s="462">
        <f>10507000+161000</f>
        <v>10668000</v>
      </c>
      <c r="K60" s="462"/>
      <c r="L60" s="460">
        <v>-17063</v>
      </c>
      <c r="M60" s="460">
        <f>SUM(J60:L60)</f>
        <v>10650937</v>
      </c>
      <c r="N60" s="462">
        <v>0</v>
      </c>
      <c r="O60" s="624"/>
      <c r="P60" s="460">
        <f>+AC60-N60-O60</f>
        <v>0</v>
      </c>
      <c r="Q60" s="460">
        <f>+SUM(N60:P60)</f>
        <v>0</v>
      </c>
      <c r="R60" s="462">
        <v>0</v>
      </c>
      <c r="S60" s="462"/>
      <c r="T60" s="462"/>
      <c r="U60" s="462">
        <f>-R60+AD60</f>
        <v>0</v>
      </c>
      <c r="V60" s="462">
        <f>+SUM(R60:U60)</f>
        <v>0</v>
      </c>
      <c r="W60" s="462">
        <v>0</v>
      </c>
      <c r="X60" s="462"/>
      <c r="Y60" s="626"/>
      <c r="Z60" s="627">
        <f>+SUM(W60:Y60)</f>
        <v>0</v>
      </c>
      <c r="AA60" s="460">
        <f>+M60+Q60+V60+Z60</f>
        <v>10650937</v>
      </c>
      <c r="AB60" s="460">
        <f>+'[4]ECO ENE-MAR-11'!$G$682</f>
        <v>10650937</v>
      </c>
      <c r="AC60" s="460">
        <f>+'[4]ECO ABR-JUN-11'!$G$730</f>
        <v>0</v>
      </c>
      <c r="AD60" s="460">
        <f>+'[4]ECO JUL-SEP-11'!$G$650</f>
        <v>0</v>
      </c>
      <c r="AE60" s="460">
        <f>+'[4]ECO OCT-DIC-11'!$G$821</f>
        <v>0</v>
      </c>
      <c r="AF60" s="460">
        <f>SUM(AB60:AE60)</f>
        <v>10650937</v>
      </c>
      <c r="AG60" s="325">
        <f>+M60-AB60</f>
        <v>0</v>
      </c>
      <c r="AH60" s="325">
        <f>+Q60-AC60</f>
        <v>0</v>
      </c>
      <c r="AI60" s="325">
        <f>+V60-AD60</f>
        <v>0</v>
      </c>
      <c r="AJ60" s="325">
        <f>+Z60-AE60</f>
        <v>0</v>
      </c>
      <c r="AK60" s="327">
        <f>+AA60</f>
        <v>10650937</v>
      </c>
      <c r="AL60" s="327">
        <f>+I60-AK60</f>
        <v>17063</v>
      </c>
      <c r="AM60" s="327">
        <f>+AK60-AF60</f>
        <v>0</v>
      </c>
      <c r="AN60" s="329">
        <f t="shared" si="63"/>
        <v>0.9984005436820398</v>
      </c>
      <c r="AO60" s="329">
        <f t="shared" si="64"/>
        <v>1</v>
      </c>
      <c r="AP60" s="329">
        <v>0</v>
      </c>
      <c r="AQ60" s="329">
        <v>0</v>
      </c>
      <c r="AR60" s="329">
        <v>0</v>
      </c>
    </row>
    <row r="61" spans="1:44" ht="15" customHeight="1" hidden="1" outlineLevel="1">
      <c r="A61" s="367" t="s">
        <v>140</v>
      </c>
      <c r="B61" s="325">
        <f>28639400-622757</f>
        <v>28016643</v>
      </c>
      <c r="C61" s="346"/>
      <c r="D61" s="346"/>
      <c r="E61" s="346"/>
      <c r="F61" s="346"/>
      <c r="G61" s="346"/>
      <c r="H61" s="629">
        <v>580000</v>
      </c>
      <c r="I61" s="460">
        <f>SUM(B61:H61)</f>
        <v>28596643</v>
      </c>
      <c r="J61" s="462">
        <f>7270800+622757+225000</f>
        <v>8118557</v>
      </c>
      <c r="K61" s="462"/>
      <c r="L61" s="460">
        <v>-606</v>
      </c>
      <c r="M61" s="460">
        <f>SUM(J61:L61)</f>
        <v>8117951</v>
      </c>
      <c r="N61" s="462">
        <f>7656200+77045</f>
        <v>7733245</v>
      </c>
      <c r="O61" s="624"/>
      <c r="P61" s="460">
        <f>+AC61-N61-O61</f>
        <v>0</v>
      </c>
      <c r="Q61" s="460">
        <f>+SUM(N61:P61)</f>
        <v>7733245</v>
      </c>
      <c r="R61" s="462">
        <v>7656200</v>
      </c>
      <c r="S61" s="462"/>
      <c r="T61" s="462"/>
      <c r="U61" s="462">
        <f>-R61+AD61</f>
        <v>-808897</v>
      </c>
      <c r="V61" s="462">
        <f>+SUM(R61:U61)</f>
        <v>6847303</v>
      </c>
      <c r="W61" s="462">
        <f>5318144+580000</f>
        <v>5898144</v>
      </c>
      <c r="X61" s="462"/>
      <c r="Y61" s="626"/>
      <c r="Z61" s="627">
        <f>+SUM(W61:Y61)</f>
        <v>5898144</v>
      </c>
      <c r="AA61" s="460">
        <f>+M61+Q61+V61+Z61</f>
        <v>28596643</v>
      </c>
      <c r="AB61" s="460">
        <f>+'[4]ECO ENE-MAR-11'!$G$705</f>
        <v>8117951</v>
      </c>
      <c r="AC61" s="460">
        <f>+'[4]ECO ABR-JUN-11'!$G$736</f>
        <v>7733245</v>
      </c>
      <c r="AD61" s="460">
        <f>+'[4]ECO JUL-SEP-11'!$G$654</f>
        <v>6847303</v>
      </c>
      <c r="AE61" s="460">
        <f>+'[4]ECO OCT-DIC-11'!$G$827</f>
        <v>5867639</v>
      </c>
      <c r="AF61" s="460">
        <f>SUM(AB61:AE61)</f>
        <v>28566138</v>
      </c>
      <c r="AG61" s="325">
        <f>+M61-AB61</f>
        <v>0</v>
      </c>
      <c r="AH61" s="325">
        <f>+Q61-AC61</f>
        <v>0</v>
      </c>
      <c r="AI61" s="325">
        <f>+V61-AD61</f>
        <v>0</v>
      </c>
      <c r="AJ61" s="325">
        <f>+Z61-AE61</f>
        <v>30505</v>
      </c>
      <c r="AK61" s="327">
        <f>+AA61</f>
        <v>28596643</v>
      </c>
      <c r="AL61" s="327">
        <f>+I61-AK61</f>
        <v>0</v>
      </c>
      <c r="AM61" s="327">
        <f>+AK61-AF61</f>
        <v>30505</v>
      </c>
      <c r="AN61" s="329">
        <f t="shared" si="63"/>
        <v>0.9989332663977377</v>
      </c>
      <c r="AO61" s="329">
        <f t="shared" si="64"/>
        <v>1</v>
      </c>
      <c r="AP61" s="329">
        <v>0</v>
      </c>
      <c r="AQ61" s="329">
        <v>0</v>
      </c>
      <c r="AR61" s="329">
        <f>+AE61/Z61</f>
        <v>0.9948280340391825</v>
      </c>
    </row>
    <row r="62" spans="1:44" ht="15" customHeight="1" hidden="1" outlineLevel="1">
      <c r="A62" s="367" t="s">
        <v>218</v>
      </c>
      <c r="B62" s="325">
        <v>83200000</v>
      </c>
      <c r="C62" s="346"/>
      <c r="D62" s="346"/>
      <c r="E62" s="346">
        <v>-4870000</v>
      </c>
      <c r="F62" s="346"/>
      <c r="G62" s="346"/>
      <c r="H62" s="629">
        <v>1085000</v>
      </c>
      <c r="I62" s="460">
        <f>SUM(B62:H62)</f>
        <v>79415000</v>
      </c>
      <c r="J62" s="462">
        <v>17000000</v>
      </c>
      <c r="K62" s="462"/>
      <c r="L62" s="460">
        <v>-7670082</v>
      </c>
      <c r="M62" s="460">
        <f>SUM(J62:L62)</f>
        <v>9329918</v>
      </c>
      <c r="N62" s="462">
        <f>23000000+159837</f>
        <v>23159837</v>
      </c>
      <c r="O62" s="624"/>
      <c r="P62" s="460">
        <f>+AC62-N62-O62</f>
        <v>0</v>
      </c>
      <c r="Q62" s="460">
        <f>+SUM(N62:P62)</f>
        <v>23159837</v>
      </c>
      <c r="R62" s="462">
        <v>26000000</v>
      </c>
      <c r="S62" s="462"/>
      <c r="T62" s="462"/>
      <c r="U62" s="462">
        <f>-R62+AD62</f>
        <v>-8892599</v>
      </c>
      <c r="V62" s="462">
        <f>+SUM(R62:U62)</f>
        <v>17107401</v>
      </c>
      <c r="W62" s="462">
        <f>28732844+1085000</f>
        <v>29817844</v>
      </c>
      <c r="X62" s="462"/>
      <c r="Y62" s="626"/>
      <c r="Z62" s="627">
        <f>+SUM(W62:Y62)</f>
        <v>29817844</v>
      </c>
      <c r="AA62" s="460">
        <f>+M62+Q62+V62+Z62</f>
        <v>79415000</v>
      </c>
      <c r="AB62" s="460">
        <f>+'[4]ECO ENE-MAR-11'!$G$734</f>
        <v>9329918</v>
      </c>
      <c r="AC62" s="460">
        <f>+'[4]ECO ABR-JUN-11'!$G$757</f>
        <v>23159837</v>
      </c>
      <c r="AD62" s="460">
        <f>+'[4]ECO JUL-SEP-11'!$G$679</f>
        <v>17107401</v>
      </c>
      <c r="AE62" s="460">
        <f>+'[4]ECO OCT-DIC-11'!$G$856</f>
        <v>29815118</v>
      </c>
      <c r="AF62" s="460">
        <f>SUM(AB62:AE62)</f>
        <v>79412274</v>
      </c>
      <c r="AG62" s="325">
        <f>+M62-AB62</f>
        <v>0</v>
      </c>
      <c r="AH62" s="325">
        <f>+Q62-AC62</f>
        <v>0</v>
      </c>
      <c r="AI62" s="325">
        <f>+V62-AD62</f>
        <v>0</v>
      </c>
      <c r="AJ62" s="325">
        <f>+Z62-AE62</f>
        <v>2726</v>
      </c>
      <c r="AK62" s="327">
        <f>+AA62</f>
        <v>79415000</v>
      </c>
      <c r="AL62" s="327">
        <f>+I62-AK62</f>
        <v>0</v>
      </c>
      <c r="AM62" s="327">
        <f>+AK62-AF62</f>
        <v>2726</v>
      </c>
      <c r="AN62" s="329">
        <f t="shared" si="63"/>
        <v>0.9999656739910596</v>
      </c>
      <c r="AO62" s="329">
        <f t="shared" si="64"/>
        <v>1</v>
      </c>
      <c r="AP62" s="329">
        <f>+AC62/Q62</f>
        <v>1</v>
      </c>
      <c r="AQ62" s="329">
        <f>+AD62/V62</f>
        <v>1</v>
      </c>
      <c r="AR62" s="329">
        <f>+AE62/Z62</f>
        <v>0.999908578232551</v>
      </c>
    </row>
    <row r="63" spans="1:44" ht="15" customHeight="1" hidden="1" outlineLevel="1">
      <c r="A63" s="367"/>
      <c r="B63" s="333"/>
      <c r="C63" s="346"/>
      <c r="D63" s="346"/>
      <c r="E63" s="346"/>
      <c r="F63" s="346"/>
      <c r="G63" s="346"/>
      <c r="H63" s="624"/>
      <c r="I63" s="460"/>
      <c r="J63" s="462"/>
      <c r="K63" s="462"/>
      <c r="L63" s="462"/>
      <c r="M63" s="460"/>
      <c r="N63" s="462"/>
      <c r="O63" s="624"/>
      <c r="P63" s="460"/>
      <c r="Q63" s="460"/>
      <c r="R63" s="462"/>
      <c r="S63" s="462"/>
      <c r="T63" s="462"/>
      <c r="U63" s="462"/>
      <c r="V63" s="462"/>
      <c r="W63" s="462"/>
      <c r="X63" s="462"/>
      <c r="Y63" s="626"/>
      <c r="Z63" s="627"/>
      <c r="AA63" s="460"/>
      <c r="AB63" s="462"/>
      <c r="AC63" s="462"/>
      <c r="AD63" s="463"/>
      <c r="AE63" s="463"/>
      <c r="AF63" s="463">
        <f>SUM(AB63:AE63)</f>
        <v>0</v>
      </c>
      <c r="AG63" s="333"/>
      <c r="AH63" s="333"/>
      <c r="AI63" s="333"/>
      <c r="AJ63" s="333"/>
      <c r="AK63" s="334"/>
      <c r="AL63" s="334"/>
      <c r="AM63" s="334"/>
      <c r="AN63" s="335"/>
      <c r="AO63" s="335"/>
      <c r="AP63" s="335"/>
      <c r="AQ63" s="335"/>
      <c r="AR63" s="335"/>
    </row>
    <row r="64" spans="1:44" ht="15" customHeight="1" collapsed="1" thickBot="1">
      <c r="A64" s="367"/>
      <c r="B64" s="333"/>
      <c r="C64" s="346"/>
      <c r="D64" s="346"/>
      <c r="E64" s="346"/>
      <c r="F64" s="346"/>
      <c r="G64" s="346"/>
      <c r="H64" s="346"/>
      <c r="I64" s="396"/>
      <c r="J64" s="334"/>
      <c r="K64" s="334"/>
      <c r="L64" s="334"/>
      <c r="M64" s="334"/>
      <c r="N64" s="334"/>
      <c r="O64" s="346"/>
      <c r="P64" s="346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97"/>
      <c r="AO64" s="355"/>
      <c r="AP64" s="355"/>
      <c r="AQ64" s="355"/>
      <c r="AR64" s="355"/>
    </row>
    <row r="65" spans="1:44" ht="15" customHeight="1" thickBot="1">
      <c r="A65" s="368" t="s">
        <v>57</v>
      </c>
      <c r="B65" s="369">
        <f aca="true" t="shared" si="67" ref="B65:J65">+B36</f>
        <v>2260118760.375</v>
      </c>
      <c r="C65" s="369">
        <f t="shared" si="67"/>
        <v>0</v>
      </c>
      <c r="D65" s="369">
        <f t="shared" si="67"/>
        <v>0</v>
      </c>
      <c r="E65" s="369">
        <f t="shared" si="67"/>
        <v>0</v>
      </c>
      <c r="F65" s="369">
        <f t="shared" si="67"/>
        <v>-382411608</v>
      </c>
      <c r="G65" s="369">
        <f>+G36</f>
        <v>-2450000</v>
      </c>
      <c r="H65" s="369">
        <f t="shared" si="67"/>
        <v>0</v>
      </c>
      <c r="I65" s="394">
        <f t="shared" si="67"/>
        <v>1875257152.375</v>
      </c>
      <c r="J65" s="369">
        <f t="shared" si="67"/>
        <v>368382008</v>
      </c>
      <c r="K65" s="369"/>
      <c r="L65" s="370">
        <f aca="true" t="shared" si="68" ref="L65:X65">+L36</f>
        <v>-30063718.00000021</v>
      </c>
      <c r="M65" s="369">
        <f t="shared" si="68"/>
        <v>338318289.99999976</v>
      </c>
      <c r="N65" s="369">
        <f t="shared" si="68"/>
        <v>504579769</v>
      </c>
      <c r="O65" s="369">
        <f t="shared" si="68"/>
        <v>0</v>
      </c>
      <c r="P65" s="369">
        <f t="shared" si="68"/>
        <v>-12927301</v>
      </c>
      <c r="Q65" s="369">
        <f t="shared" si="68"/>
        <v>415186710</v>
      </c>
      <c r="R65" s="369">
        <f t="shared" si="68"/>
        <v>505221319</v>
      </c>
      <c r="S65" s="369">
        <f t="shared" si="68"/>
        <v>0</v>
      </c>
      <c r="T65" s="369"/>
      <c r="U65" s="369">
        <f t="shared" si="68"/>
        <v>-51217484.99999985</v>
      </c>
      <c r="V65" s="369">
        <f t="shared" si="68"/>
        <v>454003834.0000001</v>
      </c>
      <c r="W65" s="369">
        <f t="shared" si="68"/>
        <v>670181255.3750002</v>
      </c>
      <c r="X65" s="369">
        <f t="shared" si="68"/>
        <v>-2450000</v>
      </c>
      <c r="Y65" s="369"/>
      <c r="Z65" s="369">
        <f aca="true" t="shared" si="69" ref="Z65:AM65">+Z36</f>
        <v>667731255.3750002</v>
      </c>
      <c r="AA65" s="369">
        <f t="shared" si="69"/>
        <v>1875240089.3750005</v>
      </c>
      <c r="AB65" s="369">
        <f t="shared" si="69"/>
        <v>338318289.99999976</v>
      </c>
      <c r="AC65" s="369">
        <f t="shared" si="69"/>
        <v>415186710</v>
      </c>
      <c r="AD65" s="369">
        <f t="shared" si="69"/>
        <v>454003834.0000001</v>
      </c>
      <c r="AE65" s="369">
        <f t="shared" si="69"/>
        <v>537738434.9500002</v>
      </c>
      <c r="AF65" s="369">
        <f>+AF36</f>
        <v>1745247268.95</v>
      </c>
      <c r="AG65" s="369">
        <f t="shared" si="69"/>
        <v>0</v>
      </c>
      <c r="AH65" s="369">
        <f t="shared" si="69"/>
        <v>0</v>
      </c>
      <c r="AI65" s="369">
        <f t="shared" si="69"/>
        <v>0</v>
      </c>
      <c r="AJ65" s="369">
        <f>+AJ36</f>
        <v>129992820.42500006</v>
      </c>
      <c r="AK65" s="369">
        <f t="shared" si="69"/>
        <v>1875240089.3750005</v>
      </c>
      <c r="AL65" s="369">
        <f t="shared" si="69"/>
        <v>17063</v>
      </c>
      <c r="AM65" s="369">
        <f t="shared" si="69"/>
        <v>121992820.42500013</v>
      </c>
      <c r="AN65" s="395">
        <f>+AF65/I65</f>
        <v>0.9306709038489237</v>
      </c>
      <c r="AO65" s="339">
        <f>+AB65/M65</f>
        <v>1</v>
      </c>
      <c r="AP65" s="339">
        <f>+AC65/Q65</f>
        <v>1</v>
      </c>
      <c r="AQ65" s="339">
        <f>+AD65/V65</f>
        <v>1</v>
      </c>
      <c r="AR65" s="339">
        <f>+AE65/Z65</f>
        <v>0.805321647925563</v>
      </c>
    </row>
    <row r="66" spans="1:44" ht="15" customHeight="1" thickBot="1">
      <c r="A66" s="371"/>
      <c r="B66" s="372"/>
      <c r="C66" s="373"/>
      <c r="D66" s="373"/>
      <c r="E66" s="373"/>
      <c r="F66" s="373"/>
      <c r="G66" s="373"/>
      <c r="H66" s="373"/>
      <c r="I66" s="374"/>
      <c r="J66" s="374"/>
      <c r="K66" s="374"/>
      <c r="L66" s="374"/>
      <c r="M66" s="374"/>
      <c r="N66" s="374"/>
      <c r="O66" s="373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4"/>
      <c r="AK66" s="374"/>
      <c r="AL66" s="374"/>
      <c r="AM66" s="372"/>
      <c r="AN66" s="375"/>
      <c r="AO66" s="350"/>
      <c r="AP66" s="350"/>
      <c r="AQ66" s="350"/>
      <c r="AR66" s="350"/>
    </row>
    <row r="67" spans="1:44" ht="15" customHeight="1" thickBot="1">
      <c r="A67" s="369" t="s">
        <v>96</v>
      </c>
      <c r="B67" s="369">
        <f aca="true" t="shared" si="70" ref="B67:J67">+B22+B33+B36</f>
        <v>3317026817.5119953</v>
      </c>
      <c r="C67" s="369">
        <f t="shared" si="70"/>
        <v>0</v>
      </c>
      <c r="D67" s="369">
        <f t="shared" si="70"/>
        <v>0</v>
      </c>
      <c r="E67" s="369">
        <f t="shared" si="70"/>
        <v>0</v>
      </c>
      <c r="F67" s="369">
        <f t="shared" si="70"/>
        <v>-434716823</v>
      </c>
      <c r="G67" s="369">
        <f>+G22+G33+G36</f>
        <v>-2450000</v>
      </c>
      <c r="H67" s="369">
        <f t="shared" si="70"/>
        <v>0</v>
      </c>
      <c r="I67" s="369">
        <f t="shared" si="70"/>
        <v>2879859994.5119953</v>
      </c>
      <c r="J67" s="369">
        <f t="shared" si="70"/>
        <v>613497442.9475</v>
      </c>
      <c r="K67" s="369"/>
      <c r="L67" s="370">
        <f aca="true" t="shared" si="71" ref="L67:X67">+L22+L33+L36</f>
        <v>-51529232.94750021</v>
      </c>
      <c r="M67" s="370">
        <f t="shared" si="71"/>
        <v>561968209.9999998</v>
      </c>
      <c r="N67" s="369">
        <f t="shared" si="71"/>
        <v>741955520</v>
      </c>
      <c r="O67" s="369">
        <f t="shared" si="71"/>
        <v>0</v>
      </c>
      <c r="P67" s="369">
        <f t="shared" si="71"/>
        <v>-18122813</v>
      </c>
      <c r="Q67" s="369">
        <f t="shared" si="71"/>
        <v>647366949</v>
      </c>
      <c r="R67" s="369">
        <f t="shared" si="71"/>
        <v>750578408.3320901</v>
      </c>
      <c r="S67" s="369">
        <f t="shared" si="71"/>
        <v>0</v>
      </c>
      <c r="T67" s="369"/>
      <c r="U67" s="369">
        <f t="shared" si="71"/>
        <v>-60285932.99999985</v>
      </c>
      <c r="V67" s="369">
        <f t="shared" si="71"/>
        <v>690292475.3320904</v>
      </c>
      <c r="W67" s="369">
        <f t="shared" si="71"/>
        <v>982364206.1799052</v>
      </c>
      <c r="X67" s="369">
        <f t="shared" si="71"/>
        <v>-2450000</v>
      </c>
      <c r="Y67" s="369"/>
      <c r="Z67" s="369">
        <f aca="true" t="shared" si="72" ref="Z67:AM67">+Z22+Z33+Z36</f>
        <v>979914206.1799052</v>
      </c>
      <c r="AA67" s="369">
        <f t="shared" si="72"/>
        <v>2879541840.511996</v>
      </c>
      <c r="AB67" s="369">
        <f t="shared" si="72"/>
        <v>561968209.9999998</v>
      </c>
      <c r="AC67" s="369">
        <f t="shared" si="72"/>
        <v>647366949</v>
      </c>
      <c r="AD67" s="369">
        <f t="shared" si="72"/>
        <v>690292474.6800001</v>
      </c>
      <c r="AE67" s="369">
        <f>+AE22+AE33+AE36</f>
        <v>776318889.9500002</v>
      </c>
      <c r="AF67" s="369">
        <f t="shared" si="72"/>
        <v>2675946523.63</v>
      </c>
      <c r="AG67" s="369">
        <f t="shared" si="72"/>
        <v>0</v>
      </c>
      <c r="AH67" s="369">
        <f t="shared" si="72"/>
        <v>0</v>
      </c>
      <c r="AI67" s="369">
        <f t="shared" si="72"/>
        <v>0.6520902037154883</v>
      </c>
      <c r="AJ67" s="369">
        <f t="shared" si="72"/>
        <v>203595316.229905</v>
      </c>
      <c r="AK67" s="369">
        <f t="shared" si="72"/>
        <v>2879541840.511996</v>
      </c>
      <c r="AL67" s="369">
        <f t="shared" si="72"/>
        <v>318154</v>
      </c>
      <c r="AM67" s="369">
        <f t="shared" si="72"/>
        <v>195595316.8819953</v>
      </c>
      <c r="AN67" s="339">
        <f>+AF67/I67</f>
        <v>0.9291932693705309</v>
      </c>
      <c r="AO67" s="339">
        <f>+AB67/M67</f>
        <v>1</v>
      </c>
      <c r="AP67" s="339">
        <f>+AC67/Q67</f>
        <v>1</v>
      </c>
      <c r="AQ67" s="339">
        <f>+AD67/V67</f>
        <v>0.999999999055342</v>
      </c>
      <c r="AR67" s="339">
        <f>+AE67/Z67</f>
        <v>0.7922314882814074</v>
      </c>
    </row>
    <row r="68" ht="15" customHeight="1">
      <c r="C68" s="308" t="s">
        <v>130</v>
      </c>
    </row>
    <row r="69" spans="9:31" ht="15" hidden="1">
      <c r="I69" s="391" t="s">
        <v>303</v>
      </c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1"/>
      <c r="Y69" s="391"/>
      <c r="Z69" s="308">
        <f>+Z67+TEC!AA64+PPC!Z70+MER!AA75</f>
        <v>3971704778.060301</v>
      </c>
      <c r="AA69" s="391"/>
      <c r="AB69" s="308">
        <f>+AB67+TEC!AC64+PPC!AB70+MER!AC75</f>
        <v>2264125997.62</v>
      </c>
      <c r="AC69" s="308">
        <f>+AC67+TEC!AD64+PPC!AC70+MER!AD75</f>
        <v>2924308998.68</v>
      </c>
      <c r="AD69" s="308">
        <f>+AD67+TEC!AE64+PPC!AD70+MER!AE75</f>
        <v>3390034284.71</v>
      </c>
      <c r="AE69" s="308">
        <f>+AE67+TEC!AF64+PPC!AE70+MER!AF75</f>
        <v>3506563427.8500004</v>
      </c>
    </row>
    <row r="70" ht="15">
      <c r="I70" s="388"/>
    </row>
    <row r="71" ht="15"/>
  </sheetData>
  <sheetProtection/>
  <mergeCells count="10">
    <mergeCell ref="N7:Q7"/>
    <mergeCell ref="R7:V7"/>
    <mergeCell ref="W7:Z7"/>
    <mergeCell ref="A7:A8"/>
    <mergeCell ref="C7:C8"/>
    <mergeCell ref="D7:D8"/>
    <mergeCell ref="E7:E8"/>
    <mergeCell ref="F7:F8"/>
    <mergeCell ref="J7:M7"/>
    <mergeCell ref="G7:G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76" r:id="rId3"/>
  <colBreaks count="2" manualBreakCount="2">
    <brk id="40" max="66" man="1"/>
    <brk id="44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64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C28" sqref="C28:C29"/>
      <selection pane="topRight" activeCell="C28" sqref="C28:C29"/>
      <selection pane="bottomLeft" activeCell="C28" sqref="C28:C29"/>
      <selection pane="bottomRight" activeCell="C28" sqref="C28:C29"/>
    </sheetView>
  </sheetViews>
  <sheetFormatPr defaultColWidth="11.421875" defaultRowHeight="12.75" outlineLevelRow="2" outlineLevelCol="2"/>
  <cols>
    <col min="1" max="1" width="38.7109375" style="3" customWidth="1"/>
    <col min="2" max="2" width="22.00390625" style="3" customWidth="1"/>
    <col min="3" max="8" width="18.140625" style="3" hidden="1" customWidth="1" outlineLevel="1"/>
    <col min="9" max="9" width="22.421875" style="3" customWidth="1" collapsed="1"/>
    <col min="10" max="11" width="17.00390625" style="3" hidden="1" customWidth="1" outlineLevel="2"/>
    <col min="12" max="12" width="18.421875" style="3" hidden="1" customWidth="1" outlineLevel="2"/>
    <col min="13" max="13" width="14.7109375" style="3" hidden="1" customWidth="1" outlineLevel="1" collapsed="1"/>
    <col min="14" max="14" width="14.8515625" style="3" hidden="1" customWidth="1" outlineLevel="2"/>
    <col min="15" max="15" width="18.140625" style="3" hidden="1" customWidth="1" outlineLevel="2"/>
    <col min="16" max="16" width="15.57421875" style="3" hidden="1" customWidth="1" outlineLevel="2"/>
    <col min="17" max="17" width="15.57421875" style="3" hidden="1" customWidth="1" outlineLevel="1" collapsed="1"/>
    <col min="18" max="18" width="21.28125" style="3" hidden="1" customWidth="1" outlineLevel="2"/>
    <col min="19" max="19" width="20.8515625" style="3" hidden="1" customWidth="1" outlineLevel="2"/>
    <col min="20" max="20" width="22.00390625" style="3" hidden="1" customWidth="1" outlineLevel="2"/>
    <col min="21" max="21" width="16.140625" style="3" hidden="1" customWidth="1" outlineLevel="2"/>
    <col min="22" max="22" width="14.7109375" style="3" hidden="1" customWidth="1" outlineLevel="1" collapsed="1"/>
    <col min="23" max="23" width="20.57421875" style="3" hidden="1" customWidth="1" outlineLevel="2"/>
    <col min="24" max="25" width="17.00390625" style="3" hidden="1" customWidth="1" outlineLevel="2"/>
    <col min="26" max="26" width="17.28125" style="3" hidden="1" customWidth="1" outlineLevel="2"/>
    <col min="27" max="27" width="16.140625" style="3" hidden="1" customWidth="1" outlineLevel="1" collapsed="1"/>
    <col min="28" max="28" width="16.57421875" style="3" hidden="1" customWidth="1" collapsed="1"/>
    <col min="29" max="29" width="17.57421875" style="3" customWidth="1" outlineLevel="1"/>
    <col min="30" max="30" width="16.57421875" style="3" bestFit="1" customWidth="1" outlineLevel="1"/>
    <col min="31" max="31" width="19.8515625" style="3" customWidth="1" outlineLevel="1"/>
    <col min="32" max="32" width="16.57421875" style="3" bestFit="1" customWidth="1" outlineLevel="1"/>
    <col min="33" max="33" width="19.8515625" style="3" customWidth="1"/>
    <col min="34" max="34" width="16.28125" style="3" hidden="1" customWidth="1" outlineLevel="1"/>
    <col min="35" max="35" width="17.00390625" style="3" hidden="1" customWidth="1" outlineLevel="1"/>
    <col min="36" max="36" width="14.57421875" style="3" hidden="1" customWidth="1" outlineLevel="1"/>
    <col min="37" max="37" width="19.7109375" style="3" hidden="1" customWidth="1" outlineLevel="1"/>
    <col min="38" max="38" width="20.7109375" style="3" hidden="1" customWidth="1" outlineLevel="1"/>
    <col min="39" max="39" width="19.7109375" style="3" hidden="1" customWidth="1" collapsed="1"/>
    <col min="40" max="40" width="23.7109375" style="3" hidden="1" customWidth="1"/>
    <col min="41" max="41" width="15.140625" style="3" customWidth="1"/>
    <col min="42" max="42" width="15.7109375" style="3" hidden="1" customWidth="1"/>
    <col min="43" max="44" width="14.421875" style="3" hidden="1" customWidth="1"/>
    <col min="45" max="45" width="15.421875" style="3" hidden="1" customWidth="1"/>
    <col min="46" max="16384" width="11.421875" style="3" customWidth="1"/>
  </cols>
  <sheetData>
    <row r="1" ht="16.5">
      <c r="A1" s="2" t="s">
        <v>0</v>
      </c>
    </row>
    <row r="2" ht="16.5">
      <c r="A2" s="2" t="s">
        <v>1</v>
      </c>
    </row>
    <row r="3" ht="16.5">
      <c r="A3" s="2" t="s">
        <v>134</v>
      </c>
    </row>
    <row r="4" ht="16.5">
      <c r="A4" s="2" t="s">
        <v>182</v>
      </c>
    </row>
    <row r="5" spans="1:43" ht="16.5">
      <c r="A5" s="2" t="s">
        <v>419</v>
      </c>
      <c r="AQ5" s="2"/>
    </row>
    <row r="6" spans="1:34" ht="17.25" thickBot="1">
      <c r="A6" s="4"/>
      <c r="B6" s="4"/>
      <c r="C6" s="4"/>
      <c r="D6" s="4"/>
      <c r="E6" s="4"/>
      <c r="F6" s="4"/>
      <c r="G6" s="4"/>
      <c r="H6" s="4"/>
      <c r="I6" s="5"/>
      <c r="M6" s="6"/>
      <c r="O6" s="4"/>
      <c r="AC6" s="6"/>
      <c r="AH6" s="6"/>
    </row>
    <row r="7" spans="1:46" s="405" customFormat="1" ht="18" customHeight="1" thickBot="1">
      <c r="A7" s="700" t="s">
        <v>2</v>
      </c>
      <c r="B7" s="549" t="s">
        <v>417</v>
      </c>
      <c r="C7" s="700" t="s">
        <v>232</v>
      </c>
      <c r="D7" s="700" t="s">
        <v>227</v>
      </c>
      <c r="E7" s="700" t="s">
        <v>281</v>
      </c>
      <c r="F7" s="700" t="s">
        <v>286</v>
      </c>
      <c r="G7" s="700" t="s">
        <v>304</v>
      </c>
      <c r="H7" s="422" t="s">
        <v>313</v>
      </c>
      <c r="I7" s="401" t="s">
        <v>308</v>
      </c>
      <c r="J7" s="699" t="s">
        <v>122</v>
      </c>
      <c r="K7" s="699"/>
      <c r="L7" s="699"/>
      <c r="M7" s="699"/>
      <c r="N7" s="696" t="s">
        <v>123</v>
      </c>
      <c r="O7" s="697"/>
      <c r="P7" s="697"/>
      <c r="Q7" s="698"/>
      <c r="R7" s="699" t="s">
        <v>129</v>
      </c>
      <c r="S7" s="699"/>
      <c r="T7" s="699"/>
      <c r="U7" s="699"/>
      <c r="V7" s="699"/>
      <c r="W7" s="699" t="s">
        <v>131</v>
      </c>
      <c r="X7" s="699"/>
      <c r="Y7" s="699"/>
      <c r="Z7" s="699"/>
      <c r="AA7" s="699"/>
      <c r="AB7" s="401" t="s">
        <v>77</v>
      </c>
      <c r="AC7" s="401" t="s">
        <v>6</v>
      </c>
      <c r="AD7" s="401" t="s">
        <v>6</v>
      </c>
      <c r="AE7" s="401" t="s">
        <v>6</v>
      </c>
      <c r="AF7" s="401" t="s">
        <v>6</v>
      </c>
      <c r="AG7" s="401" t="s">
        <v>7</v>
      </c>
      <c r="AH7" s="401" t="s">
        <v>10</v>
      </c>
      <c r="AI7" s="401" t="s">
        <v>10</v>
      </c>
      <c r="AJ7" s="401" t="s">
        <v>10</v>
      </c>
      <c r="AK7" s="401" t="s">
        <v>10</v>
      </c>
      <c r="AL7" s="401" t="s">
        <v>5</v>
      </c>
      <c r="AM7" s="401" t="s">
        <v>78</v>
      </c>
      <c r="AN7" s="401" t="s">
        <v>79</v>
      </c>
      <c r="AO7" s="401" t="s">
        <v>80</v>
      </c>
      <c r="AP7" s="404" t="s">
        <v>81</v>
      </c>
      <c r="AQ7" s="404" t="s">
        <v>81</v>
      </c>
      <c r="AR7" s="404" t="s">
        <v>81</v>
      </c>
      <c r="AS7" s="404" t="s">
        <v>81</v>
      </c>
      <c r="AT7" s="405" t="s">
        <v>130</v>
      </c>
    </row>
    <row r="8" spans="1:45" s="405" customFormat="1" ht="17.25" thickBot="1">
      <c r="A8" s="701"/>
      <c r="B8" s="402" t="s">
        <v>97</v>
      </c>
      <c r="C8" s="701"/>
      <c r="D8" s="701"/>
      <c r="E8" s="701"/>
      <c r="F8" s="701"/>
      <c r="G8" s="701"/>
      <c r="H8" s="423" t="s">
        <v>302</v>
      </c>
      <c r="I8" s="402" t="s">
        <v>83</v>
      </c>
      <c r="J8" s="403" t="s">
        <v>217</v>
      </c>
      <c r="K8" s="403" t="s">
        <v>229</v>
      </c>
      <c r="L8" s="403" t="s">
        <v>223</v>
      </c>
      <c r="M8" s="403" t="s">
        <v>83</v>
      </c>
      <c r="N8" s="402" t="s">
        <v>224</v>
      </c>
      <c r="O8" s="402" t="s">
        <v>283</v>
      </c>
      <c r="P8" s="402" t="s">
        <v>282</v>
      </c>
      <c r="Q8" s="402" t="s">
        <v>83</v>
      </c>
      <c r="R8" s="402" t="s">
        <v>284</v>
      </c>
      <c r="S8" s="402" t="s">
        <v>291</v>
      </c>
      <c r="T8" s="402" t="s">
        <v>301</v>
      </c>
      <c r="U8" s="402" t="s">
        <v>295</v>
      </c>
      <c r="V8" s="402" t="s">
        <v>83</v>
      </c>
      <c r="W8" s="402" t="s">
        <v>296</v>
      </c>
      <c r="X8" s="402" t="s">
        <v>304</v>
      </c>
      <c r="Y8" s="423" t="s">
        <v>310</v>
      </c>
      <c r="Z8" s="421"/>
      <c r="AA8" s="402" t="s">
        <v>83</v>
      </c>
      <c r="AB8" s="402" t="s">
        <v>5</v>
      </c>
      <c r="AC8" s="402" t="s">
        <v>12</v>
      </c>
      <c r="AD8" s="402" t="s">
        <v>13</v>
      </c>
      <c r="AE8" s="402" t="s">
        <v>14</v>
      </c>
      <c r="AF8" s="402" t="s">
        <v>15</v>
      </c>
      <c r="AG8" s="402" t="s">
        <v>6</v>
      </c>
      <c r="AH8" s="402" t="s">
        <v>12</v>
      </c>
      <c r="AI8" s="402" t="s">
        <v>13</v>
      </c>
      <c r="AJ8" s="402" t="s">
        <v>14</v>
      </c>
      <c r="AK8" s="402" t="s">
        <v>15</v>
      </c>
      <c r="AL8" s="402"/>
      <c r="AM8" s="402" t="s">
        <v>84</v>
      </c>
      <c r="AN8" s="402" t="s">
        <v>6</v>
      </c>
      <c r="AO8" s="402" t="s">
        <v>19</v>
      </c>
      <c r="AP8" s="407" t="s">
        <v>12</v>
      </c>
      <c r="AQ8" s="407" t="s">
        <v>13</v>
      </c>
      <c r="AR8" s="407" t="s">
        <v>14</v>
      </c>
      <c r="AS8" s="407" t="s">
        <v>15</v>
      </c>
    </row>
    <row r="9" spans="1:45" ht="15" customHeight="1">
      <c r="A9" s="178" t="s">
        <v>22</v>
      </c>
      <c r="B9" s="37" t="s">
        <v>130</v>
      </c>
      <c r="C9" s="96"/>
      <c r="D9" s="96"/>
      <c r="E9" s="96"/>
      <c r="F9" s="96"/>
      <c r="G9" s="96"/>
      <c r="H9" s="96"/>
      <c r="I9" s="37"/>
      <c r="J9" s="101"/>
      <c r="K9" s="59"/>
      <c r="L9" s="59"/>
      <c r="M9" s="59"/>
      <c r="N9" s="37"/>
      <c r="O9" s="96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179"/>
    </row>
    <row r="10" spans="1:45" ht="15" customHeight="1">
      <c r="A10" s="170" t="s">
        <v>23</v>
      </c>
      <c r="B10" s="7"/>
      <c r="C10" s="8"/>
      <c r="D10" s="8"/>
      <c r="E10" s="8"/>
      <c r="F10" s="8"/>
      <c r="G10" s="8"/>
      <c r="H10" s="8"/>
      <c r="I10" s="7"/>
      <c r="J10" s="10"/>
      <c r="K10" s="7"/>
      <c r="L10" s="7"/>
      <c r="M10" s="10"/>
      <c r="N10" s="7"/>
      <c r="O10" s="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103"/>
    </row>
    <row r="11" spans="1:45" ht="15" customHeight="1">
      <c r="A11" s="170" t="s">
        <v>24</v>
      </c>
      <c r="B11" s="7">
        <v>187384722</v>
      </c>
      <c r="C11" s="8"/>
      <c r="D11" s="8"/>
      <c r="E11" s="8"/>
      <c r="F11" s="8"/>
      <c r="G11" s="8"/>
      <c r="H11" s="8"/>
      <c r="I11" s="7">
        <f>SUM(B11:H11)</f>
        <v>187384722</v>
      </c>
      <c r="J11" s="10">
        <v>42194080.21555</v>
      </c>
      <c r="K11" s="233"/>
      <c r="L11" s="7">
        <v>-2252709.215549998</v>
      </c>
      <c r="M11" s="10">
        <f>SUM(J11:L11)</f>
        <v>39941371</v>
      </c>
      <c r="N11" s="233">
        <v>47230458.1995</v>
      </c>
      <c r="O11" s="8">
        <v>-6459</v>
      </c>
      <c r="P11" s="7">
        <f aca="true" t="shared" si="0" ref="P11:P20">+AD11-N11-O11</f>
        <v>-2609350.199500002</v>
      </c>
      <c r="Q11" s="7">
        <f aca="true" t="shared" si="1" ref="Q11:Q20">SUM(N11:P11)</f>
        <v>44614649</v>
      </c>
      <c r="R11" s="7">
        <v>47230458.1995</v>
      </c>
      <c r="S11" s="7"/>
      <c r="T11" s="7">
        <v>-475758</v>
      </c>
      <c r="U11" s="7">
        <f>-R11-S11-T11+AE11</f>
        <v>-0.19950000196695328</v>
      </c>
      <c r="V11" s="7">
        <f>+SUM(R11:U11)</f>
        <v>46754700</v>
      </c>
      <c r="W11" s="7">
        <v>56074002</v>
      </c>
      <c r="X11" s="7"/>
      <c r="Y11" s="7"/>
      <c r="Z11" s="7"/>
      <c r="AA11" s="7">
        <f>+SUM(W11:Z11)</f>
        <v>56074002</v>
      </c>
      <c r="AB11" s="7">
        <f aca="true" t="shared" si="2" ref="AB11:AB20">+M11+Q11+V11+AA11</f>
        <v>187384722</v>
      </c>
      <c r="AC11" s="414">
        <f>+'[4]TÉC ENE-MAR-11'!$G$9</f>
        <v>39941371</v>
      </c>
      <c r="AD11" s="414">
        <f>+'[4]TÉC ABR-JUN-11'!$G$9</f>
        <v>44614649</v>
      </c>
      <c r="AE11" s="414">
        <f>+'[4]TEC JUL-SEP-11'!$G$9</f>
        <v>46754700</v>
      </c>
      <c r="AF11" s="414">
        <f>+'[4]TEC OCT-DIC'!$G$9</f>
        <v>45651865</v>
      </c>
      <c r="AG11" s="414">
        <f>SUM(AC11:AF11)</f>
        <v>176962585</v>
      </c>
      <c r="AH11" s="7">
        <f aca="true" t="shared" si="3" ref="AH11:AH20">+M11-AC11</f>
        <v>0</v>
      </c>
      <c r="AI11" s="12">
        <f aca="true" t="shared" si="4" ref="AI11:AI20">+Q11-AD11</f>
        <v>0</v>
      </c>
      <c r="AJ11" s="7">
        <f aca="true" t="shared" si="5" ref="AJ11:AJ20">+V11-AE11</f>
        <v>0</v>
      </c>
      <c r="AK11" s="12">
        <f aca="true" t="shared" si="6" ref="AK11:AK20">+AA11-AF11</f>
        <v>10422137</v>
      </c>
      <c r="AL11" s="7">
        <f>+AB11</f>
        <v>187384722</v>
      </c>
      <c r="AM11" s="7">
        <f aca="true" t="shared" si="7" ref="AM11:AM20">+I11-AL11</f>
        <v>0</v>
      </c>
      <c r="AN11" s="7">
        <f>+AL11-AG11</f>
        <v>10422137</v>
      </c>
      <c r="AO11" s="130">
        <f>+AG11/I11</f>
        <v>0.9443810739276812</v>
      </c>
      <c r="AP11" s="130">
        <f>+AC11/M11</f>
        <v>1</v>
      </c>
      <c r="AQ11" s="130">
        <f>+AD11/Q11</f>
        <v>1</v>
      </c>
      <c r="AR11" s="130">
        <f>+AE11/V11</f>
        <v>1</v>
      </c>
      <c r="AS11" s="135">
        <f>+AF11/AA11</f>
        <v>0.8141360233214673</v>
      </c>
    </row>
    <row r="12" spans="1:45" ht="15" customHeight="1">
      <c r="A12" s="170" t="s">
        <v>25</v>
      </c>
      <c r="B12" s="7">
        <v>8780686</v>
      </c>
      <c r="C12" s="8"/>
      <c r="D12" s="8"/>
      <c r="E12" s="8"/>
      <c r="F12" s="8"/>
      <c r="G12" s="8"/>
      <c r="H12" s="8"/>
      <c r="I12" s="7">
        <f aca="true" t="shared" si="8" ref="I12:I19">SUM(B12:H12)</f>
        <v>8780686</v>
      </c>
      <c r="J12" s="7">
        <v>1948763.5339553151</v>
      </c>
      <c r="K12" s="233"/>
      <c r="L12" s="7">
        <v>-268029.5339553151</v>
      </c>
      <c r="M12" s="7">
        <f aca="true" t="shared" si="9" ref="M12:M20">SUM(J12:L12)</f>
        <v>1680734</v>
      </c>
      <c r="N12" s="233">
        <v>2194293.4480183497</v>
      </c>
      <c r="O12" s="8"/>
      <c r="P12" s="7">
        <f t="shared" si="0"/>
        <v>-91952.4480183497</v>
      </c>
      <c r="Q12" s="7">
        <f t="shared" si="1"/>
        <v>2102341</v>
      </c>
      <c r="R12" s="7">
        <v>2194293.4480183497</v>
      </c>
      <c r="S12" s="7"/>
      <c r="T12" s="7">
        <v>382032</v>
      </c>
      <c r="U12" s="7">
        <f aca="true" t="shared" si="10" ref="U12:U19">-R12-S12-T12+AE12</f>
        <v>-0.4480183497071266</v>
      </c>
      <c r="V12" s="7">
        <f aca="true" t="shared" si="11" ref="V12:V20">+SUM(R12:U12)</f>
        <v>2576325</v>
      </c>
      <c r="W12" s="7">
        <v>2421286</v>
      </c>
      <c r="X12" s="7"/>
      <c r="Y12" s="7"/>
      <c r="Z12" s="7"/>
      <c r="AA12" s="7">
        <f aca="true" t="shared" si="12" ref="AA12:AA20">+SUM(W12:Z12)</f>
        <v>2421286</v>
      </c>
      <c r="AB12" s="7">
        <f t="shared" si="2"/>
        <v>8780686</v>
      </c>
      <c r="AC12" s="414">
        <f>+'[4]TÉC ENE-MAR-11'!$G$20</f>
        <v>1680734</v>
      </c>
      <c r="AD12" s="414">
        <f>+'[4]TÉC ABR-JUN-11'!$G$23</f>
        <v>2102341</v>
      </c>
      <c r="AE12" s="414">
        <f>+'[4]TEC JUL-SEP-11'!$G$21</f>
        <v>2576325</v>
      </c>
      <c r="AF12" s="414">
        <f>+'[4]TEC OCT-DIC'!$G$22</f>
        <v>2195173</v>
      </c>
      <c r="AG12" s="414">
        <f aca="true" t="shared" si="13" ref="AG12:AG20">SUM(AC12:AF12)</f>
        <v>8554573</v>
      </c>
      <c r="AH12" s="7">
        <f t="shared" si="3"/>
        <v>0</v>
      </c>
      <c r="AI12" s="12">
        <f t="shared" si="4"/>
        <v>0</v>
      </c>
      <c r="AJ12" s="7">
        <f t="shared" si="5"/>
        <v>0</v>
      </c>
      <c r="AK12" s="12">
        <f t="shared" si="6"/>
        <v>226113</v>
      </c>
      <c r="AL12" s="7">
        <f aca="true" t="shared" si="14" ref="AL12:AL20">+AB12</f>
        <v>8780686</v>
      </c>
      <c r="AM12" s="7">
        <f t="shared" si="7"/>
        <v>0</v>
      </c>
      <c r="AN12" s="7">
        <f aca="true" t="shared" si="15" ref="AN12:AN20">+AL12-AG12</f>
        <v>226113</v>
      </c>
      <c r="AO12" s="130">
        <f>+AG12/I12</f>
        <v>0.974248822927958</v>
      </c>
      <c r="AP12" s="130">
        <f>+AC12/M12</f>
        <v>1</v>
      </c>
      <c r="AQ12" s="130">
        <f>+AD12/Q12</f>
        <v>1</v>
      </c>
      <c r="AR12" s="130">
        <f>+AE12/V12</f>
        <v>1</v>
      </c>
      <c r="AS12" s="135">
        <f aca="true" t="shared" si="16" ref="AS12:AS19">+AF12/AA12</f>
        <v>0.9066145015500028</v>
      </c>
    </row>
    <row r="13" spans="1:45" ht="15" customHeight="1">
      <c r="A13" s="170" t="s">
        <v>26</v>
      </c>
      <c r="B13" s="7">
        <v>1053682</v>
      </c>
      <c r="C13" s="8"/>
      <c r="D13" s="8"/>
      <c r="E13" s="8"/>
      <c r="F13" s="8"/>
      <c r="G13" s="8"/>
      <c r="H13" s="8"/>
      <c r="I13" s="7">
        <f t="shared" si="8"/>
        <v>1053682</v>
      </c>
      <c r="J13" s="7">
        <v>233851.6240746378</v>
      </c>
      <c r="K13" s="233"/>
      <c r="L13" s="7">
        <v>-32163.624074637803</v>
      </c>
      <c r="M13" s="7">
        <f t="shared" si="9"/>
        <v>201688</v>
      </c>
      <c r="N13" s="233">
        <v>263315.21376220195</v>
      </c>
      <c r="O13" s="8"/>
      <c r="P13" s="7">
        <f t="shared" si="0"/>
        <v>-248119.21376220195</v>
      </c>
      <c r="Q13" s="7">
        <f t="shared" si="1"/>
        <v>15196</v>
      </c>
      <c r="R13" s="7">
        <v>263315.21376220195</v>
      </c>
      <c r="S13" s="7"/>
      <c r="T13" s="7">
        <v>73231</v>
      </c>
      <c r="U13" s="7">
        <f t="shared" si="10"/>
        <v>-0.21376220195088536</v>
      </c>
      <c r="V13" s="7">
        <f t="shared" si="11"/>
        <v>336546</v>
      </c>
      <c r="W13" s="7">
        <v>500252</v>
      </c>
      <c r="X13" s="7"/>
      <c r="Y13" s="7"/>
      <c r="Z13" s="7"/>
      <c r="AA13" s="7">
        <f t="shared" si="12"/>
        <v>500252</v>
      </c>
      <c r="AB13" s="7">
        <f t="shared" si="2"/>
        <v>1053682</v>
      </c>
      <c r="AC13" s="414">
        <f>+'[4]TÉC ENE-MAR-11'!$G$27</f>
        <v>201688</v>
      </c>
      <c r="AD13" s="414">
        <f>+'[4]TÉC ABR-JUN-11'!$G$31</f>
        <v>15196</v>
      </c>
      <c r="AE13" s="414">
        <f>+'[4]TEC JUL-SEP-11'!$G$28</f>
        <v>336546</v>
      </c>
      <c r="AF13" s="414">
        <f>+'[4]TEC OCT-DIC'!$G$29</f>
        <v>447418</v>
      </c>
      <c r="AG13" s="414">
        <f t="shared" si="13"/>
        <v>1000848</v>
      </c>
      <c r="AH13" s="7">
        <f t="shared" si="3"/>
        <v>0</v>
      </c>
      <c r="AI13" s="12">
        <f t="shared" si="4"/>
        <v>0</v>
      </c>
      <c r="AJ13" s="7">
        <f t="shared" si="5"/>
        <v>0</v>
      </c>
      <c r="AK13" s="12">
        <f t="shared" si="6"/>
        <v>52834</v>
      </c>
      <c r="AL13" s="7">
        <f t="shared" si="14"/>
        <v>1053682</v>
      </c>
      <c r="AM13" s="7">
        <f t="shared" si="7"/>
        <v>0</v>
      </c>
      <c r="AN13" s="7">
        <f t="shared" si="15"/>
        <v>52834</v>
      </c>
      <c r="AO13" s="130">
        <f>+AG13/I13</f>
        <v>0.9498577369642833</v>
      </c>
      <c r="AP13" s="130">
        <f>+AC13/M13</f>
        <v>1</v>
      </c>
      <c r="AQ13" s="130">
        <f>+AD13/Q13</f>
        <v>1</v>
      </c>
      <c r="AR13" s="130">
        <f>+AE13/V13</f>
        <v>1</v>
      </c>
      <c r="AS13" s="135">
        <f t="shared" si="16"/>
        <v>0.8943852298441586</v>
      </c>
    </row>
    <row r="14" spans="1:45" ht="15" customHeight="1">
      <c r="A14" s="170" t="s">
        <v>27</v>
      </c>
      <c r="B14" s="7">
        <v>8780686</v>
      </c>
      <c r="C14" s="8"/>
      <c r="D14" s="8"/>
      <c r="E14" s="8"/>
      <c r="F14" s="8"/>
      <c r="G14" s="8"/>
      <c r="H14" s="8"/>
      <c r="I14" s="7">
        <f t="shared" si="8"/>
        <v>8780686</v>
      </c>
      <c r="J14" s="7">
        <v>1948763.5339553151</v>
      </c>
      <c r="K14" s="233"/>
      <c r="L14" s="7">
        <v>-268029.5339553151</v>
      </c>
      <c r="M14" s="7">
        <f t="shared" si="9"/>
        <v>1680734</v>
      </c>
      <c r="N14" s="233">
        <v>2194293.4480183497</v>
      </c>
      <c r="O14" s="8"/>
      <c r="P14" s="7">
        <f t="shared" si="0"/>
        <v>-91952.4480183497</v>
      </c>
      <c r="Q14" s="7">
        <f t="shared" si="1"/>
        <v>2102341</v>
      </c>
      <c r="R14" s="7">
        <v>2194293.4480183497</v>
      </c>
      <c r="S14" s="7"/>
      <c r="T14" s="7">
        <v>382032</v>
      </c>
      <c r="U14" s="7">
        <f t="shared" si="10"/>
        <v>-0.4480183497071266</v>
      </c>
      <c r="V14" s="7">
        <f t="shared" si="11"/>
        <v>2576325</v>
      </c>
      <c r="W14" s="7">
        <v>2421286</v>
      </c>
      <c r="X14" s="7"/>
      <c r="Y14" s="7"/>
      <c r="Z14" s="7"/>
      <c r="AA14" s="7">
        <f t="shared" si="12"/>
        <v>2421286</v>
      </c>
      <c r="AB14" s="7">
        <f t="shared" si="2"/>
        <v>8780686</v>
      </c>
      <c r="AC14" s="414">
        <f>+'[4]TÉC ENE-MAR-11'!$G$34</f>
        <v>1680734</v>
      </c>
      <c r="AD14" s="414">
        <f>+'[4]TÉC ABR-JUN-11'!$G$39</f>
        <v>2102341</v>
      </c>
      <c r="AE14" s="414">
        <f>+'[4]TEC JUL-SEP-11'!$G$35</f>
        <v>2576325</v>
      </c>
      <c r="AF14" s="414">
        <f>+'[4]TEC OCT-DIC'!$G$36</f>
        <v>1814018</v>
      </c>
      <c r="AG14" s="414">
        <f t="shared" si="13"/>
        <v>8173418</v>
      </c>
      <c r="AH14" s="7">
        <f t="shared" si="3"/>
        <v>0</v>
      </c>
      <c r="AI14" s="12">
        <f t="shared" si="4"/>
        <v>0</v>
      </c>
      <c r="AJ14" s="7">
        <f t="shared" si="5"/>
        <v>0</v>
      </c>
      <c r="AK14" s="12">
        <f t="shared" si="6"/>
        <v>607268</v>
      </c>
      <c r="AL14" s="7">
        <f t="shared" si="14"/>
        <v>8780686</v>
      </c>
      <c r="AM14" s="7">
        <f t="shared" si="7"/>
        <v>0</v>
      </c>
      <c r="AN14" s="7">
        <f t="shared" si="15"/>
        <v>607268</v>
      </c>
      <c r="AO14" s="130">
        <f>+AG14/I14</f>
        <v>0.9308404833062018</v>
      </c>
      <c r="AP14" s="130">
        <f>+AC14/M14</f>
        <v>1</v>
      </c>
      <c r="AQ14" s="130">
        <f>+AD14/Q14</f>
        <v>1</v>
      </c>
      <c r="AR14" s="130">
        <f>+AE14/V14</f>
        <v>1</v>
      </c>
      <c r="AS14" s="135">
        <f t="shared" si="16"/>
        <v>0.7491960883596568</v>
      </c>
    </row>
    <row r="15" spans="1:45" ht="15" customHeight="1">
      <c r="A15" s="170" t="s">
        <v>28</v>
      </c>
      <c r="B15" s="7">
        <v>7871743</v>
      </c>
      <c r="C15" s="8"/>
      <c r="D15" s="8"/>
      <c r="E15" s="8"/>
      <c r="F15" s="8"/>
      <c r="G15" s="8"/>
      <c r="H15" s="8"/>
      <c r="I15" s="7">
        <f t="shared" si="8"/>
        <v>7871743</v>
      </c>
      <c r="J15" s="7">
        <v>1961553.74691915</v>
      </c>
      <c r="K15" s="233"/>
      <c r="L15" s="7">
        <v>-297328.74691915</v>
      </c>
      <c r="M15" s="7">
        <f t="shared" si="9"/>
        <v>1664225</v>
      </c>
      <c r="N15" s="233">
        <v>1961553.74691915</v>
      </c>
      <c r="O15" s="8">
        <v>6459</v>
      </c>
      <c r="P15" s="7">
        <f t="shared" si="0"/>
        <v>0.25308085000142455</v>
      </c>
      <c r="Q15" s="7">
        <f t="shared" si="1"/>
        <v>1968013</v>
      </c>
      <c r="R15" s="7">
        <v>1961553.74691915</v>
      </c>
      <c r="S15" s="7"/>
      <c r="T15" s="7">
        <v>173109</v>
      </c>
      <c r="U15" s="7">
        <f t="shared" si="10"/>
        <v>0.25308085000142455</v>
      </c>
      <c r="V15" s="7">
        <f t="shared" si="11"/>
        <v>2134663</v>
      </c>
      <c r="W15" s="7">
        <v>2104842</v>
      </c>
      <c r="X15" s="7"/>
      <c r="Y15" s="7"/>
      <c r="Z15" s="7"/>
      <c r="AA15" s="7">
        <f t="shared" si="12"/>
        <v>2104842</v>
      </c>
      <c r="AB15" s="7">
        <f t="shared" si="2"/>
        <v>7871743</v>
      </c>
      <c r="AC15" s="414">
        <f>+'[4]TÉC ENE-MAR-11'!$G$41</f>
        <v>1664225</v>
      </c>
      <c r="AD15" s="414">
        <f>+'[4]TÉC ABR-JUN-11'!$G$47</f>
        <v>1968013</v>
      </c>
      <c r="AE15" s="414">
        <f>+'[4]TEC JUL-SEP-11'!$G$42</f>
        <v>2134663</v>
      </c>
      <c r="AF15" s="414">
        <f>+'[4]TEC OCT-DIC'!$G$43</f>
        <v>2038674</v>
      </c>
      <c r="AG15" s="414">
        <f t="shared" si="13"/>
        <v>7805575</v>
      </c>
      <c r="AH15" s="7">
        <f t="shared" si="3"/>
        <v>0</v>
      </c>
      <c r="AI15" s="12">
        <f t="shared" si="4"/>
        <v>0</v>
      </c>
      <c r="AJ15" s="7">
        <f t="shared" si="5"/>
        <v>0</v>
      </c>
      <c r="AK15" s="12">
        <f t="shared" si="6"/>
        <v>66168</v>
      </c>
      <c r="AL15" s="7">
        <f t="shared" si="14"/>
        <v>7871743</v>
      </c>
      <c r="AM15" s="7">
        <f t="shared" si="7"/>
        <v>0</v>
      </c>
      <c r="AN15" s="7">
        <f t="shared" si="15"/>
        <v>66168</v>
      </c>
      <c r="AO15" s="130">
        <f>+AG15/I15</f>
        <v>0.9915942377691954</v>
      </c>
      <c r="AP15" s="130">
        <f>+AC15/M15</f>
        <v>1</v>
      </c>
      <c r="AQ15" s="130">
        <f>+AD15/Q15</f>
        <v>1</v>
      </c>
      <c r="AR15" s="130">
        <f>+AE15/V15</f>
        <v>1</v>
      </c>
      <c r="AS15" s="135">
        <f t="shared" si="16"/>
        <v>0.9685639112104376</v>
      </c>
    </row>
    <row r="16" spans="1:45" ht="15" customHeight="1">
      <c r="A16" s="170" t="s">
        <v>29</v>
      </c>
      <c r="B16" s="7"/>
      <c r="C16" s="8"/>
      <c r="D16" s="8"/>
      <c r="E16" s="8"/>
      <c r="F16" s="8"/>
      <c r="G16" s="8"/>
      <c r="H16" s="8"/>
      <c r="I16" s="7">
        <f t="shared" si="8"/>
        <v>0</v>
      </c>
      <c r="J16" s="7"/>
      <c r="K16" s="233"/>
      <c r="L16" s="7">
        <v>0</v>
      </c>
      <c r="M16" s="7">
        <f t="shared" si="9"/>
        <v>0</v>
      </c>
      <c r="N16" s="233">
        <v>0</v>
      </c>
      <c r="O16" s="8"/>
      <c r="P16" s="7">
        <f t="shared" si="0"/>
        <v>0</v>
      </c>
      <c r="Q16" s="7">
        <f t="shared" si="1"/>
        <v>0</v>
      </c>
      <c r="R16" s="7">
        <v>0</v>
      </c>
      <c r="S16" s="7"/>
      <c r="T16" s="7">
        <f>-R16+AE16</f>
        <v>0</v>
      </c>
      <c r="U16" s="7">
        <f t="shared" si="10"/>
        <v>0</v>
      </c>
      <c r="V16" s="7">
        <f t="shared" si="11"/>
        <v>0</v>
      </c>
      <c r="W16" s="7">
        <v>0</v>
      </c>
      <c r="X16" s="7"/>
      <c r="Y16" s="7"/>
      <c r="Z16" s="7"/>
      <c r="AA16" s="7">
        <f t="shared" si="12"/>
        <v>0</v>
      </c>
      <c r="AB16" s="7">
        <f t="shared" si="2"/>
        <v>0</v>
      </c>
      <c r="AC16" s="414"/>
      <c r="AD16" s="414"/>
      <c r="AE16" s="414"/>
      <c r="AF16" s="414"/>
      <c r="AG16" s="414">
        <f t="shared" si="13"/>
        <v>0</v>
      </c>
      <c r="AH16" s="7">
        <f t="shared" si="3"/>
        <v>0</v>
      </c>
      <c r="AI16" s="12">
        <f t="shared" si="4"/>
        <v>0</v>
      </c>
      <c r="AJ16" s="7">
        <f t="shared" si="5"/>
        <v>0</v>
      </c>
      <c r="AK16" s="12">
        <f t="shared" si="6"/>
        <v>0</v>
      </c>
      <c r="AL16" s="7">
        <f t="shared" si="14"/>
        <v>0</v>
      </c>
      <c r="AM16" s="7">
        <f t="shared" si="7"/>
        <v>0</v>
      </c>
      <c r="AN16" s="7">
        <f t="shared" si="15"/>
        <v>0</v>
      </c>
      <c r="AO16" s="130">
        <v>0</v>
      </c>
      <c r="AP16" s="130">
        <v>0</v>
      </c>
      <c r="AQ16" s="130">
        <v>0</v>
      </c>
      <c r="AR16" s="130">
        <v>0</v>
      </c>
      <c r="AS16" s="135">
        <v>0</v>
      </c>
    </row>
    <row r="17" spans="1:45" ht="15" customHeight="1">
      <c r="A17" s="170" t="s">
        <v>30</v>
      </c>
      <c r="B17" s="7">
        <v>33947102.11301639</v>
      </c>
      <c r="C17" s="8"/>
      <c r="D17" s="8"/>
      <c r="E17" s="8"/>
      <c r="F17" s="8"/>
      <c r="G17" s="8"/>
      <c r="H17" s="8"/>
      <c r="I17" s="7">
        <f t="shared" si="8"/>
        <v>33947102.11301639</v>
      </c>
      <c r="J17" s="7">
        <v>7643870.84955292</v>
      </c>
      <c r="K17" s="233"/>
      <c r="L17" s="7">
        <v>-88064.84955292009</v>
      </c>
      <c r="M17" s="7">
        <f t="shared" si="9"/>
        <v>7555806</v>
      </c>
      <c r="N17" s="233">
        <v>8571329.11229889</v>
      </c>
      <c r="O17" s="8"/>
      <c r="P17" s="7">
        <f t="shared" si="0"/>
        <v>-530386.1122988891</v>
      </c>
      <c r="Q17" s="7">
        <f t="shared" si="1"/>
        <v>8040943</v>
      </c>
      <c r="R17" s="7">
        <v>8571329.11229889</v>
      </c>
      <c r="S17" s="7"/>
      <c r="T17" s="7"/>
      <c r="U17" s="7">
        <f t="shared" si="10"/>
        <v>-5427.112298889086</v>
      </c>
      <c r="V17" s="7">
        <f t="shared" si="11"/>
        <v>8565902</v>
      </c>
      <c r="W17" s="7">
        <v>9784451.11301639</v>
      </c>
      <c r="X17" s="7"/>
      <c r="Y17" s="7"/>
      <c r="Z17" s="7"/>
      <c r="AA17" s="7">
        <f t="shared" si="12"/>
        <v>9784451.11301639</v>
      </c>
      <c r="AB17" s="7">
        <f t="shared" si="2"/>
        <v>33947102.11301639</v>
      </c>
      <c r="AC17" s="414">
        <f>+'[4]TÉC ENE-MAR-11'!$G$48</f>
        <v>7555806</v>
      </c>
      <c r="AD17" s="414">
        <f>+'[4]TÉC ABR-JUN-11'!$G$55</f>
        <v>8040943</v>
      </c>
      <c r="AE17" s="414">
        <f>+'[4]TEC JUL-SEP-11'!$G$50</f>
        <v>8565902</v>
      </c>
      <c r="AF17" s="414">
        <f>+'[4]TEC OCT-DIC'!$G$50</f>
        <v>8559402</v>
      </c>
      <c r="AG17" s="414">
        <f t="shared" si="13"/>
        <v>32722053</v>
      </c>
      <c r="AH17" s="7">
        <f t="shared" si="3"/>
        <v>0</v>
      </c>
      <c r="AI17" s="12">
        <f t="shared" si="4"/>
        <v>0</v>
      </c>
      <c r="AJ17" s="7">
        <f t="shared" si="5"/>
        <v>0</v>
      </c>
      <c r="AK17" s="12">
        <f t="shared" si="6"/>
        <v>1225049.1130163893</v>
      </c>
      <c r="AL17" s="7">
        <f t="shared" si="14"/>
        <v>33947102.11301639</v>
      </c>
      <c r="AM17" s="7">
        <f t="shared" si="7"/>
        <v>0</v>
      </c>
      <c r="AN17" s="7">
        <f t="shared" si="15"/>
        <v>1225049.1130163893</v>
      </c>
      <c r="AO17" s="130">
        <f>+AG17/I17</f>
        <v>0.9639129988492695</v>
      </c>
      <c r="AP17" s="130">
        <f>+AC17/M17</f>
        <v>1</v>
      </c>
      <c r="AQ17" s="130">
        <f>+AD17/Q17</f>
        <v>1</v>
      </c>
      <c r="AR17" s="130">
        <f>+AE17/V17</f>
        <v>1</v>
      </c>
      <c r="AS17" s="135">
        <f t="shared" si="16"/>
        <v>0.8747963376927</v>
      </c>
    </row>
    <row r="18" spans="1:45" ht="15" customHeight="1">
      <c r="A18" s="170" t="s">
        <v>31</v>
      </c>
      <c r="B18" s="7">
        <v>6459347.752452933</v>
      </c>
      <c r="C18" s="8"/>
      <c r="D18" s="8"/>
      <c r="E18" s="8"/>
      <c r="F18" s="8"/>
      <c r="G18" s="8"/>
      <c r="H18" s="8"/>
      <c r="I18" s="7">
        <f t="shared" si="8"/>
        <v>6459347.752452933</v>
      </c>
      <c r="J18" s="7">
        <v>1454451.6886220002</v>
      </c>
      <c r="K18" s="233"/>
      <c r="L18" s="7">
        <v>-14251.688622000162</v>
      </c>
      <c r="M18" s="7">
        <f t="shared" si="9"/>
        <v>1440200</v>
      </c>
      <c r="N18" s="233">
        <v>1630925.52798</v>
      </c>
      <c r="O18" s="8"/>
      <c r="P18" s="7">
        <f t="shared" si="0"/>
        <v>-114325.52798000001</v>
      </c>
      <c r="Q18" s="7">
        <f t="shared" si="1"/>
        <v>1516600</v>
      </c>
      <c r="R18" s="7">
        <v>1630925.52798</v>
      </c>
      <c r="S18" s="7"/>
      <c r="T18" s="7"/>
      <c r="U18" s="7">
        <f t="shared" si="10"/>
        <v>-19925.527980000013</v>
      </c>
      <c r="V18" s="7">
        <f t="shared" si="11"/>
        <v>1611000</v>
      </c>
      <c r="W18" s="7">
        <v>1891547.7524529332</v>
      </c>
      <c r="X18" s="7"/>
      <c r="Y18" s="7"/>
      <c r="Z18" s="7"/>
      <c r="AA18" s="7">
        <f t="shared" si="12"/>
        <v>1891547.7524529332</v>
      </c>
      <c r="AB18" s="7">
        <f t="shared" si="2"/>
        <v>6459347.752452933</v>
      </c>
      <c r="AC18" s="414">
        <f>+'[4]TÉC ENE-MAR-11'!$G$55</f>
        <v>1440200</v>
      </c>
      <c r="AD18" s="414">
        <f>+'[4]TÉC ABR-JUN-11'!$G$62</f>
        <v>1516600</v>
      </c>
      <c r="AE18" s="414">
        <f>+'[4]TEC JUL-SEP-11'!$G$57</f>
        <v>1611000</v>
      </c>
      <c r="AF18" s="414">
        <f>+'[4]TEC OCT-DIC'!$G$57</f>
        <v>1631400</v>
      </c>
      <c r="AG18" s="414">
        <f t="shared" si="13"/>
        <v>6199200</v>
      </c>
      <c r="AH18" s="7">
        <f t="shared" si="3"/>
        <v>0</v>
      </c>
      <c r="AI18" s="12">
        <f t="shared" si="4"/>
        <v>0</v>
      </c>
      <c r="AJ18" s="7">
        <f t="shared" si="5"/>
        <v>0</v>
      </c>
      <c r="AK18" s="12">
        <f t="shared" si="6"/>
        <v>260147.75245293323</v>
      </c>
      <c r="AL18" s="7">
        <f t="shared" si="14"/>
        <v>6459347.752452933</v>
      </c>
      <c r="AM18" s="7">
        <f t="shared" si="7"/>
        <v>0</v>
      </c>
      <c r="AN18" s="7">
        <f t="shared" si="15"/>
        <v>260147.75245293323</v>
      </c>
      <c r="AO18" s="130">
        <f>+AG18/I18</f>
        <v>0.9597253836729657</v>
      </c>
      <c r="AP18" s="130">
        <f>+AC18/M18</f>
        <v>1</v>
      </c>
      <c r="AQ18" s="130">
        <f>+AD18/Q18</f>
        <v>1</v>
      </c>
      <c r="AR18" s="130">
        <f>+AE18/V18</f>
        <v>1</v>
      </c>
      <c r="AS18" s="135">
        <f t="shared" si="16"/>
        <v>0.8624683135196681</v>
      </c>
    </row>
    <row r="19" spans="1:45" ht="15" customHeight="1">
      <c r="A19" s="170" t="s">
        <v>32</v>
      </c>
      <c r="B19" s="7">
        <v>8074184.690566167</v>
      </c>
      <c r="C19" s="8"/>
      <c r="D19" s="8"/>
      <c r="E19" s="8"/>
      <c r="F19" s="8"/>
      <c r="G19" s="8"/>
      <c r="H19" s="8"/>
      <c r="I19" s="7">
        <f t="shared" si="8"/>
        <v>8074184.690566167</v>
      </c>
      <c r="J19" s="7">
        <v>1818064.6107775</v>
      </c>
      <c r="K19" s="233"/>
      <c r="L19" s="7">
        <v>-18064.610777500086</v>
      </c>
      <c r="M19" s="7">
        <f t="shared" si="9"/>
        <v>1800000</v>
      </c>
      <c r="N19" s="233">
        <v>2038656.9099750002</v>
      </c>
      <c r="O19" s="8"/>
      <c r="P19" s="7">
        <f t="shared" si="0"/>
        <v>-143156.9099750002</v>
      </c>
      <c r="Q19" s="7">
        <f t="shared" si="1"/>
        <v>1895500</v>
      </c>
      <c r="R19" s="7">
        <v>2038656.9099750002</v>
      </c>
      <c r="S19" s="7"/>
      <c r="T19" s="7"/>
      <c r="U19" s="7">
        <f t="shared" si="10"/>
        <v>-25056.90997500019</v>
      </c>
      <c r="V19" s="7">
        <f t="shared" si="11"/>
        <v>2013600</v>
      </c>
      <c r="W19" s="7">
        <v>2365084.6905661672</v>
      </c>
      <c r="X19" s="7"/>
      <c r="Y19" s="7"/>
      <c r="Z19" s="7"/>
      <c r="AA19" s="7">
        <f t="shared" si="12"/>
        <v>2365084.6905661672</v>
      </c>
      <c r="AB19" s="7">
        <f t="shared" si="2"/>
        <v>8074184.690566167</v>
      </c>
      <c r="AC19" s="414">
        <f>+'[4]TÉC ENE-MAR-11'!$G$62</f>
        <v>1800000</v>
      </c>
      <c r="AD19" s="414">
        <f>+'[4]TÉC ABR-JUN-11'!$G$69</f>
        <v>1895500</v>
      </c>
      <c r="AE19" s="414">
        <f>+'[4]TEC JUL-SEP-11'!$G$64</f>
        <v>2013600</v>
      </c>
      <c r="AF19" s="414">
        <f>+'[4]TEC OCT-DIC'!$G$64</f>
        <v>2039100</v>
      </c>
      <c r="AG19" s="414">
        <f t="shared" si="13"/>
        <v>7748200</v>
      </c>
      <c r="AH19" s="7">
        <f t="shared" si="3"/>
        <v>0</v>
      </c>
      <c r="AI19" s="12">
        <f t="shared" si="4"/>
        <v>0</v>
      </c>
      <c r="AJ19" s="7">
        <f t="shared" si="5"/>
        <v>0</v>
      </c>
      <c r="AK19" s="12">
        <f t="shared" si="6"/>
        <v>325984.69056616724</v>
      </c>
      <c r="AL19" s="7">
        <f t="shared" si="14"/>
        <v>8074184.690566167</v>
      </c>
      <c r="AM19" s="7">
        <f t="shared" si="7"/>
        <v>0</v>
      </c>
      <c r="AN19" s="7">
        <f t="shared" si="15"/>
        <v>325984.69056616724</v>
      </c>
      <c r="AO19" s="130">
        <f>+AG19/I19</f>
        <v>0.9596263024615914</v>
      </c>
      <c r="AP19" s="130">
        <f>+AC19/M19</f>
        <v>1</v>
      </c>
      <c r="AQ19" s="130">
        <f>+AD19/Q19</f>
        <v>1</v>
      </c>
      <c r="AR19" s="130">
        <f>+AE19/V19</f>
        <v>1</v>
      </c>
      <c r="AS19" s="135">
        <f t="shared" si="16"/>
        <v>0.8621678573006486</v>
      </c>
    </row>
    <row r="20" spans="1:45" ht="15" customHeight="1" thickBot="1">
      <c r="A20" s="168" t="s">
        <v>33</v>
      </c>
      <c r="B20" s="7">
        <v>300000</v>
      </c>
      <c r="C20" s="13"/>
      <c r="D20" s="13"/>
      <c r="E20" s="13"/>
      <c r="F20" s="13"/>
      <c r="G20" s="13"/>
      <c r="H20" s="13"/>
      <c r="I20" s="7">
        <f>SUM(B20:H20)</f>
        <v>300000</v>
      </c>
      <c r="J20" s="11">
        <v>0</v>
      </c>
      <c r="K20" s="233"/>
      <c r="L20" s="7">
        <v>0</v>
      </c>
      <c r="M20" s="11">
        <f t="shared" si="9"/>
        <v>0</v>
      </c>
      <c r="N20" s="233">
        <v>300000</v>
      </c>
      <c r="O20" s="13"/>
      <c r="P20" s="7">
        <f t="shared" si="0"/>
        <v>0</v>
      </c>
      <c r="Q20" s="7">
        <f t="shared" si="1"/>
        <v>300000</v>
      </c>
      <c r="R20" s="11"/>
      <c r="S20" s="11"/>
      <c r="T20" s="11"/>
      <c r="U20" s="7"/>
      <c r="V20" s="7">
        <f t="shared" si="11"/>
        <v>0</v>
      </c>
      <c r="W20" s="11">
        <f>+I20-M20-Q20-V20</f>
        <v>0</v>
      </c>
      <c r="X20" s="11"/>
      <c r="Y20" s="11"/>
      <c r="Z20" s="11"/>
      <c r="AA20" s="11">
        <f t="shared" si="12"/>
        <v>0</v>
      </c>
      <c r="AB20" s="11">
        <f t="shared" si="2"/>
        <v>300000</v>
      </c>
      <c r="AC20" s="414">
        <f>+'[4]TÉC ENE-MAR-11'!$G$69</f>
        <v>0</v>
      </c>
      <c r="AD20" s="414">
        <f>+'[4]TÉC ABR-JUN-11'!$G$76</f>
        <v>300000</v>
      </c>
      <c r="AE20" s="414">
        <f>+'[4]TEC JUL-SEP-11'!$G$71</f>
        <v>0</v>
      </c>
      <c r="AF20" s="414">
        <f>+'[4]TEC OCT-DIC'!$G$71</f>
        <v>0</v>
      </c>
      <c r="AG20" s="414">
        <f t="shared" si="13"/>
        <v>300000</v>
      </c>
      <c r="AH20" s="11">
        <f t="shared" si="3"/>
        <v>0</v>
      </c>
      <c r="AI20" s="27">
        <f t="shared" si="4"/>
        <v>0</v>
      </c>
      <c r="AJ20" s="11">
        <f t="shared" si="5"/>
        <v>0</v>
      </c>
      <c r="AK20" s="27">
        <f t="shared" si="6"/>
        <v>0</v>
      </c>
      <c r="AL20" s="11">
        <f t="shared" si="14"/>
        <v>300000</v>
      </c>
      <c r="AM20" s="11">
        <f t="shared" si="7"/>
        <v>0</v>
      </c>
      <c r="AN20" s="11">
        <f t="shared" si="15"/>
        <v>0</v>
      </c>
      <c r="AO20" s="146">
        <f>+AG20/I20</f>
        <v>1</v>
      </c>
      <c r="AP20" s="146">
        <v>0</v>
      </c>
      <c r="AQ20" s="146">
        <v>0</v>
      </c>
      <c r="AR20" s="146">
        <v>0</v>
      </c>
      <c r="AS20" s="180">
        <v>0</v>
      </c>
    </row>
    <row r="21" spans="1:45" ht="15" customHeight="1" thickBot="1">
      <c r="A21" s="50" t="s">
        <v>35</v>
      </c>
      <c r="B21" s="122">
        <f>SUM(B11:B20)</f>
        <v>262652153.55603552</v>
      </c>
      <c r="C21" s="122">
        <f aca="true" t="shared" si="17" ref="C21:AN21">SUM(C11:C20)</f>
        <v>0</v>
      </c>
      <c r="D21" s="122">
        <f>SUM(D11:D20)</f>
        <v>0</v>
      </c>
      <c r="E21" s="122">
        <f>SUM(E11:E20)</f>
        <v>0</v>
      </c>
      <c r="F21" s="122">
        <f>SUM(F11:F20)</f>
        <v>0</v>
      </c>
      <c r="G21" s="122"/>
      <c r="H21" s="122">
        <f>SUM(H11:H20)</f>
        <v>0</v>
      </c>
      <c r="I21" s="122">
        <f t="shared" si="17"/>
        <v>262652153.55603552</v>
      </c>
      <c r="J21" s="122">
        <f t="shared" si="17"/>
        <v>59203399.80340683</v>
      </c>
      <c r="K21" s="122"/>
      <c r="L21" s="122">
        <f t="shared" si="17"/>
        <v>-3238641.8034068365</v>
      </c>
      <c r="M21" s="122">
        <f t="shared" si="17"/>
        <v>55964758</v>
      </c>
      <c r="N21" s="122">
        <f>SUM(N11:N20)</f>
        <v>66384825.60647194</v>
      </c>
      <c r="O21" s="122">
        <f>SUM(O11:O20)</f>
        <v>0</v>
      </c>
      <c r="P21" s="122">
        <f t="shared" si="17"/>
        <v>-3829242.6064719423</v>
      </c>
      <c r="Q21" s="122">
        <f>SUM(Q11:Q20)</f>
        <v>62555583</v>
      </c>
      <c r="R21" s="122">
        <f t="shared" si="17"/>
        <v>66084825.60647194</v>
      </c>
      <c r="S21" s="122">
        <f>SUM(S11:S20)</f>
        <v>0</v>
      </c>
      <c r="T21" s="122">
        <f>SUM(T11:T20)</f>
        <v>534646</v>
      </c>
      <c r="U21" s="122">
        <f>SUM(U11:U20)</f>
        <v>-50410.60647194262</v>
      </c>
      <c r="V21" s="122">
        <f t="shared" si="17"/>
        <v>66569061</v>
      </c>
      <c r="W21" s="122">
        <f t="shared" si="17"/>
        <v>77562751.5560355</v>
      </c>
      <c r="X21" s="122">
        <f>SUM(X11:X20)</f>
        <v>0</v>
      </c>
      <c r="Y21" s="122">
        <f>SUM(Y11:Y20)</f>
        <v>0</v>
      </c>
      <c r="Z21" s="122">
        <f t="shared" si="17"/>
        <v>0</v>
      </c>
      <c r="AA21" s="122">
        <f t="shared" si="17"/>
        <v>77562751.5560355</v>
      </c>
      <c r="AB21" s="122">
        <f t="shared" si="17"/>
        <v>262652153.55603552</v>
      </c>
      <c r="AC21" s="122">
        <f t="shared" si="17"/>
        <v>55964758</v>
      </c>
      <c r="AD21" s="122">
        <f>SUM(AD11:AD20)</f>
        <v>62555583</v>
      </c>
      <c r="AE21" s="122">
        <f t="shared" si="17"/>
        <v>66569061</v>
      </c>
      <c r="AF21" s="122">
        <f t="shared" si="17"/>
        <v>64377050</v>
      </c>
      <c r="AG21" s="122">
        <f t="shared" si="17"/>
        <v>249466452</v>
      </c>
      <c r="AH21" s="122">
        <f t="shared" si="17"/>
        <v>0</v>
      </c>
      <c r="AI21" s="122">
        <f t="shared" si="17"/>
        <v>0</v>
      </c>
      <c r="AJ21" s="122">
        <f t="shared" si="17"/>
        <v>0</v>
      </c>
      <c r="AK21" s="122">
        <f>SUM(AK11:AK20)</f>
        <v>13185701.556035489</v>
      </c>
      <c r="AL21" s="122">
        <f t="shared" si="17"/>
        <v>262652153.55603552</v>
      </c>
      <c r="AM21" s="122">
        <f t="shared" si="17"/>
        <v>0</v>
      </c>
      <c r="AN21" s="122">
        <f t="shared" si="17"/>
        <v>13185701.556035489</v>
      </c>
      <c r="AO21" s="148">
        <f>+AG21/I21</f>
        <v>0.9497978547766889</v>
      </c>
      <c r="AP21" s="148">
        <f>+AC21/M21</f>
        <v>1</v>
      </c>
      <c r="AQ21" s="148">
        <f>+AD21/Q21</f>
        <v>1</v>
      </c>
      <c r="AR21" s="148">
        <f>+AE21/V21</f>
        <v>1</v>
      </c>
      <c r="AS21" s="148">
        <f>+AF21/AA21</f>
        <v>0.8299995643332813</v>
      </c>
    </row>
    <row r="22" spans="1:45" ht="15" customHeight="1">
      <c r="A22" s="181"/>
      <c r="B22" s="15"/>
      <c r="C22" s="16"/>
      <c r="D22" s="16"/>
      <c r="E22" s="16"/>
      <c r="F22" s="16"/>
      <c r="G22" s="16"/>
      <c r="H22" s="16"/>
      <c r="I22" s="15"/>
      <c r="J22" s="17"/>
      <c r="K22" s="17"/>
      <c r="L22" s="15"/>
      <c r="M22" s="15"/>
      <c r="N22" s="15"/>
      <c r="O22" s="16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8"/>
      <c r="AA22" s="15"/>
      <c r="AB22" s="15"/>
      <c r="AC22" s="15"/>
      <c r="AD22" s="15"/>
      <c r="AE22" s="18"/>
      <c r="AF22" s="18"/>
      <c r="AG22" s="15"/>
      <c r="AH22" s="18"/>
      <c r="AI22" s="18"/>
      <c r="AJ22" s="18"/>
      <c r="AK22" s="18"/>
      <c r="AL22" s="18"/>
      <c r="AM22" s="18"/>
      <c r="AN22" s="18"/>
      <c r="AO22" s="147"/>
      <c r="AP22" s="147"/>
      <c r="AQ22" s="147"/>
      <c r="AR22" s="147"/>
      <c r="AS22" s="182"/>
    </row>
    <row r="23" spans="1:45" ht="15" customHeight="1">
      <c r="A23" s="173" t="s">
        <v>36</v>
      </c>
      <c r="B23" s="19"/>
      <c r="C23" s="20"/>
      <c r="D23" s="20"/>
      <c r="E23" s="20"/>
      <c r="F23" s="20"/>
      <c r="G23" s="20"/>
      <c r="H23" s="20"/>
      <c r="I23" s="19"/>
      <c r="J23" s="21"/>
      <c r="K23" s="21"/>
      <c r="L23" s="7"/>
      <c r="M23" s="19"/>
      <c r="N23" s="19"/>
      <c r="O23" s="20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2"/>
      <c r="AA23" s="19"/>
      <c r="AB23" s="19"/>
      <c r="AC23" s="7"/>
      <c r="AD23" s="7"/>
      <c r="AE23" s="7"/>
      <c r="AF23" s="7"/>
      <c r="AG23" s="19"/>
      <c r="AH23" s="12"/>
      <c r="AI23" s="12"/>
      <c r="AJ23" s="12"/>
      <c r="AK23" s="12"/>
      <c r="AL23" s="12"/>
      <c r="AM23" s="12"/>
      <c r="AN23" s="12"/>
      <c r="AO23" s="64"/>
      <c r="AP23" s="64"/>
      <c r="AQ23" s="64"/>
      <c r="AR23" s="64"/>
      <c r="AS23" s="183"/>
    </row>
    <row r="24" spans="1:45" ht="15" customHeight="1">
      <c r="A24" s="170" t="s">
        <v>105</v>
      </c>
      <c r="B24" s="12">
        <v>0</v>
      </c>
      <c r="C24" s="20"/>
      <c r="D24" s="20"/>
      <c r="E24" s="20"/>
      <c r="F24" s="20"/>
      <c r="G24" s="20"/>
      <c r="H24" s="20"/>
      <c r="I24" s="7">
        <f aca="true" t="shared" si="18" ref="I24:I30">SUM(B24:H24)</f>
        <v>0</v>
      </c>
      <c r="J24" s="22">
        <v>0</v>
      </c>
      <c r="K24" s="22"/>
      <c r="L24" s="7">
        <v>0</v>
      </c>
      <c r="M24" s="19"/>
      <c r="N24" s="7"/>
      <c r="O24" s="20"/>
      <c r="P24" s="7">
        <f aca="true" t="shared" si="19" ref="P24:P30">+AD24-N24-O24</f>
        <v>0</v>
      </c>
      <c r="Q24" s="7">
        <f aca="true" t="shared" si="20" ref="Q24:Q30">SUM(N24:P24)</f>
        <v>0</v>
      </c>
      <c r="R24" s="19"/>
      <c r="S24" s="19"/>
      <c r="T24" s="19"/>
      <c r="U24" s="7"/>
      <c r="V24" s="7">
        <f aca="true" t="shared" si="21" ref="V24:V30">+SUM(R24:U24)</f>
        <v>0</v>
      </c>
      <c r="W24" s="7"/>
      <c r="X24" s="7"/>
      <c r="Y24" s="7"/>
      <c r="Z24" s="12"/>
      <c r="AA24" s="7">
        <f aca="true" t="shared" si="22" ref="AA24:AA30">+SUM(W24:Z24)</f>
        <v>0</v>
      </c>
      <c r="AB24" s="7">
        <f aca="true" t="shared" si="23" ref="AB24:AB30">+M24+Q24+V24+AA24</f>
        <v>0</v>
      </c>
      <c r="AC24" s="7"/>
      <c r="AD24" s="7"/>
      <c r="AE24" s="7"/>
      <c r="AF24" s="7"/>
      <c r="AG24" s="7">
        <f>SUM(AC24:AF24)</f>
        <v>0</v>
      </c>
      <c r="AH24" s="12"/>
      <c r="AI24" s="12"/>
      <c r="AJ24" s="12"/>
      <c r="AK24" s="12">
        <f aca="true" t="shared" si="24" ref="AK24:AK30">+AA24-AF24</f>
        <v>0</v>
      </c>
      <c r="AL24" s="12"/>
      <c r="AM24" s="140">
        <f aca="true" t="shared" si="25" ref="AM24:AM30">+I24-AL24</f>
        <v>0</v>
      </c>
      <c r="AN24" s="12"/>
      <c r="AO24" s="64"/>
      <c r="AP24" s="64"/>
      <c r="AQ24" s="64"/>
      <c r="AR24" s="64"/>
      <c r="AS24" s="183"/>
    </row>
    <row r="25" spans="1:45" ht="15" customHeight="1">
      <c r="A25" s="170" t="s">
        <v>40</v>
      </c>
      <c r="B25" s="12">
        <v>6190200</v>
      </c>
      <c r="C25" s="20"/>
      <c r="D25" s="20"/>
      <c r="E25" s="20"/>
      <c r="F25" s="20"/>
      <c r="G25" s="20"/>
      <c r="H25" s="20"/>
      <c r="I25" s="7">
        <f t="shared" si="18"/>
        <v>6190200</v>
      </c>
      <c r="J25" s="22">
        <v>1545000</v>
      </c>
      <c r="K25" s="22"/>
      <c r="L25" s="7">
        <v>0</v>
      </c>
      <c r="M25" s="7">
        <f aca="true" t="shared" si="26" ref="M25:M30">SUM(J25:L25)</f>
        <v>1545000</v>
      </c>
      <c r="N25" s="7">
        <v>1545000</v>
      </c>
      <c r="O25" s="20"/>
      <c r="P25" s="7">
        <f t="shared" si="19"/>
        <v>0</v>
      </c>
      <c r="Q25" s="7">
        <f t="shared" si="20"/>
        <v>1545000</v>
      </c>
      <c r="R25" s="12">
        <v>1545000</v>
      </c>
      <c r="S25" s="12"/>
      <c r="T25" s="7">
        <f>-R25+AE25</f>
        <v>0</v>
      </c>
      <c r="U25" s="7">
        <f>-R25-S25-T25+AE25</f>
        <v>0</v>
      </c>
      <c r="V25" s="7">
        <f t="shared" si="21"/>
        <v>1545000</v>
      </c>
      <c r="W25" s="7">
        <v>1555200</v>
      </c>
      <c r="X25" s="7"/>
      <c r="Y25" s="7"/>
      <c r="Z25" s="12"/>
      <c r="AA25" s="7">
        <f t="shared" si="22"/>
        <v>1555200</v>
      </c>
      <c r="AB25" s="7">
        <f t="shared" si="23"/>
        <v>6190200</v>
      </c>
      <c r="AC25" s="414">
        <f>+'[4]TÉC ENE-MAR-11'!$G$76</f>
        <v>1545000</v>
      </c>
      <c r="AD25" s="414">
        <f>+'[4]TÉC ABR-JUN-11'!$G$84</f>
        <v>1545000</v>
      </c>
      <c r="AE25" s="414">
        <f>+'[4]TEC JUL-SEP-11'!$G$79</f>
        <v>1545000</v>
      </c>
      <c r="AF25" s="414">
        <f>+'[4]TEC OCT-DIC'!$G$79</f>
        <v>1545000</v>
      </c>
      <c r="AG25" s="414">
        <f aca="true" t="shared" si="27" ref="AG25:AG30">SUM(AC25:AF25)</f>
        <v>6180000</v>
      </c>
      <c r="AH25" s="7">
        <f aca="true" t="shared" si="28" ref="AH25:AH30">+M25-AC25</f>
        <v>0</v>
      </c>
      <c r="AI25" s="12">
        <f aca="true" t="shared" si="29" ref="AI25:AI30">+Q25-AD25</f>
        <v>0</v>
      </c>
      <c r="AJ25" s="7">
        <f aca="true" t="shared" si="30" ref="AJ25:AJ30">+V25-AE25</f>
        <v>0</v>
      </c>
      <c r="AK25" s="12">
        <f t="shared" si="24"/>
        <v>10200</v>
      </c>
      <c r="AL25" s="7">
        <f aca="true" t="shared" si="31" ref="AL25:AL30">+AB25</f>
        <v>6190200</v>
      </c>
      <c r="AM25" s="140">
        <f t="shared" si="25"/>
        <v>0</v>
      </c>
      <c r="AN25" s="7">
        <f aca="true" t="shared" si="32" ref="AN25:AN30">+AL25-AG25</f>
        <v>10200</v>
      </c>
      <c r="AO25" s="130">
        <f>+AG25/I25</f>
        <v>0.9983522341766017</v>
      </c>
      <c r="AP25" s="130">
        <f>+AC25/M25</f>
        <v>1</v>
      </c>
      <c r="AQ25" s="130">
        <f>+AD25/Q25</f>
        <v>1</v>
      </c>
      <c r="AR25" s="130">
        <f>+AE25/V25</f>
        <v>1</v>
      </c>
      <c r="AS25" s="135">
        <f>+AF25/AA25</f>
        <v>0.9934413580246914</v>
      </c>
    </row>
    <row r="26" spans="1:45" ht="15" customHeight="1">
      <c r="A26" s="170" t="s">
        <v>41</v>
      </c>
      <c r="B26" s="12">
        <v>6232955.7114</v>
      </c>
      <c r="C26" s="23"/>
      <c r="D26" s="23"/>
      <c r="E26" s="23"/>
      <c r="F26" s="23"/>
      <c r="G26" s="23"/>
      <c r="H26" s="23"/>
      <c r="I26" s="7">
        <f t="shared" si="18"/>
        <v>6232955.7114</v>
      </c>
      <c r="J26" s="22">
        <v>1555671.315</v>
      </c>
      <c r="K26" s="22"/>
      <c r="L26" s="7">
        <v>-1033636.315</v>
      </c>
      <c r="M26" s="7">
        <f t="shared" si="26"/>
        <v>522035</v>
      </c>
      <c r="N26" s="7">
        <v>1558238.92785</v>
      </c>
      <c r="O26" s="23"/>
      <c r="P26" s="7">
        <f t="shared" si="19"/>
        <v>-993025.9278500001</v>
      </c>
      <c r="Q26" s="7">
        <f t="shared" si="20"/>
        <v>565213</v>
      </c>
      <c r="R26" s="12">
        <v>1558238.92785</v>
      </c>
      <c r="S26" s="12"/>
      <c r="T26" s="7">
        <v>-534646</v>
      </c>
      <c r="U26" s="7">
        <f>-R26-S26-T26+AE26</f>
        <v>-72410.36785000016</v>
      </c>
      <c r="V26" s="7">
        <f t="shared" si="21"/>
        <v>951182.5599999999</v>
      </c>
      <c r="W26" s="7">
        <v>4194525.151400001</v>
      </c>
      <c r="X26" s="7"/>
      <c r="Y26" s="7"/>
      <c r="Z26" s="12"/>
      <c r="AA26" s="7">
        <f t="shared" si="22"/>
        <v>4194525.151400001</v>
      </c>
      <c r="AB26" s="7">
        <f t="shared" si="23"/>
        <v>6232955.7114</v>
      </c>
      <c r="AC26" s="414">
        <f>+'[4]TÉC ENE-MAR-11'!$G$84</f>
        <v>522035</v>
      </c>
      <c r="AD26" s="414">
        <f>+'[4]TÉC ABR-JUN-11'!$G$92</f>
        <v>565213</v>
      </c>
      <c r="AE26" s="414">
        <f>+'[4]TEC JUL-SEP-11'!$G$86</f>
        <v>951182.5599999999</v>
      </c>
      <c r="AF26" s="414">
        <f>+'[4]TEC OCT-DIC'!$G$87</f>
        <v>1699698</v>
      </c>
      <c r="AG26" s="414">
        <f t="shared" si="27"/>
        <v>3738128.56</v>
      </c>
      <c r="AH26" s="7">
        <f t="shared" si="28"/>
        <v>0</v>
      </c>
      <c r="AI26" s="12">
        <f t="shared" si="29"/>
        <v>0</v>
      </c>
      <c r="AJ26" s="7">
        <f t="shared" si="30"/>
        <v>0</v>
      </c>
      <c r="AK26" s="12">
        <f t="shared" si="24"/>
        <v>2494827.151400001</v>
      </c>
      <c r="AL26" s="7">
        <f t="shared" si="31"/>
        <v>6232955.7114</v>
      </c>
      <c r="AM26" s="140">
        <f t="shared" si="25"/>
        <v>0</v>
      </c>
      <c r="AN26" s="7">
        <f t="shared" si="32"/>
        <v>2494827.1514000003</v>
      </c>
      <c r="AO26" s="130">
        <f>+AG26/I26</f>
        <v>0.5997361016320087</v>
      </c>
      <c r="AP26" s="130">
        <f>+AC26/M26</f>
        <v>1</v>
      </c>
      <c r="AQ26" s="130">
        <f>+AD26/Q26</f>
        <v>1</v>
      </c>
      <c r="AR26" s="130">
        <f>+AE26/V26</f>
        <v>1</v>
      </c>
      <c r="AS26" s="135">
        <f>+AF26/AA26</f>
        <v>0.40521821628192983</v>
      </c>
    </row>
    <row r="27" spans="1:45" ht="15" customHeight="1">
      <c r="A27" s="168" t="s">
        <v>43</v>
      </c>
      <c r="B27" s="12">
        <v>15000000</v>
      </c>
      <c r="C27" s="25"/>
      <c r="D27" s="25"/>
      <c r="E27" s="25"/>
      <c r="F27" s="25"/>
      <c r="G27" s="25"/>
      <c r="H27" s="25"/>
      <c r="I27" s="7">
        <f t="shared" si="18"/>
        <v>15000000</v>
      </c>
      <c r="J27" s="26">
        <v>2000000</v>
      </c>
      <c r="K27" s="26"/>
      <c r="L27" s="7">
        <v>-201816</v>
      </c>
      <c r="M27" s="7">
        <f t="shared" si="26"/>
        <v>1798184</v>
      </c>
      <c r="N27" s="7">
        <v>5000000</v>
      </c>
      <c r="O27" s="25"/>
      <c r="P27" s="7">
        <f t="shared" si="19"/>
        <v>-103967</v>
      </c>
      <c r="Q27" s="7">
        <f t="shared" si="20"/>
        <v>4896033</v>
      </c>
      <c r="R27" s="8">
        <v>2000000</v>
      </c>
      <c r="S27" s="8"/>
      <c r="T27" s="7">
        <v>0</v>
      </c>
      <c r="U27" s="7">
        <f>-R27-S27-T27+AE27</f>
        <v>-493221</v>
      </c>
      <c r="V27" s="7">
        <f t="shared" si="21"/>
        <v>1506779</v>
      </c>
      <c r="W27" s="7">
        <v>6799004</v>
      </c>
      <c r="X27" s="7"/>
      <c r="Y27" s="7"/>
      <c r="Z27" s="27"/>
      <c r="AA27" s="7">
        <f t="shared" si="22"/>
        <v>6799004</v>
      </c>
      <c r="AB27" s="7">
        <f t="shared" si="23"/>
        <v>15000000</v>
      </c>
      <c r="AC27" s="414">
        <f>+'[4]TÉC ENE-MAR-11'!$G$94</f>
        <v>1798184</v>
      </c>
      <c r="AD27" s="414">
        <f>+'[4]TÉC ABR-JUN-11'!$G$105</f>
        <v>4896033</v>
      </c>
      <c r="AE27" s="414">
        <f>+'[4]TEC JUL-SEP-11'!$G$99</f>
        <v>1506779</v>
      </c>
      <c r="AF27" s="414">
        <f>+'[4]TEC OCT-DIC'!$G$103</f>
        <v>6265379</v>
      </c>
      <c r="AG27" s="414">
        <f t="shared" si="27"/>
        <v>14466375</v>
      </c>
      <c r="AH27" s="7">
        <f t="shared" si="28"/>
        <v>0</v>
      </c>
      <c r="AI27" s="12">
        <f t="shared" si="29"/>
        <v>0</v>
      </c>
      <c r="AJ27" s="7">
        <f t="shared" si="30"/>
        <v>0</v>
      </c>
      <c r="AK27" s="12">
        <f t="shared" si="24"/>
        <v>533625</v>
      </c>
      <c r="AL27" s="7">
        <f t="shared" si="31"/>
        <v>15000000</v>
      </c>
      <c r="AM27" s="140">
        <f t="shared" si="25"/>
        <v>0</v>
      </c>
      <c r="AN27" s="7">
        <f t="shared" si="32"/>
        <v>533625</v>
      </c>
      <c r="AO27" s="130">
        <f>+AG27/I27</f>
        <v>0.964425</v>
      </c>
      <c r="AP27" s="130">
        <f>+AC27/M27</f>
        <v>1</v>
      </c>
      <c r="AQ27" s="130">
        <f>+AD27/Q27</f>
        <v>1</v>
      </c>
      <c r="AR27" s="130">
        <f>+AE27/V27</f>
        <v>1</v>
      </c>
      <c r="AS27" s="135">
        <f>+AF27/AA27</f>
        <v>0.9215142394386001</v>
      </c>
    </row>
    <row r="28" spans="1:45" ht="15" customHeight="1">
      <c r="A28" s="168" t="s">
        <v>44</v>
      </c>
      <c r="B28" s="12">
        <v>0</v>
      </c>
      <c r="C28" s="25"/>
      <c r="D28" s="25"/>
      <c r="E28" s="25"/>
      <c r="F28" s="25"/>
      <c r="G28" s="25"/>
      <c r="H28" s="25"/>
      <c r="I28" s="7">
        <f t="shared" si="18"/>
        <v>0</v>
      </c>
      <c r="J28" s="26"/>
      <c r="K28" s="26"/>
      <c r="L28" s="7">
        <v>0</v>
      </c>
      <c r="M28" s="7">
        <f t="shared" si="26"/>
        <v>0</v>
      </c>
      <c r="N28" s="7">
        <v>0</v>
      </c>
      <c r="O28" s="25"/>
      <c r="P28" s="7">
        <f t="shared" si="19"/>
        <v>0</v>
      </c>
      <c r="Q28" s="7">
        <f t="shared" si="20"/>
        <v>0</v>
      </c>
      <c r="R28" s="7"/>
      <c r="S28" s="7"/>
      <c r="T28" s="7">
        <f>-R28+AE28</f>
        <v>0</v>
      </c>
      <c r="U28" s="7">
        <f>-R28-S28-T28+AE28</f>
        <v>0</v>
      </c>
      <c r="V28" s="7">
        <f t="shared" si="21"/>
        <v>0</v>
      </c>
      <c r="W28" s="7">
        <v>0</v>
      </c>
      <c r="X28" s="7"/>
      <c r="Y28" s="7"/>
      <c r="Z28" s="27"/>
      <c r="AA28" s="7">
        <f t="shared" si="22"/>
        <v>0</v>
      </c>
      <c r="AB28" s="7">
        <f t="shared" si="23"/>
        <v>0</v>
      </c>
      <c r="AC28" s="414">
        <v>0</v>
      </c>
      <c r="AD28" s="414">
        <v>0</v>
      </c>
      <c r="AE28" s="414">
        <f>+'[4]TEC JUL-SEP-11'!$G$116</f>
        <v>0</v>
      </c>
      <c r="AF28" s="414">
        <v>0</v>
      </c>
      <c r="AG28" s="414">
        <f t="shared" si="27"/>
        <v>0</v>
      </c>
      <c r="AH28" s="7">
        <f t="shared" si="28"/>
        <v>0</v>
      </c>
      <c r="AI28" s="12">
        <f t="shared" si="29"/>
        <v>0</v>
      </c>
      <c r="AJ28" s="7">
        <f t="shared" si="30"/>
        <v>0</v>
      </c>
      <c r="AK28" s="12">
        <f t="shared" si="24"/>
        <v>0</v>
      </c>
      <c r="AL28" s="7">
        <f t="shared" si="31"/>
        <v>0</v>
      </c>
      <c r="AM28" s="140">
        <f t="shared" si="25"/>
        <v>0</v>
      </c>
      <c r="AN28" s="7">
        <f t="shared" si="32"/>
        <v>0</v>
      </c>
      <c r="AO28" s="130">
        <v>0</v>
      </c>
      <c r="AP28" s="130">
        <v>0</v>
      </c>
      <c r="AQ28" s="130">
        <v>0</v>
      </c>
      <c r="AR28" s="130">
        <v>0</v>
      </c>
      <c r="AS28" s="135">
        <v>0</v>
      </c>
    </row>
    <row r="29" spans="1:45" ht="15" customHeight="1">
      <c r="A29" s="168" t="s">
        <v>45</v>
      </c>
      <c r="B29" s="7">
        <v>6000000</v>
      </c>
      <c r="C29" s="25"/>
      <c r="D29" s="25"/>
      <c r="E29" s="25"/>
      <c r="F29" s="25"/>
      <c r="G29" s="25"/>
      <c r="H29" s="25"/>
      <c r="I29" s="7">
        <f t="shared" si="18"/>
        <v>6000000</v>
      </c>
      <c r="J29" s="26">
        <v>800000</v>
      </c>
      <c r="K29" s="26"/>
      <c r="L29" s="7">
        <v>-86985</v>
      </c>
      <c r="M29" s="7">
        <f t="shared" si="26"/>
        <v>713015</v>
      </c>
      <c r="N29" s="7">
        <v>1500000</v>
      </c>
      <c r="O29" s="25"/>
      <c r="P29" s="7">
        <f t="shared" si="19"/>
        <v>-750430</v>
      </c>
      <c r="Q29" s="7">
        <f t="shared" si="20"/>
        <v>749570</v>
      </c>
      <c r="R29" s="11">
        <v>3000000</v>
      </c>
      <c r="S29" s="11"/>
      <c r="T29" s="7">
        <f>-R29+AE29</f>
        <v>0</v>
      </c>
      <c r="U29" s="7">
        <f>-R29-S29-T29+AE29</f>
        <v>0</v>
      </c>
      <c r="V29" s="7">
        <f t="shared" si="21"/>
        <v>3000000</v>
      </c>
      <c r="W29" s="7">
        <v>1537415</v>
      </c>
      <c r="X29" s="7"/>
      <c r="Y29" s="7"/>
      <c r="Z29" s="27"/>
      <c r="AA29" s="7">
        <f t="shared" si="22"/>
        <v>1537415</v>
      </c>
      <c r="AB29" s="7">
        <f t="shared" si="23"/>
        <v>6000000</v>
      </c>
      <c r="AC29" s="414">
        <f>+'[4]TÉC ENE-MAR-11'!$G$106</f>
        <v>713015</v>
      </c>
      <c r="AD29" s="414">
        <f>+'[4]TÉC ABR-JUN-11'!$G$129</f>
        <v>749570</v>
      </c>
      <c r="AE29" s="414">
        <f>+'[4]TEC JUL-SEP-11'!$G$122</f>
        <v>3000000</v>
      </c>
      <c r="AF29" s="414">
        <f>+'[4]TEC OCT-DIC'!$G$129</f>
        <v>1532790</v>
      </c>
      <c r="AG29" s="414">
        <f t="shared" si="27"/>
        <v>5995375</v>
      </c>
      <c r="AH29" s="7">
        <f t="shared" si="28"/>
        <v>0</v>
      </c>
      <c r="AI29" s="12">
        <f t="shared" si="29"/>
        <v>0</v>
      </c>
      <c r="AJ29" s="7">
        <f t="shared" si="30"/>
        <v>0</v>
      </c>
      <c r="AK29" s="12">
        <f t="shared" si="24"/>
        <v>4625</v>
      </c>
      <c r="AL29" s="7">
        <f t="shared" si="31"/>
        <v>6000000</v>
      </c>
      <c r="AM29" s="140">
        <f t="shared" si="25"/>
        <v>0</v>
      </c>
      <c r="AN29" s="7">
        <f t="shared" si="32"/>
        <v>4625</v>
      </c>
      <c r="AO29" s="130">
        <f>+AG29/I29</f>
        <v>0.9992291666666666</v>
      </c>
      <c r="AP29" s="130">
        <f>+AC29/M29</f>
        <v>1</v>
      </c>
      <c r="AQ29" s="130">
        <f>+AD29/Q29</f>
        <v>1</v>
      </c>
      <c r="AR29" s="130">
        <f>+AE29/V29</f>
        <v>1</v>
      </c>
      <c r="AS29" s="135">
        <f>+AF29/AA29</f>
        <v>0.9969917036063782</v>
      </c>
    </row>
    <row r="30" spans="1:45" ht="15" customHeight="1">
      <c r="A30" s="168" t="s">
        <v>47</v>
      </c>
      <c r="B30" s="12">
        <v>0</v>
      </c>
      <c r="C30" s="8"/>
      <c r="D30" s="8"/>
      <c r="E30" s="8"/>
      <c r="F30" s="8"/>
      <c r="G30" s="8"/>
      <c r="H30" s="8"/>
      <c r="I30" s="7">
        <f t="shared" si="18"/>
        <v>0</v>
      </c>
      <c r="J30" s="26"/>
      <c r="K30" s="26"/>
      <c r="L30" s="7">
        <v>0</v>
      </c>
      <c r="M30" s="7">
        <f t="shared" si="26"/>
        <v>0</v>
      </c>
      <c r="N30" s="7">
        <v>0</v>
      </c>
      <c r="O30" s="8"/>
      <c r="P30" s="7">
        <f t="shared" si="19"/>
        <v>0</v>
      </c>
      <c r="Q30" s="7">
        <f t="shared" si="20"/>
        <v>0</v>
      </c>
      <c r="R30" s="27">
        <f>+'[3]Anexo 2 '!$C$32</f>
        <v>0</v>
      </c>
      <c r="S30" s="27"/>
      <c r="T30" s="27"/>
      <c r="U30" s="7">
        <v>0</v>
      </c>
      <c r="V30" s="7">
        <f t="shared" si="21"/>
        <v>0</v>
      </c>
      <c r="W30" s="7">
        <v>0</v>
      </c>
      <c r="X30" s="7"/>
      <c r="Y30" s="7"/>
      <c r="Z30" s="27"/>
      <c r="AA30" s="7">
        <f t="shared" si="22"/>
        <v>0</v>
      </c>
      <c r="AB30" s="7">
        <f t="shared" si="23"/>
        <v>0</v>
      </c>
      <c r="AC30" s="414">
        <f>+'[4]TÉC ENE-MAR-11'!$G$115</f>
        <v>0</v>
      </c>
      <c r="AD30" s="414">
        <v>0</v>
      </c>
      <c r="AE30" s="414">
        <f>+'[4]TEC JUL-SEP-11'!$G$131</f>
        <v>0</v>
      </c>
      <c r="AF30" s="414">
        <v>0</v>
      </c>
      <c r="AG30" s="414">
        <f t="shared" si="27"/>
        <v>0</v>
      </c>
      <c r="AH30" s="7">
        <f t="shared" si="28"/>
        <v>0</v>
      </c>
      <c r="AI30" s="12">
        <f t="shared" si="29"/>
        <v>0</v>
      </c>
      <c r="AJ30" s="7">
        <f t="shared" si="30"/>
        <v>0</v>
      </c>
      <c r="AK30" s="12">
        <f t="shared" si="24"/>
        <v>0</v>
      </c>
      <c r="AL30" s="7">
        <f t="shared" si="31"/>
        <v>0</v>
      </c>
      <c r="AM30" s="140">
        <f t="shared" si="25"/>
        <v>0</v>
      </c>
      <c r="AN30" s="7">
        <f t="shared" si="32"/>
        <v>0</v>
      </c>
      <c r="AO30" s="130">
        <v>0</v>
      </c>
      <c r="AP30" s="130">
        <v>0</v>
      </c>
      <c r="AQ30" s="144">
        <v>0</v>
      </c>
      <c r="AR30" s="130">
        <v>0</v>
      </c>
      <c r="AS30" s="135">
        <v>0</v>
      </c>
    </row>
    <row r="31" spans="1:45" ht="15" customHeight="1" thickBot="1">
      <c r="A31" s="168"/>
      <c r="B31" s="24"/>
      <c r="C31" s="25"/>
      <c r="D31" s="25"/>
      <c r="E31" s="25"/>
      <c r="F31" s="25"/>
      <c r="G31" s="25"/>
      <c r="H31" s="25"/>
      <c r="I31" s="24"/>
      <c r="J31" s="56"/>
      <c r="K31" s="56"/>
      <c r="L31" s="24"/>
      <c r="M31" s="24"/>
      <c r="N31" s="24"/>
      <c r="O31" s="25"/>
      <c r="P31" s="24"/>
      <c r="Q31" s="24"/>
      <c r="R31" s="24"/>
      <c r="S31" s="24"/>
      <c r="T31" s="24"/>
      <c r="U31" s="7">
        <v>0</v>
      </c>
      <c r="V31" s="24"/>
      <c r="W31" s="24"/>
      <c r="X31" s="24"/>
      <c r="Y31" s="24"/>
      <c r="Z31" s="27"/>
      <c r="AA31" s="24"/>
      <c r="AB31" s="24"/>
      <c r="AC31" s="414"/>
      <c r="AD31" s="414"/>
      <c r="AE31" s="414"/>
      <c r="AF31" s="414"/>
      <c r="AG31" s="414"/>
      <c r="AH31" s="27"/>
      <c r="AI31" s="27"/>
      <c r="AJ31" s="27"/>
      <c r="AK31" s="27"/>
      <c r="AL31" s="27"/>
      <c r="AM31" s="27"/>
      <c r="AN31" s="27"/>
      <c r="AO31" s="130"/>
      <c r="AP31" s="130"/>
      <c r="AQ31" s="144"/>
      <c r="AR31" s="130"/>
      <c r="AS31" s="184"/>
    </row>
    <row r="32" spans="1:47" s="2" customFormat="1" ht="15" customHeight="1" thickBot="1">
      <c r="A32" s="50" t="s">
        <v>51</v>
      </c>
      <c r="B32" s="50">
        <f>SUM(B24:B31)</f>
        <v>33423155.711400002</v>
      </c>
      <c r="C32" s="50">
        <f aca="true" t="shared" si="33" ref="C32:AN32">SUM(C24:C31)</f>
        <v>0</v>
      </c>
      <c r="D32" s="50">
        <f>SUM(D24:D31)</f>
        <v>0</v>
      </c>
      <c r="E32" s="50">
        <f>SUM(E24:E31)</f>
        <v>0</v>
      </c>
      <c r="F32" s="50">
        <f>SUM(F24:F31)</f>
        <v>0</v>
      </c>
      <c r="G32" s="50"/>
      <c r="H32" s="50">
        <f>SUM(H24:H31)</f>
        <v>0</v>
      </c>
      <c r="I32" s="50">
        <f t="shared" si="33"/>
        <v>33423155.711400002</v>
      </c>
      <c r="J32" s="50">
        <f t="shared" si="33"/>
        <v>5900671.3149999995</v>
      </c>
      <c r="K32" s="50"/>
      <c r="L32" s="50">
        <f t="shared" si="33"/>
        <v>-1322437.315</v>
      </c>
      <c r="M32" s="50">
        <f t="shared" si="33"/>
        <v>4578234</v>
      </c>
      <c r="N32" s="50">
        <f t="shared" si="33"/>
        <v>9603238.92785</v>
      </c>
      <c r="O32" s="50">
        <f>SUM(O24:O31)</f>
        <v>0</v>
      </c>
      <c r="P32" s="50">
        <f t="shared" si="33"/>
        <v>-1847422.92785</v>
      </c>
      <c r="Q32" s="50">
        <f t="shared" si="33"/>
        <v>7755816</v>
      </c>
      <c r="R32" s="50">
        <f t="shared" si="33"/>
        <v>8103238.927850001</v>
      </c>
      <c r="S32" s="50">
        <f>SUM(S24:S31)</f>
        <v>0</v>
      </c>
      <c r="T32" s="50">
        <f>SUM(T24:T31)</f>
        <v>-534646</v>
      </c>
      <c r="U32" s="50">
        <f>SUM(U24:U31)</f>
        <v>-565631.3678500002</v>
      </c>
      <c r="V32" s="50">
        <f t="shared" si="33"/>
        <v>7002961.5600000005</v>
      </c>
      <c r="W32" s="50">
        <f>SUM(W24:W31)</f>
        <v>14086144.1514</v>
      </c>
      <c r="X32" s="50">
        <f>SUM(X24:X31)</f>
        <v>0</v>
      </c>
      <c r="Y32" s="50">
        <f>SUM(Y24:Y31)</f>
        <v>0</v>
      </c>
      <c r="Z32" s="50">
        <f t="shared" si="33"/>
        <v>0</v>
      </c>
      <c r="AA32" s="50">
        <f t="shared" si="33"/>
        <v>14086144.1514</v>
      </c>
      <c r="AB32" s="50">
        <f t="shared" si="33"/>
        <v>33423155.711400002</v>
      </c>
      <c r="AC32" s="50">
        <f t="shared" si="33"/>
        <v>4578234</v>
      </c>
      <c r="AD32" s="50">
        <f>SUM(AD24:AD31)</f>
        <v>7755816</v>
      </c>
      <c r="AE32" s="50">
        <f t="shared" si="33"/>
        <v>7002961.5600000005</v>
      </c>
      <c r="AF32" s="50">
        <f t="shared" si="33"/>
        <v>11042867</v>
      </c>
      <c r="AG32" s="50">
        <f t="shared" si="33"/>
        <v>30379878.560000002</v>
      </c>
      <c r="AH32" s="50">
        <f t="shared" si="33"/>
        <v>0</v>
      </c>
      <c r="AI32" s="50">
        <f t="shared" si="33"/>
        <v>0</v>
      </c>
      <c r="AJ32" s="50">
        <f t="shared" si="33"/>
        <v>0</v>
      </c>
      <c r="AK32" s="50">
        <f>SUM(AK24:AK31)</f>
        <v>3043277.151400001</v>
      </c>
      <c r="AL32" s="50">
        <f t="shared" si="33"/>
        <v>33423155.711400002</v>
      </c>
      <c r="AM32" s="50">
        <f t="shared" si="33"/>
        <v>0</v>
      </c>
      <c r="AN32" s="50">
        <f t="shared" si="33"/>
        <v>3043277.1514000003</v>
      </c>
      <c r="AO32" s="148">
        <f>+AG32/I32</f>
        <v>0.9089470432511555</v>
      </c>
      <c r="AP32" s="148">
        <f>+AC32/M32</f>
        <v>1</v>
      </c>
      <c r="AQ32" s="148">
        <f>+AD32/Q32</f>
        <v>1</v>
      </c>
      <c r="AR32" s="148">
        <f>+AE32/V32</f>
        <v>1</v>
      </c>
      <c r="AS32" s="148">
        <f>+AF32/AA32</f>
        <v>0.7839524344852361</v>
      </c>
      <c r="AU32" s="3"/>
    </row>
    <row r="33" spans="1:45" ht="15" customHeight="1">
      <c r="A33" s="175"/>
      <c r="B33" s="18"/>
      <c r="C33" s="29"/>
      <c r="D33" s="29"/>
      <c r="E33" s="29"/>
      <c r="F33" s="29"/>
      <c r="G33" s="29"/>
      <c r="H33" s="29"/>
      <c r="I33" s="18"/>
      <c r="J33" s="30"/>
      <c r="K33" s="30"/>
      <c r="L33" s="18"/>
      <c r="M33" s="18"/>
      <c r="N33" s="18"/>
      <c r="O33" s="29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5"/>
      <c r="AK33" s="18"/>
      <c r="AL33" s="18"/>
      <c r="AM33" s="18"/>
      <c r="AN33" s="18"/>
      <c r="AO33" s="147"/>
      <c r="AP33" s="147"/>
      <c r="AQ33" s="147"/>
      <c r="AR33" s="147"/>
      <c r="AS33" s="182"/>
    </row>
    <row r="34" spans="1:45" ht="15" customHeight="1" thickBot="1">
      <c r="A34" s="185" t="s">
        <v>52</v>
      </c>
      <c r="B34" s="27"/>
      <c r="C34" s="31"/>
      <c r="D34" s="31"/>
      <c r="E34" s="31"/>
      <c r="F34" s="31"/>
      <c r="G34" s="31"/>
      <c r="H34" s="31"/>
      <c r="I34" s="27"/>
      <c r="J34" s="26"/>
      <c r="K34" s="26"/>
      <c r="L34" s="27"/>
      <c r="M34" s="27"/>
      <c r="N34" s="27"/>
      <c r="O34" s="31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4"/>
      <c r="AK34" s="27"/>
      <c r="AL34" s="27"/>
      <c r="AM34" s="27"/>
      <c r="AN34" s="27"/>
      <c r="AO34" s="149"/>
      <c r="AP34" s="149"/>
      <c r="AQ34" s="149"/>
      <c r="AR34" s="149"/>
      <c r="AS34" s="184"/>
    </row>
    <row r="35" spans="1:45" ht="15" customHeight="1" thickBot="1">
      <c r="A35" s="50" t="s">
        <v>98</v>
      </c>
      <c r="B35" s="50">
        <f>+B37+B43+B53+B57</f>
        <v>1110781737</v>
      </c>
      <c r="C35" s="50">
        <f aca="true" t="shared" si="34" ref="C35:H35">+C37+C43+C53+C57</f>
        <v>0</v>
      </c>
      <c r="D35" s="50">
        <f t="shared" si="34"/>
        <v>0</v>
      </c>
      <c r="E35" s="50">
        <f t="shared" si="34"/>
        <v>0</v>
      </c>
      <c r="F35" s="50">
        <f t="shared" si="34"/>
        <v>-387000000</v>
      </c>
      <c r="G35" s="50"/>
      <c r="H35" s="50">
        <f t="shared" si="34"/>
        <v>0</v>
      </c>
      <c r="I35" s="50">
        <f>+I37+I43+I53+I57</f>
        <v>723781737</v>
      </c>
      <c r="J35" s="50">
        <f>+J37+J43+J53+J57+J60</f>
        <v>194098040</v>
      </c>
      <c r="K35" s="50"/>
      <c r="L35" s="50"/>
      <c r="M35" s="50">
        <f>+M37+M43+M53+M57</f>
        <v>80325359.2</v>
      </c>
      <c r="N35" s="50">
        <f aca="true" t="shared" si="35" ref="N35:Z35">+N37+N43+N53+N57+N60</f>
        <v>158505645</v>
      </c>
      <c r="O35" s="50">
        <f t="shared" si="35"/>
        <v>0</v>
      </c>
      <c r="P35" s="50">
        <f t="shared" si="35"/>
        <v>-15289238</v>
      </c>
      <c r="Q35" s="50">
        <f>+Q37+Q43+Q53+Q57</f>
        <v>143216407</v>
      </c>
      <c r="R35" s="50">
        <f>+R37+R43+R53+R57</f>
        <v>258047966</v>
      </c>
      <c r="S35" s="50">
        <f t="shared" si="35"/>
        <v>0</v>
      </c>
      <c r="T35" s="50">
        <f t="shared" si="35"/>
        <v>0</v>
      </c>
      <c r="U35" s="50">
        <f t="shared" si="35"/>
        <v>-92268315</v>
      </c>
      <c r="V35" s="50">
        <f>+V37+V43+V53+V57</f>
        <v>187791332</v>
      </c>
      <c r="W35" s="50">
        <f>+W37+W43+W53+W57+W60</f>
        <v>288894282</v>
      </c>
      <c r="X35" s="50">
        <f t="shared" si="35"/>
        <v>0</v>
      </c>
      <c r="Y35" s="50">
        <f t="shared" si="35"/>
        <v>0</v>
      </c>
      <c r="Z35" s="50">
        <f t="shared" si="35"/>
        <v>0</v>
      </c>
      <c r="AA35" s="50">
        <f aca="true" t="shared" si="36" ref="AA35:AG35">+AA37+AA43+AA53+AA57</f>
        <v>273894282</v>
      </c>
      <c r="AB35" s="50">
        <f t="shared" si="36"/>
        <v>685227380.2</v>
      </c>
      <c r="AC35" s="50">
        <f t="shared" si="36"/>
        <v>80325359.2</v>
      </c>
      <c r="AD35" s="50">
        <f t="shared" si="36"/>
        <v>143216407</v>
      </c>
      <c r="AE35" s="50">
        <f t="shared" si="36"/>
        <v>187791332</v>
      </c>
      <c r="AF35" s="50">
        <f t="shared" si="36"/>
        <v>264190471</v>
      </c>
      <c r="AG35" s="50">
        <f t="shared" si="36"/>
        <v>675523569.2</v>
      </c>
      <c r="AH35" s="50">
        <f aca="true" t="shared" si="37" ref="AH35:AN35">+AH37+AH43+AH53+AH57</f>
        <v>0</v>
      </c>
      <c r="AI35" s="50">
        <f t="shared" si="37"/>
        <v>0</v>
      </c>
      <c r="AJ35" s="50">
        <f t="shared" si="37"/>
        <v>0</v>
      </c>
      <c r="AK35" s="50">
        <f>+AK37+AK43+AK53+AK57</f>
        <v>9703811</v>
      </c>
      <c r="AL35" s="50">
        <f t="shared" si="37"/>
        <v>685227380.2</v>
      </c>
      <c r="AM35" s="50">
        <f t="shared" si="37"/>
        <v>38554356.8</v>
      </c>
      <c r="AN35" s="50">
        <f t="shared" si="37"/>
        <v>9703811</v>
      </c>
      <c r="AO35" s="148">
        <f>+AG35/I35</f>
        <v>0.9333249716965435</v>
      </c>
      <c r="AP35" s="148">
        <f>+AC35/M35</f>
        <v>1</v>
      </c>
      <c r="AQ35" s="148">
        <f>+AD35/Q35</f>
        <v>1</v>
      </c>
      <c r="AR35" s="148">
        <f>+AE35/V35</f>
        <v>1</v>
      </c>
      <c r="AS35" s="148">
        <f>+AF35/AA35</f>
        <v>0.9645709617260283</v>
      </c>
    </row>
    <row r="36" spans="1:45" ht="15" customHeight="1">
      <c r="A36" s="186"/>
      <c r="B36" s="18"/>
      <c r="C36" s="38"/>
      <c r="D36" s="38"/>
      <c r="E36" s="38"/>
      <c r="F36" s="38"/>
      <c r="G36" s="38"/>
      <c r="H36" s="38"/>
      <c r="I36" s="18"/>
      <c r="J36" s="30"/>
      <c r="K36" s="30"/>
      <c r="L36" s="39"/>
      <c r="M36" s="30"/>
      <c r="N36" s="18"/>
      <c r="O36" s="30"/>
      <c r="P36" s="30"/>
      <c r="Q36" s="39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9"/>
      <c r="AC36" s="18"/>
      <c r="AD36" s="18"/>
      <c r="AE36" s="18"/>
      <c r="AF36" s="18"/>
      <c r="AG36" s="39"/>
      <c r="AH36" s="39"/>
      <c r="AI36" s="30"/>
      <c r="AJ36" s="30"/>
      <c r="AK36" s="30"/>
      <c r="AL36" s="39"/>
      <c r="AM36" s="39"/>
      <c r="AN36" s="39"/>
      <c r="AO36" s="147"/>
      <c r="AP36" s="147"/>
      <c r="AQ36" s="147"/>
      <c r="AR36" s="147"/>
      <c r="AS36" s="182"/>
    </row>
    <row r="37" spans="1:47" s="2" customFormat="1" ht="15" customHeight="1">
      <c r="A37" s="173" t="s">
        <v>99</v>
      </c>
      <c r="B37" s="19">
        <f aca="true" t="shared" si="38" ref="B37:I37">SUM(B38:B42)</f>
        <v>129792321</v>
      </c>
      <c r="C37" s="19">
        <f t="shared" si="38"/>
        <v>0</v>
      </c>
      <c r="D37" s="19">
        <f t="shared" si="38"/>
        <v>0</v>
      </c>
      <c r="E37" s="19">
        <f t="shared" si="38"/>
        <v>0</v>
      </c>
      <c r="F37" s="19">
        <f t="shared" si="38"/>
        <v>-50000000</v>
      </c>
      <c r="G37" s="19"/>
      <c r="H37" s="19">
        <f t="shared" si="38"/>
        <v>0</v>
      </c>
      <c r="I37" s="33">
        <f t="shared" si="38"/>
        <v>79792321</v>
      </c>
      <c r="J37" s="20">
        <f aca="true" t="shared" si="39" ref="J37:AN37">SUM(J38:J42)</f>
        <v>0</v>
      </c>
      <c r="K37" s="20"/>
      <c r="L37" s="20">
        <f t="shared" si="39"/>
        <v>0</v>
      </c>
      <c r="M37" s="20">
        <f t="shared" si="39"/>
        <v>0</v>
      </c>
      <c r="N37" s="19">
        <f t="shared" si="39"/>
        <v>3000000</v>
      </c>
      <c r="O37" s="19">
        <f t="shared" si="39"/>
        <v>0</v>
      </c>
      <c r="P37" s="19">
        <f t="shared" si="39"/>
        <v>-946800</v>
      </c>
      <c r="Q37" s="36">
        <f aca="true" t="shared" si="40" ref="Q37:Q60">SUM(N37:P37)</f>
        <v>2053200</v>
      </c>
      <c r="R37" s="20">
        <f t="shared" si="39"/>
        <v>66792321</v>
      </c>
      <c r="S37" s="20">
        <f>SUM(S38:S42)</f>
        <v>0</v>
      </c>
      <c r="T37" s="20">
        <f>SUM(T38:T42)</f>
        <v>0</v>
      </c>
      <c r="U37" s="20">
        <f>SUM(U38:U42)</f>
        <v>-8987000</v>
      </c>
      <c r="V37" s="20">
        <f t="shared" si="39"/>
        <v>57805321</v>
      </c>
      <c r="W37" s="418">
        <f>SUM(W38:W42)</f>
        <v>19933800</v>
      </c>
      <c r="X37" s="20">
        <f>SUM(X38:X42)</f>
        <v>0</v>
      </c>
      <c r="Y37" s="20">
        <f>SUM(Y38:Y42)</f>
        <v>-3000000</v>
      </c>
      <c r="Z37" s="20">
        <f t="shared" si="39"/>
        <v>0</v>
      </c>
      <c r="AA37" s="20">
        <f t="shared" si="39"/>
        <v>16933800</v>
      </c>
      <c r="AB37" s="20">
        <f t="shared" si="39"/>
        <v>76792321</v>
      </c>
      <c r="AC37" s="415">
        <f t="shared" si="39"/>
        <v>0</v>
      </c>
      <c r="AD37" s="415">
        <f t="shared" si="39"/>
        <v>2053200</v>
      </c>
      <c r="AE37" s="415">
        <f t="shared" si="39"/>
        <v>57805321</v>
      </c>
      <c r="AF37" s="415">
        <f t="shared" si="39"/>
        <v>9899403</v>
      </c>
      <c r="AG37" s="415">
        <f t="shared" si="39"/>
        <v>69757924</v>
      </c>
      <c r="AH37" s="20">
        <f t="shared" si="39"/>
        <v>0</v>
      </c>
      <c r="AI37" s="20">
        <f t="shared" si="39"/>
        <v>0</v>
      </c>
      <c r="AJ37" s="20">
        <f t="shared" si="39"/>
        <v>0</v>
      </c>
      <c r="AK37" s="20">
        <f>SUM(AK38:AK42)</f>
        <v>7034397</v>
      </c>
      <c r="AL37" s="20">
        <f t="shared" si="39"/>
        <v>76792321</v>
      </c>
      <c r="AM37" s="20">
        <f t="shared" si="39"/>
        <v>3000000</v>
      </c>
      <c r="AN37" s="20">
        <f t="shared" si="39"/>
        <v>7034397</v>
      </c>
      <c r="AO37" s="133">
        <f>+AG37/I37</f>
        <v>0.8742435753936773</v>
      </c>
      <c r="AP37" s="133">
        <v>0</v>
      </c>
      <c r="AQ37" s="133">
        <f>+AD37/Q37</f>
        <v>1</v>
      </c>
      <c r="AR37" s="133">
        <f>+AE37/V37</f>
        <v>1</v>
      </c>
      <c r="AS37" s="136">
        <f aca="true" t="shared" si="41" ref="AS37:AS48">+AF37/AA37</f>
        <v>0.584594302519222</v>
      </c>
      <c r="AU37" s="3"/>
    </row>
    <row r="38" spans="1:45" ht="16.5" customHeight="1" hidden="1" outlineLevel="1">
      <c r="A38" s="201" t="s">
        <v>145</v>
      </c>
      <c r="B38" s="12">
        <v>57792321</v>
      </c>
      <c r="C38" s="25"/>
      <c r="D38" s="25"/>
      <c r="E38" s="25"/>
      <c r="F38" s="25"/>
      <c r="G38" s="25"/>
      <c r="H38" s="25"/>
      <c r="I38" s="7">
        <f>SUM(B38:H38)</f>
        <v>57792321</v>
      </c>
      <c r="J38" s="35">
        <v>0</v>
      </c>
      <c r="K38" s="35"/>
      <c r="L38" s="7">
        <v>0</v>
      </c>
      <c r="M38" s="7">
        <f>+'[1]Anexo 2 '!$C$112</f>
        <v>0</v>
      </c>
      <c r="N38" s="233"/>
      <c r="O38" s="25"/>
      <c r="P38" s="7">
        <f>+AD38-N38-O38</f>
        <v>0</v>
      </c>
      <c r="Q38" s="7">
        <f t="shared" si="40"/>
        <v>0</v>
      </c>
      <c r="R38" s="12">
        <v>57792321</v>
      </c>
      <c r="S38" s="12">
        <f>+'[3]Anexo 2 '!$C$113</f>
        <v>0</v>
      </c>
      <c r="T38" s="12">
        <f>+'[3]Anexo 2 '!$C$113</f>
        <v>0</v>
      </c>
      <c r="U38" s="7">
        <f>-R38-S38-T38+AE38</f>
        <v>0</v>
      </c>
      <c r="V38" s="7">
        <f>+SUM(R38:U38)</f>
        <v>57792321</v>
      </c>
      <c r="W38" s="414">
        <v>0</v>
      </c>
      <c r="X38" s="12"/>
      <c r="Y38" s="12"/>
      <c r="Z38" s="12"/>
      <c r="AA38" s="7">
        <f>+SUM(W38:Z38)</f>
        <v>0</v>
      </c>
      <c r="AB38" s="7">
        <f>+M38+Q38+V38+AA38</f>
        <v>57792321</v>
      </c>
      <c r="AC38" s="414">
        <f>+'[4]TÉC ENE-MAR-11'!$G$123</f>
        <v>0</v>
      </c>
      <c r="AD38" s="414">
        <v>0</v>
      </c>
      <c r="AE38" s="414">
        <f>+'[4]TEC JUL-SEP-11'!$G$142</f>
        <v>57792321</v>
      </c>
      <c r="AF38" s="414">
        <f>+'[4]TEC OCT-DIC'!$G$145</f>
        <v>0</v>
      </c>
      <c r="AG38" s="414">
        <f>SUM(AC38:AF38)</f>
        <v>57792321</v>
      </c>
      <c r="AH38" s="7">
        <f>+M38-AC38</f>
        <v>0</v>
      </c>
      <c r="AI38" s="12">
        <f>+Q38-AD38</f>
        <v>0</v>
      </c>
      <c r="AJ38" s="7">
        <f>+V38-AE38</f>
        <v>0</v>
      </c>
      <c r="AK38" s="12">
        <f>+AA38-AF38</f>
        <v>0</v>
      </c>
      <c r="AL38" s="7">
        <f>+AB38</f>
        <v>57792321</v>
      </c>
      <c r="AM38" s="7">
        <f>+I38-AL38</f>
        <v>0</v>
      </c>
      <c r="AN38" s="7">
        <f>+AL38-AG38</f>
        <v>0</v>
      </c>
      <c r="AO38" s="130">
        <f>+AG38/I38</f>
        <v>1</v>
      </c>
      <c r="AP38" s="130">
        <v>0</v>
      </c>
      <c r="AQ38" s="130">
        <v>0</v>
      </c>
      <c r="AR38" s="130">
        <f>+AE38/V38</f>
        <v>1</v>
      </c>
      <c r="AS38" s="135">
        <v>0</v>
      </c>
    </row>
    <row r="39" spans="1:45" ht="15.75" customHeight="1" hidden="1" outlineLevel="1">
      <c r="A39" s="201" t="s">
        <v>146</v>
      </c>
      <c r="B39" s="12">
        <v>10000000</v>
      </c>
      <c r="C39" s="25"/>
      <c r="D39" s="25"/>
      <c r="E39" s="25"/>
      <c r="F39" s="25"/>
      <c r="G39" s="25"/>
      <c r="H39" s="25"/>
      <c r="I39" s="7">
        <f>SUM(B39:H39)</f>
        <v>10000000</v>
      </c>
      <c r="J39" s="35">
        <v>0</v>
      </c>
      <c r="K39" s="35"/>
      <c r="L39" s="7">
        <v>0</v>
      </c>
      <c r="M39" s="7">
        <f>+'[1]Anexo 2 '!$C$113</f>
        <v>0</v>
      </c>
      <c r="N39" s="233"/>
      <c r="O39" s="25"/>
      <c r="P39" s="7">
        <f>+AD39-N39-O39</f>
        <v>0</v>
      </c>
      <c r="Q39" s="7">
        <f t="shared" si="40"/>
        <v>0</v>
      </c>
      <c r="R39" s="12">
        <v>0</v>
      </c>
      <c r="S39" s="12">
        <f>+'[3]Anexo 2 '!$C$114</f>
        <v>0</v>
      </c>
      <c r="T39" s="12">
        <f>+'[3]Anexo 2 '!$C$114</f>
        <v>0</v>
      </c>
      <c r="U39" s="7">
        <f>-R39-S39-T39+AE39</f>
        <v>0</v>
      </c>
      <c r="V39" s="7">
        <f>+SUM(R39:U39)</f>
        <v>0</v>
      </c>
      <c r="W39" s="7">
        <v>10000000</v>
      </c>
      <c r="X39" s="12"/>
      <c r="Y39" s="12">
        <v>-3000000</v>
      </c>
      <c r="Z39" s="12"/>
      <c r="AA39" s="7">
        <f>+SUM(W39:Z39)</f>
        <v>7000000</v>
      </c>
      <c r="AB39" s="7">
        <f>+M39+Q39+V39+AA39</f>
        <v>7000000</v>
      </c>
      <c r="AC39" s="414">
        <f>+'[4]TÉC ENE-MAR-11'!$G$128</f>
        <v>0</v>
      </c>
      <c r="AD39" s="414">
        <v>0</v>
      </c>
      <c r="AE39" s="414">
        <f>+'[4]TEC JUL-SEP-11'!$G$148</f>
        <v>0</v>
      </c>
      <c r="AF39" s="414">
        <f>+'[4]TEC OCT-DIC'!$G$150</f>
        <v>0</v>
      </c>
      <c r="AG39" s="414">
        <f>SUM(AC39:AF39)</f>
        <v>0</v>
      </c>
      <c r="AH39" s="7">
        <f>+M39-AC39</f>
        <v>0</v>
      </c>
      <c r="AI39" s="12">
        <f>+Q39-AD39</f>
        <v>0</v>
      </c>
      <c r="AJ39" s="7">
        <f>+V39-AE39</f>
        <v>0</v>
      </c>
      <c r="AK39" s="12">
        <f>+AA39-AF39</f>
        <v>7000000</v>
      </c>
      <c r="AL39" s="7">
        <f>+AB39</f>
        <v>7000000</v>
      </c>
      <c r="AM39" s="7">
        <f>+I39-AL39</f>
        <v>3000000</v>
      </c>
      <c r="AN39" s="7">
        <f>+AL39-AG39</f>
        <v>7000000</v>
      </c>
      <c r="AO39" s="130">
        <v>0</v>
      </c>
      <c r="AP39" s="130">
        <v>0</v>
      </c>
      <c r="AQ39" s="130">
        <v>0</v>
      </c>
      <c r="AR39" s="130">
        <v>0</v>
      </c>
      <c r="AS39" s="135">
        <f t="shared" si="41"/>
        <v>0</v>
      </c>
    </row>
    <row r="40" spans="1:45" ht="15.75" customHeight="1" hidden="1" outlineLevel="1">
      <c r="A40" s="201" t="s">
        <v>220</v>
      </c>
      <c r="B40" s="12">
        <v>0</v>
      </c>
      <c r="C40" s="25"/>
      <c r="D40" s="25"/>
      <c r="E40" s="25"/>
      <c r="F40" s="25"/>
      <c r="G40" s="25"/>
      <c r="H40" s="25"/>
      <c r="I40" s="7">
        <f>SUM(B40:H40)</f>
        <v>0</v>
      </c>
      <c r="J40" s="35">
        <v>0</v>
      </c>
      <c r="K40" s="35"/>
      <c r="L40" s="7">
        <v>0</v>
      </c>
      <c r="M40" s="7">
        <f>+'[1]Anexo 2 '!$C$113</f>
        <v>0</v>
      </c>
      <c r="N40" s="233"/>
      <c r="O40" s="25"/>
      <c r="P40" s="7">
        <f>+AD40-N40-O40</f>
        <v>0</v>
      </c>
      <c r="Q40" s="7">
        <f t="shared" si="40"/>
        <v>0</v>
      </c>
      <c r="R40" s="12">
        <v>0</v>
      </c>
      <c r="S40" s="12">
        <f>+'[3]Anexo 2 '!$C$114</f>
        <v>0</v>
      </c>
      <c r="T40" s="12">
        <f>+'[3]Anexo 2 '!$C$114</f>
        <v>0</v>
      </c>
      <c r="U40" s="7">
        <f>-R40-S40-T40+AE40</f>
        <v>0</v>
      </c>
      <c r="V40" s="7">
        <f>+SUM(R40:U40)</f>
        <v>0</v>
      </c>
      <c r="W40" s="7">
        <v>0</v>
      </c>
      <c r="X40" s="12"/>
      <c r="Y40" s="12"/>
      <c r="Z40" s="12"/>
      <c r="AA40" s="7">
        <f>+SUM(W40:Z40)</f>
        <v>0</v>
      </c>
      <c r="AB40" s="7">
        <f>+M40+Q40+V40+AA40</f>
        <v>0</v>
      </c>
      <c r="AC40" s="414">
        <f>+'[4]TÉC ENE-MAR-11'!$G$128</f>
        <v>0</v>
      </c>
      <c r="AD40" s="414">
        <v>0</v>
      </c>
      <c r="AE40" s="414">
        <v>0</v>
      </c>
      <c r="AF40" s="414"/>
      <c r="AG40" s="414">
        <f>SUM(AC40:AF40)</f>
        <v>0</v>
      </c>
      <c r="AH40" s="7">
        <f>+M40-AC40</f>
        <v>0</v>
      </c>
      <c r="AI40" s="12">
        <f>+Q40-AD40</f>
        <v>0</v>
      </c>
      <c r="AJ40" s="7">
        <f>+V40-AE40</f>
        <v>0</v>
      </c>
      <c r="AK40" s="12">
        <f>+AA40-AF40</f>
        <v>0</v>
      </c>
      <c r="AL40" s="7">
        <f>+AB40</f>
        <v>0</v>
      </c>
      <c r="AM40" s="7">
        <f>+I40-AL40</f>
        <v>0</v>
      </c>
      <c r="AN40" s="7">
        <f>+AL40-AG40</f>
        <v>0</v>
      </c>
      <c r="AO40" s="130">
        <v>0</v>
      </c>
      <c r="AP40" s="130">
        <v>0</v>
      </c>
      <c r="AQ40" s="130">
        <v>0</v>
      </c>
      <c r="AR40" s="130">
        <v>0</v>
      </c>
      <c r="AS40" s="135">
        <v>0</v>
      </c>
    </row>
    <row r="41" spans="1:45" ht="15.75" customHeight="1" hidden="1" outlineLevel="1">
      <c r="A41" s="201" t="s">
        <v>184</v>
      </c>
      <c r="B41" s="12">
        <v>50000000</v>
      </c>
      <c r="C41" s="25"/>
      <c r="D41" s="25"/>
      <c r="E41" s="25"/>
      <c r="F41" s="31">
        <v>-50000000</v>
      </c>
      <c r="G41" s="31"/>
      <c r="H41" s="25"/>
      <c r="I41" s="7">
        <f>SUM(B41:H41)</f>
        <v>0</v>
      </c>
      <c r="J41" s="35">
        <v>0</v>
      </c>
      <c r="K41" s="35"/>
      <c r="L41" s="7">
        <v>0</v>
      </c>
      <c r="M41" s="7">
        <f>+'[1]Anexo 2 '!$C$113</f>
        <v>0</v>
      </c>
      <c r="N41" s="12"/>
      <c r="O41" s="25"/>
      <c r="P41" s="7">
        <f>+AD41-N41-O41</f>
        <v>0</v>
      </c>
      <c r="Q41" s="7">
        <f>SUM(N41:P41)</f>
        <v>0</v>
      </c>
      <c r="R41" s="12">
        <v>0</v>
      </c>
      <c r="S41" s="12"/>
      <c r="T41" s="12"/>
      <c r="U41" s="7">
        <f>-R41-S41-T41+AE41</f>
        <v>0</v>
      </c>
      <c r="V41" s="7">
        <f>+SUM(R41:U41)</f>
        <v>0</v>
      </c>
      <c r="W41" s="7">
        <v>0</v>
      </c>
      <c r="X41" s="12"/>
      <c r="Y41" s="12"/>
      <c r="Z41" s="12"/>
      <c r="AA41" s="7"/>
      <c r="AB41" s="7">
        <f>+M41+Q41+V41+AA41</f>
        <v>0</v>
      </c>
      <c r="AC41" s="414">
        <f>+'[4]TÉC ENE-MAR-11'!$G$133</f>
        <v>0</v>
      </c>
      <c r="AD41" s="414">
        <v>0</v>
      </c>
      <c r="AE41" s="414">
        <f>+'[4]TEC JUL-SEP-11'!$G$152</f>
        <v>0</v>
      </c>
      <c r="AF41" s="414">
        <f>+'[4]TEC OCT-DIC'!$G$155</f>
        <v>0</v>
      </c>
      <c r="AG41" s="414">
        <f>SUM(AC41:AF41)</f>
        <v>0</v>
      </c>
      <c r="AH41" s="7"/>
      <c r="AI41" s="12"/>
      <c r="AJ41" s="7"/>
      <c r="AK41" s="12">
        <f>+AA41-AF41</f>
        <v>0</v>
      </c>
      <c r="AL41" s="7"/>
      <c r="AM41" s="7">
        <f>+I41-AL41</f>
        <v>0</v>
      </c>
      <c r="AN41" s="7">
        <f>+AL41-AG41</f>
        <v>0</v>
      </c>
      <c r="AO41" s="130"/>
      <c r="AP41" s="130"/>
      <c r="AQ41" s="130"/>
      <c r="AR41" s="130"/>
      <c r="AS41" s="135"/>
    </row>
    <row r="42" spans="1:45" ht="16.5" customHeight="1" hidden="1" outlineLevel="1">
      <c r="A42" s="201" t="s">
        <v>219</v>
      </c>
      <c r="B42" s="12">
        <v>12000000</v>
      </c>
      <c r="C42" s="25"/>
      <c r="D42" s="25"/>
      <c r="E42" s="25"/>
      <c r="F42" s="25"/>
      <c r="G42" s="25"/>
      <c r="H42" s="25"/>
      <c r="I42" s="7">
        <f>SUM(B42:H42)</f>
        <v>12000000</v>
      </c>
      <c r="J42" s="35">
        <v>0</v>
      </c>
      <c r="K42" s="35"/>
      <c r="L42" s="12">
        <v>0</v>
      </c>
      <c r="M42" s="7">
        <f>+'[1]Anexo 2 '!$C$113</f>
        <v>0</v>
      </c>
      <c r="N42" s="12">
        <v>3000000</v>
      </c>
      <c r="O42" s="25"/>
      <c r="P42" s="7">
        <f>+AD42-N42-O42</f>
        <v>-946800</v>
      </c>
      <c r="Q42" s="7">
        <f>SUM(N42:P42)</f>
        <v>2053200</v>
      </c>
      <c r="R42" s="12">
        <v>9000000</v>
      </c>
      <c r="S42" s="12">
        <f>+'[3]Anexo 2 '!$C$115</f>
        <v>0</v>
      </c>
      <c r="T42" s="12">
        <f>+'[3]Anexo 2 '!$C$115</f>
        <v>0</v>
      </c>
      <c r="U42" s="7">
        <f>-R42-S42-T42+AE42</f>
        <v>-8987000</v>
      </c>
      <c r="V42" s="7">
        <f>+SUM(R42:U42)</f>
        <v>13000</v>
      </c>
      <c r="W42" s="414">
        <v>9933800</v>
      </c>
      <c r="X42" s="12"/>
      <c r="Y42" s="12"/>
      <c r="Z42" s="12"/>
      <c r="AA42" s="7">
        <f>+SUM(W42:Z42)</f>
        <v>9933800</v>
      </c>
      <c r="AB42" s="7">
        <f>+M42+Q42+V42+AA42</f>
        <v>12000000</v>
      </c>
      <c r="AC42" s="414">
        <f>+'[4]TÉC ENE-MAR-11'!$G$137</f>
        <v>0</v>
      </c>
      <c r="AD42" s="414">
        <f>+'[4]TÉC ABR-JUN-11'!$G$165</f>
        <v>2053200</v>
      </c>
      <c r="AE42" s="414">
        <f>+'[4]TEC JUL-SEP-11'!$G$156</f>
        <v>13000</v>
      </c>
      <c r="AF42" s="414">
        <f>+'[4]TEC OCT-DIC'!$G$159</f>
        <v>9899403</v>
      </c>
      <c r="AG42" s="414">
        <f>SUM(AC42:AF42)</f>
        <v>11965603</v>
      </c>
      <c r="AH42" s="7">
        <f>+M42-AC42</f>
        <v>0</v>
      </c>
      <c r="AI42" s="12">
        <f>+Q42-AD42</f>
        <v>0</v>
      </c>
      <c r="AJ42" s="7">
        <f>+V42-AE42</f>
        <v>0</v>
      </c>
      <c r="AK42" s="12">
        <f>+AA42-AF42</f>
        <v>34397</v>
      </c>
      <c r="AL42" s="7">
        <f>+AB42</f>
        <v>12000000</v>
      </c>
      <c r="AM42" s="7">
        <f>+I42-AL42</f>
        <v>0</v>
      </c>
      <c r="AN42" s="7">
        <f>+AL42-AG42</f>
        <v>34397</v>
      </c>
      <c r="AO42" s="130">
        <v>0</v>
      </c>
      <c r="AP42" s="130">
        <v>0</v>
      </c>
      <c r="AQ42" s="130">
        <v>0</v>
      </c>
      <c r="AR42" s="130">
        <v>0</v>
      </c>
      <c r="AS42" s="135">
        <f t="shared" si="41"/>
        <v>0.9965373774386438</v>
      </c>
    </row>
    <row r="43" spans="1:47" s="2" customFormat="1" ht="15.75" customHeight="1" collapsed="1">
      <c r="A43" s="173" t="s">
        <v>100</v>
      </c>
      <c r="B43" s="19">
        <f aca="true" t="shared" si="42" ref="B43:P43">+B44+B48</f>
        <v>536789416</v>
      </c>
      <c r="C43" s="19">
        <f t="shared" si="42"/>
        <v>0</v>
      </c>
      <c r="D43" s="19">
        <f t="shared" si="42"/>
        <v>0</v>
      </c>
      <c r="E43" s="19">
        <f t="shared" si="42"/>
        <v>0</v>
      </c>
      <c r="F43" s="19">
        <f t="shared" si="42"/>
        <v>-387000000</v>
      </c>
      <c r="G43" s="19"/>
      <c r="H43" s="19">
        <f t="shared" si="42"/>
        <v>0</v>
      </c>
      <c r="I43" s="19">
        <f t="shared" si="42"/>
        <v>149789416</v>
      </c>
      <c r="J43" s="19">
        <f t="shared" si="42"/>
        <v>114718040</v>
      </c>
      <c r="K43" s="19"/>
      <c r="L43" s="36">
        <f t="shared" si="42"/>
        <v>-95186949.8</v>
      </c>
      <c r="M43" s="19">
        <f>+J43+L43</f>
        <v>19531090.200000003</v>
      </c>
      <c r="N43" s="19">
        <f t="shared" si="42"/>
        <v>48125645</v>
      </c>
      <c r="O43" s="19">
        <f t="shared" si="42"/>
        <v>0</v>
      </c>
      <c r="P43" s="19">
        <f t="shared" si="42"/>
        <v>-14085270</v>
      </c>
      <c r="Q43" s="36">
        <f t="shared" si="40"/>
        <v>34040375</v>
      </c>
      <c r="R43" s="19">
        <f>+R44+R48</f>
        <v>48125645</v>
      </c>
      <c r="S43" s="19">
        <f>+S44+S48</f>
        <v>0</v>
      </c>
      <c r="T43" s="19">
        <f>+T44+T48</f>
        <v>0</v>
      </c>
      <c r="U43" s="19">
        <f>+U44+U48</f>
        <v>-30140593</v>
      </c>
      <c r="V43" s="19">
        <f aca="true" t="shared" si="43" ref="V43:AG43">+V44+V48</f>
        <v>17985052</v>
      </c>
      <c r="W43" s="415">
        <f>+W44+W48</f>
        <v>39678542</v>
      </c>
      <c r="X43" s="19">
        <f t="shared" si="43"/>
        <v>0</v>
      </c>
      <c r="Y43" s="415">
        <f t="shared" si="43"/>
        <v>3000000</v>
      </c>
      <c r="Z43" s="19">
        <f t="shared" si="43"/>
        <v>0</v>
      </c>
      <c r="AA43" s="19">
        <f t="shared" si="43"/>
        <v>42678542</v>
      </c>
      <c r="AB43" s="19">
        <f t="shared" si="43"/>
        <v>114235059.2</v>
      </c>
      <c r="AC43" s="415">
        <f t="shared" si="43"/>
        <v>19531090.2</v>
      </c>
      <c r="AD43" s="415">
        <f t="shared" si="43"/>
        <v>34040375</v>
      </c>
      <c r="AE43" s="415">
        <f t="shared" si="43"/>
        <v>17985052</v>
      </c>
      <c r="AF43" s="415">
        <f t="shared" si="43"/>
        <v>41283311</v>
      </c>
      <c r="AG43" s="415">
        <f t="shared" si="43"/>
        <v>112839828.2</v>
      </c>
      <c r="AH43" s="19">
        <f aca="true" t="shared" si="44" ref="AH43:AN43">+AH44+AH48</f>
        <v>0</v>
      </c>
      <c r="AI43" s="20">
        <f t="shared" si="44"/>
        <v>0</v>
      </c>
      <c r="AJ43" s="19">
        <f t="shared" si="44"/>
        <v>0</v>
      </c>
      <c r="AK43" s="19">
        <f>+AK44+AK48</f>
        <v>1395231</v>
      </c>
      <c r="AL43" s="19">
        <f t="shared" si="44"/>
        <v>114235059.2</v>
      </c>
      <c r="AM43" s="19">
        <f t="shared" si="44"/>
        <v>35554356.8</v>
      </c>
      <c r="AN43" s="19">
        <f t="shared" si="44"/>
        <v>1395231</v>
      </c>
      <c r="AO43" s="133">
        <f aca="true" t="shared" si="45" ref="AO43:AO55">+AG43/I43</f>
        <v>0.7533231066205639</v>
      </c>
      <c r="AP43" s="133">
        <f aca="true" t="shared" si="46" ref="AP43:AP51">+AC43/M43</f>
        <v>0.9999999999999998</v>
      </c>
      <c r="AQ43" s="133">
        <f aca="true" t="shared" si="47" ref="AQ43:AQ51">+AD43/Q43</f>
        <v>1</v>
      </c>
      <c r="AR43" s="133">
        <f>+AE43/V43</f>
        <v>1</v>
      </c>
      <c r="AS43" s="136">
        <f t="shared" si="41"/>
        <v>0.9673083724369028</v>
      </c>
      <c r="AU43" s="3"/>
    </row>
    <row r="44" spans="1:45" ht="15.75" customHeight="1" hidden="1" outlineLevel="1">
      <c r="A44" s="630" t="s">
        <v>101</v>
      </c>
      <c r="B44" s="416">
        <f>SUM(B45:B47)</f>
        <v>359674300</v>
      </c>
      <c r="C44" s="428">
        <f>SUM(C45:C47)</f>
        <v>0</v>
      </c>
      <c r="D44" s="428">
        <f>SUM(D45:D47)</f>
        <v>0</v>
      </c>
      <c r="E44" s="428">
        <f>SUM(E45:E47)</f>
        <v>0</v>
      </c>
      <c r="F44" s="428">
        <f>SUM(F45:F47)</f>
        <v>-317000000</v>
      </c>
      <c r="G44" s="428"/>
      <c r="H44" s="428">
        <f>SUM(H45:H47)</f>
        <v>-2950000</v>
      </c>
      <c r="I44" s="414">
        <f aca="true" t="shared" si="48" ref="I44:I52">SUM(B44:H44)</f>
        <v>39724300</v>
      </c>
      <c r="J44" s="27">
        <f>SUM(J45:J47)</f>
        <v>95618040</v>
      </c>
      <c r="K44" s="72"/>
      <c r="L44" s="7">
        <v>-85749820</v>
      </c>
      <c r="M44" s="12">
        <f aca="true" t="shared" si="49" ref="M44:M52">+J44+L44</f>
        <v>9868220</v>
      </c>
      <c r="N44" s="12">
        <f>SUM(N45:N47)</f>
        <v>18300000</v>
      </c>
      <c r="O44" s="31">
        <f>SUM(O45:O47)</f>
        <v>0</v>
      </c>
      <c r="P44" s="31">
        <f>SUM(P45:P47)</f>
        <v>-6338750</v>
      </c>
      <c r="Q44" s="7">
        <f t="shared" si="40"/>
        <v>11961250</v>
      </c>
      <c r="R44" s="27">
        <f>SUM(R45:R47)</f>
        <v>7600000</v>
      </c>
      <c r="S44" s="27">
        <f>SUM(S45:S47)</f>
        <v>0</v>
      </c>
      <c r="T44" s="27">
        <f>SUM(T45:T47)</f>
        <v>0</v>
      </c>
      <c r="U44" s="7">
        <f aca="true" t="shared" si="50" ref="U44:U52">-R44-S44-T44+AE44</f>
        <v>-4441080</v>
      </c>
      <c r="V44" s="27">
        <f aca="true" t="shared" si="51" ref="V44:AN44">SUM(V45:V47)</f>
        <v>3158920</v>
      </c>
      <c r="W44" s="416">
        <f t="shared" si="51"/>
        <v>5075460</v>
      </c>
      <c r="X44" s="27">
        <f t="shared" si="51"/>
        <v>0</v>
      </c>
      <c r="Y44" s="416">
        <f t="shared" si="51"/>
        <v>0</v>
      </c>
      <c r="Z44" s="27">
        <f t="shared" si="51"/>
        <v>0</v>
      </c>
      <c r="AA44" s="27">
        <f t="shared" si="51"/>
        <v>5075460</v>
      </c>
      <c r="AB44" s="27">
        <f t="shared" si="51"/>
        <v>30063850</v>
      </c>
      <c r="AC44" s="416">
        <f t="shared" si="51"/>
        <v>9868220</v>
      </c>
      <c r="AD44" s="416">
        <f t="shared" si="51"/>
        <v>11961250</v>
      </c>
      <c r="AE44" s="416">
        <f t="shared" si="51"/>
        <v>3158920</v>
      </c>
      <c r="AF44" s="416">
        <f t="shared" si="51"/>
        <v>5050512</v>
      </c>
      <c r="AG44" s="416">
        <f t="shared" si="51"/>
        <v>30038902</v>
      </c>
      <c r="AH44" s="27">
        <f t="shared" si="51"/>
        <v>0</v>
      </c>
      <c r="AI44" s="12">
        <f t="shared" si="51"/>
        <v>0</v>
      </c>
      <c r="AJ44" s="27">
        <f t="shared" si="51"/>
        <v>0</v>
      </c>
      <c r="AK44" s="27">
        <f t="shared" si="51"/>
        <v>24948</v>
      </c>
      <c r="AL44" s="27">
        <f t="shared" si="51"/>
        <v>30063850</v>
      </c>
      <c r="AM44" s="27">
        <f t="shared" si="51"/>
        <v>9660450</v>
      </c>
      <c r="AN44" s="27">
        <f t="shared" si="51"/>
        <v>24948</v>
      </c>
      <c r="AO44" s="130">
        <f t="shared" si="45"/>
        <v>0.7561845520248311</v>
      </c>
      <c r="AP44" s="130">
        <f t="shared" si="46"/>
        <v>1</v>
      </c>
      <c r="AQ44" s="130">
        <f t="shared" si="47"/>
        <v>1</v>
      </c>
      <c r="AR44" s="130">
        <f>+AE44/V44</f>
        <v>1</v>
      </c>
      <c r="AS44" s="135">
        <f t="shared" si="41"/>
        <v>0.9950845834663262</v>
      </c>
    </row>
    <row r="45" spans="1:45" ht="15" customHeight="1" hidden="1" outlineLevel="2">
      <c r="A45" s="631" t="s">
        <v>297</v>
      </c>
      <c r="B45" s="414">
        <v>180000000</v>
      </c>
      <c r="C45" s="426"/>
      <c r="D45" s="426"/>
      <c r="E45" s="426"/>
      <c r="F45" s="426">
        <v>-180000000</v>
      </c>
      <c r="G45" s="426"/>
      <c r="H45" s="426"/>
      <c r="I45" s="414">
        <f t="shared" si="48"/>
        <v>0</v>
      </c>
      <c r="J45" s="7">
        <v>40000000</v>
      </c>
      <c r="K45" s="37"/>
      <c r="L45" s="7">
        <v>-40000000</v>
      </c>
      <c r="M45" s="12">
        <f t="shared" si="49"/>
        <v>0</v>
      </c>
      <c r="N45" s="12">
        <v>0</v>
      </c>
      <c r="O45" s="23"/>
      <c r="P45" s="7">
        <f aca="true" t="shared" si="52" ref="P45:P60">+AD45-N45-O45</f>
        <v>0</v>
      </c>
      <c r="Q45" s="7">
        <f t="shared" si="40"/>
        <v>0</v>
      </c>
      <c r="R45" s="12"/>
      <c r="S45" s="12"/>
      <c r="T45" s="12"/>
      <c r="U45" s="7">
        <f t="shared" si="50"/>
        <v>0</v>
      </c>
      <c r="V45" s="7">
        <f>+SUM(R45:U45)</f>
        <v>0</v>
      </c>
      <c r="W45" s="414">
        <v>0</v>
      </c>
      <c r="X45" s="12"/>
      <c r="Y45" s="417"/>
      <c r="Z45" s="12"/>
      <c r="AA45" s="7">
        <f>+SUM(W45:Z45)</f>
        <v>0</v>
      </c>
      <c r="AB45" s="7">
        <f>+M45+Q45+V45+AA45</f>
        <v>0</v>
      </c>
      <c r="AC45" s="414">
        <f>+'[4]TÉC ENE-MAR-11'!$G$144</f>
        <v>0</v>
      </c>
      <c r="AD45" s="414">
        <f>+'[4]TÉC ABR-JUN-11'!$G$173</f>
        <v>0</v>
      </c>
      <c r="AE45" s="414">
        <f>+'[4]TEC JUL-SEP-11'!$G$164</f>
        <v>0</v>
      </c>
      <c r="AF45" s="414">
        <f>+'[4]TEC OCT-DIC'!$G$173</f>
        <v>0</v>
      </c>
      <c r="AG45" s="414">
        <f>SUM(AC45:AF45)</f>
        <v>0</v>
      </c>
      <c r="AH45" s="7">
        <f>+M45-AC45</f>
        <v>0</v>
      </c>
      <c r="AI45" s="12">
        <f>+Q45-AD45</f>
        <v>0</v>
      </c>
      <c r="AJ45" s="7">
        <f>+V45-AE45</f>
        <v>0</v>
      </c>
      <c r="AK45" s="12">
        <f>+AA45-AF45</f>
        <v>0</v>
      </c>
      <c r="AL45" s="7">
        <f>+AB45</f>
        <v>0</v>
      </c>
      <c r="AM45" s="7">
        <f>+I45-AL45</f>
        <v>0</v>
      </c>
      <c r="AN45" s="7">
        <f aca="true" t="shared" si="53" ref="AN45:AN52">+AL45-AG45</f>
        <v>0</v>
      </c>
      <c r="AO45" s="130">
        <v>0</v>
      </c>
      <c r="AP45" s="130">
        <v>0</v>
      </c>
      <c r="AQ45" s="130">
        <v>0</v>
      </c>
      <c r="AR45" s="130">
        <v>0</v>
      </c>
      <c r="AS45" s="135">
        <v>0</v>
      </c>
    </row>
    <row r="46" spans="1:45" ht="15" customHeight="1" hidden="1" outlineLevel="2">
      <c r="A46" s="631" t="s">
        <v>189</v>
      </c>
      <c r="B46" s="414">
        <v>24000000</v>
      </c>
      <c r="C46" s="429"/>
      <c r="D46" s="429"/>
      <c r="E46" s="429"/>
      <c r="F46" s="429"/>
      <c r="G46" s="429"/>
      <c r="H46" s="429">
        <f>-1880222-1000000-3500000</f>
        <v>-6380222</v>
      </c>
      <c r="I46" s="414">
        <f t="shared" si="48"/>
        <v>17619778</v>
      </c>
      <c r="J46" s="7">
        <v>6000000</v>
      </c>
      <c r="K46" s="37"/>
      <c r="L46" s="7">
        <v>-4497500</v>
      </c>
      <c r="M46" s="12">
        <f t="shared" si="49"/>
        <v>1502500</v>
      </c>
      <c r="N46" s="12">
        <v>6000000</v>
      </c>
      <c r="O46" s="29"/>
      <c r="P46" s="7">
        <f t="shared" si="52"/>
        <v>-3938750</v>
      </c>
      <c r="Q46" s="7">
        <f t="shared" si="40"/>
        <v>2061250</v>
      </c>
      <c r="R46" s="18">
        <v>6000000</v>
      </c>
      <c r="S46" s="18"/>
      <c r="T46" s="18"/>
      <c r="U46" s="7">
        <f t="shared" si="50"/>
        <v>-4324200</v>
      </c>
      <c r="V46" s="7">
        <f>+SUM(R46:U46)</f>
        <v>1675800</v>
      </c>
      <c r="W46" s="414">
        <f>5619778-2758222</f>
        <v>2861556</v>
      </c>
      <c r="X46" s="18"/>
      <c r="Y46" s="424"/>
      <c r="Z46" s="15"/>
      <c r="AA46" s="7">
        <f>+SUM(W46:Z46)</f>
        <v>2861556</v>
      </c>
      <c r="AB46" s="7">
        <f>+M46+Q46+V46+AA46</f>
        <v>8101106</v>
      </c>
      <c r="AC46" s="414">
        <f>+'[4]TÉC ENE-MAR-11'!$G$150</f>
        <v>1502500</v>
      </c>
      <c r="AD46" s="414">
        <f>+'[4]TÉC ABR-JUN-11'!$G$181</f>
        <v>2061250</v>
      </c>
      <c r="AE46" s="414">
        <f>+'[4]TEC JUL-SEP-11'!$G$168</f>
        <v>1675800</v>
      </c>
      <c r="AF46" s="414">
        <f>+'[4]TEC OCT-DIC'!$G$178</f>
        <v>2861450</v>
      </c>
      <c r="AG46" s="414">
        <f>SUM(AC46:AF46)</f>
        <v>8101000</v>
      </c>
      <c r="AH46" s="7">
        <f>+M46-AC46</f>
        <v>0</v>
      </c>
      <c r="AI46" s="12">
        <f>+Q46-AD46</f>
        <v>0</v>
      </c>
      <c r="AJ46" s="7">
        <f>+V46-AE46</f>
        <v>0</v>
      </c>
      <c r="AK46" s="417">
        <f>+AA46-AF46</f>
        <v>106</v>
      </c>
      <c r="AL46" s="7">
        <f>+AB46</f>
        <v>8101106</v>
      </c>
      <c r="AM46" s="7">
        <f>+I46-AL46</f>
        <v>9518672</v>
      </c>
      <c r="AN46" s="7">
        <f t="shared" si="53"/>
        <v>106</v>
      </c>
      <c r="AO46" s="130">
        <f t="shared" si="45"/>
        <v>0.4597674272627044</v>
      </c>
      <c r="AP46" s="130">
        <f t="shared" si="46"/>
        <v>1</v>
      </c>
      <c r="AQ46" s="130">
        <f t="shared" si="47"/>
        <v>1</v>
      </c>
      <c r="AR46" s="130">
        <f>+AE46/V46</f>
        <v>1</v>
      </c>
      <c r="AS46" s="135">
        <f t="shared" si="41"/>
        <v>0.9999629572162837</v>
      </c>
    </row>
    <row r="47" spans="1:45" s="43" customFormat="1" ht="15" customHeight="1" hidden="1" outlineLevel="2">
      <c r="A47" s="631" t="s">
        <v>190</v>
      </c>
      <c r="B47" s="414">
        <v>155674300</v>
      </c>
      <c r="C47" s="429"/>
      <c r="D47" s="429"/>
      <c r="E47" s="428"/>
      <c r="F47" s="428">
        <v>-137000000</v>
      </c>
      <c r="G47" s="428"/>
      <c r="H47" s="428">
        <f>1880222+3500000-1950000</f>
        <v>3430222</v>
      </c>
      <c r="I47" s="414">
        <f t="shared" si="48"/>
        <v>22104522</v>
      </c>
      <c r="J47" s="7">
        <v>49618040</v>
      </c>
      <c r="K47" s="39"/>
      <c r="L47" s="7">
        <v>-41252320</v>
      </c>
      <c r="M47" s="12">
        <f t="shared" si="49"/>
        <v>8365720</v>
      </c>
      <c r="N47" s="12">
        <v>12300000</v>
      </c>
      <c r="O47" s="29"/>
      <c r="P47" s="7">
        <f t="shared" si="52"/>
        <v>-2400000</v>
      </c>
      <c r="Q47" s="7">
        <f t="shared" si="40"/>
        <v>9900000</v>
      </c>
      <c r="R47" s="18">
        <v>1600000</v>
      </c>
      <c r="S47" s="18"/>
      <c r="T47" s="18"/>
      <c r="U47" s="7">
        <f t="shared" si="50"/>
        <v>-116880</v>
      </c>
      <c r="V47" s="7">
        <f>+SUM(R47:U47)</f>
        <v>1483120</v>
      </c>
      <c r="W47" s="414">
        <f>2405682-191778</f>
        <v>2213904</v>
      </c>
      <c r="X47" s="30"/>
      <c r="Y47" s="425"/>
      <c r="Z47" s="41"/>
      <c r="AA47" s="7">
        <f>+SUM(W47:Z47)</f>
        <v>2213904</v>
      </c>
      <c r="AB47" s="7">
        <f>+M47+Q47+V47+AA47</f>
        <v>21962744</v>
      </c>
      <c r="AC47" s="414">
        <f>+'[4]TÉC ENE-MAR-11'!$G$157</f>
        <v>8365720</v>
      </c>
      <c r="AD47" s="414">
        <f>+'[4]TÉC ABR-JUN-11'!$G$193</f>
        <v>9900000</v>
      </c>
      <c r="AE47" s="414">
        <f>+'[4]TEC JUL-SEP-11'!$G$179</f>
        <v>1483120</v>
      </c>
      <c r="AF47" s="414">
        <f>+'[4]TEC OCT-DIC'!$G$189</f>
        <v>2189062</v>
      </c>
      <c r="AG47" s="414">
        <f>SUM(AC47:AF47)</f>
        <v>21937902</v>
      </c>
      <c r="AH47" s="7">
        <f>+M47-AC47</f>
        <v>0</v>
      </c>
      <c r="AI47" s="40"/>
      <c r="AJ47" s="42"/>
      <c r="AK47" s="417">
        <f>+AA47-AF47</f>
        <v>24842</v>
      </c>
      <c r="AL47" s="7">
        <f>+AB47</f>
        <v>21962744</v>
      </c>
      <c r="AM47" s="414">
        <f>+I47-AL47</f>
        <v>141778</v>
      </c>
      <c r="AN47" s="7">
        <f t="shared" si="53"/>
        <v>24842</v>
      </c>
      <c r="AO47" s="130">
        <f t="shared" si="45"/>
        <v>0.9924621758389528</v>
      </c>
      <c r="AP47" s="130">
        <f t="shared" si="46"/>
        <v>1</v>
      </c>
      <c r="AQ47" s="130">
        <f t="shared" si="47"/>
        <v>1</v>
      </c>
      <c r="AR47" s="145"/>
      <c r="AS47" s="188"/>
    </row>
    <row r="48" spans="1:45" ht="15" customHeight="1" hidden="1" outlineLevel="1" collapsed="1">
      <c r="A48" s="630" t="s">
        <v>117</v>
      </c>
      <c r="B48" s="414">
        <f aca="true" t="shared" si="54" ref="B48:H48">SUM(B49:B52)</f>
        <v>177115116</v>
      </c>
      <c r="C48" s="417">
        <f t="shared" si="54"/>
        <v>0</v>
      </c>
      <c r="D48" s="417">
        <f t="shared" si="54"/>
        <v>0</v>
      </c>
      <c r="E48" s="417">
        <f t="shared" si="54"/>
        <v>0</v>
      </c>
      <c r="F48" s="417">
        <f t="shared" si="54"/>
        <v>-70000000</v>
      </c>
      <c r="G48" s="417"/>
      <c r="H48" s="417">
        <f t="shared" si="54"/>
        <v>2950000</v>
      </c>
      <c r="I48" s="414">
        <f t="shared" si="48"/>
        <v>110065116</v>
      </c>
      <c r="J48" s="12">
        <f>SUM(J49:J52)</f>
        <v>19100000</v>
      </c>
      <c r="K48" s="12"/>
      <c r="L48" s="7">
        <v>-9437129.8</v>
      </c>
      <c r="M48" s="12">
        <f t="shared" si="49"/>
        <v>9662870.2</v>
      </c>
      <c r="N48" s="12">
        <f aca="true" t="shared" si="55" ref="N48:AM48">SUM(N49:N52)</f>
        <v>29825645</v>
      </c>
      <c r="O48" s="12">
        <f t="shared" si="55"/>
        <v>0</v>
      </c>
      <c r="P48" s="12">
        <f t="shared" si="55"/>
        <v>-7746520</v>
      </c>
      <c r="Q48" s="7">
        <f t="shared" si="40"/>
        <v>22079125</v>
      </c>
      <c r="R48" s="12">
        <f t="shared" si="55"/>
        <v>40525645</v>
      </c>
      <c r="S48" s="12">
        <f t="shared" si="55"/>
        <v>0</v>
      </c>
      <c r="T48" s="12">
        <f>SUM(T49:T52)</f>
        <v>0</v>
      </c>
      <c r="U48" s="7">
        <f t="shared" si="50"/>
        <v>-25699513</v>
      </c>
      <c r="V48" s="12">
        <f t="shared" si="55"/>
        <v>14826132</v>
      </c>
      <c r="W48" s="417">
        <f>SUM(W49:W52)</f>
        <v>34603082</v>
      </c>
      <c r="X48" s="12">
        <f t="shared" si="55"/>
        <v>0</v>
      </c>
      <c r="Y48" s="417">
        <f t="shared" si="55"/>
        <v>3000000</v>
      </c>
      <c r="Z48" s="12">
        <f t="shared" si="55"/>
        <v>0</v>
      </c>
      <c r="AA48" s="12">
        <f t="shared" si="55"/>
        <v>37603082</v>
      </c>
      <c r="AB48" s="12">
        <f t="shared" si="55"/>
        <v>84171209.2</v>
      </c>
      <c r="AC48" s="414">
        <f t="shared" si="55"/>
        <v>9662870.2</v>
      </c>
      <c r="AD48" s="414">
        <f t="shared" si="55"/>
        <v>22079125</v>
      </c>
      <c r="AE48" s="414">
        <f t="shared" si="55"/>
        <v>14826132</v>
      </c>
      <c r="AF48" s="414">
        <f t="shared" si="55"/>
        <v>36232799</v>
      </c>
      <c r="AG48" s="414">
        <f>SUM(AG49:AG52)</f>
        <v>82800926.2</v>
      </c>
      <c r="AH48" s="12">
        <f t="shared" si="55"/>
        <v>0</v>
      </c>
      <c r="AI48" s="12">
        <f t="shared" si="55"/>
        <v>0</v>
      </c>
      <c r="AJ48" s="12">
        <f t="shared" si="55"/>
        <v>0</v>
      </c>
      <c r="AK48" s="12">
        <f>SUM(AK49:AK52)</f>
        <v>1370283</v>
      </c>
      <c r="AL48" s="12">
        <f t="shared" si="55"/>
        <v>84171209.2</v>
      </c>
      <c r="AM48" s="12">
        <f t="shared" si="55"/>
        <v>25893906.8</v>
      </c>
      <c r="AN48" s="7">
        <f t="shared" si="53"/>
        <v>1370283</v>
      </c>
      <c r="AO48" s="130">
        <f t="shared" si="45"/>
        <v>0.7522903641876869</v>
      </c>
      <c r="AP48" s="130">
        <f t="shared" si="46"/>
        <v>1</v>
      </c>
      <c r="AQ48" s="130">
        <f t="shared" si="47"/>
        <v>1</v>
      </c>
      <c r="AR48" s="130">
        <f>+AE48/V48</f>
        <v>1</v>
      </c>
      <c r="AS48" s="135">
        <f t="shared" si="41"/>
        <v>0.9635592901666943</v>
      </c>
    </row>
    <row r="49" spans="1:45" ht="15" customHeight="1" hidden="1" outlineLevel="2">
      <c r="A49" s="631" t="s">
        <v>141</v>
      </c>
      <c r="B49" s="414">
        <v>23000000</v>
      </c>
      <c r="C49" s="632"/>
      <c r="D49" s="632"/>
      <c r="E49" s="632"/>
      <c r="F49" s="632"/>
      <c r="G49" s="632"/>
      <c r="H49" s="427">
        <f>2000000</f>
        <v>2000000</v>
      </c>
      <c r="I49" s="414">
        <f t="shared" si="48"/>
        <v>25000000</v>
      </c>
      <c r="J49" s="7">
        <v>5000000</v>
      </c>
      <c r="K49" s="7"/>
      <c r="L49" s="7">
        <v>-3147511</v>
      </c>
      <c r="M49" s="12">
        <f>+J49+L49</f>
        <v>1852489</v>
      </c>
      <c r="N49" s="12">
        <v>8000000</v>
      </c>
      <c r="O49" s="45"/>
      <c r="P49" s="7">
        <f t="shared" si="52"/>
        <v>-482353</v>
      </c>
      <c r="Q49" s="7">
        <f t="shared" si="40"/>
        <v>7517647</v>
      </c>
      <c r="R49" s="12">
        <f>8000000</f>
        <v>8000000</v>
      </c>
      <c r="S49" s="12"/>
      <c r="T49" s="12"/>
      <c r="U49" s="7">
        <f t="shared" si="50"/>
        <v>-2023218</v>
      </c>
      <c r="V49" s="7">
        <f>+SUM(R49:U49)</f>
        <v>5976782</v>
      </c>
      <c r="W49" s="414">
        <f>7653082+2000000</f>
        <v>9653082</v>
      </c>
      <c r="X49" s="12"/>
      <c r="Y49" s="417"/>
      <c r="Z49" s="12"/>
      <c r="AA49" s="7">
        <f>+SUM(W49:Z49)</f>
        <v>9653082</v>
      </c>
      <c r="AB49" s="7">
        <f>+M49+Q49+V49+AA49</f>
        <v>25000000</v>
      </c>
      <c r="AC49" s="414">
        <f>+'[4]TÉC ENE-MAR-11'!$G$165</f>
        <v>1852489</v>
      </c>
      <c r="AD49" s="414">
        <f>+'[4]TÉC ABR-JUN-11'!$G$201</f>
        <v>7517647</v>
      </c>
      <c r="AE49" s="414">
        <f>+'[4]TEC JUL-SEP-11'!$G$185</f>
        <v>5976782</v>
      </c>
      <c r="AF49" s="414">
        <f>+'[4]TEC OCT-DIC'!$G$197</f>
        <v>8983206</v>
      </c>
      <c r="AG49" s="414">
        <f>SUM(AC49:AF49)</f>
        <v>24330124</v>
      </c>
      <c r="AH49" s="7">
        <f>+M49-AC49</f>
        <v>0</v>
      </c>
      <c r="AI49" s="12">
        <f>+Q49-AD49</f>
        <v>0</v>
      </c>
      <c r="AJ49" s="7">
        <f>+V49-AE49</f>
        <v>0</v>
      </c>
      <c r="AK49" s="12">
        <f>+AA49-AF49</f>
        <v>669876</v>
      </c>
      <c r="AL49" s="7">
        <f>+AB49</f>
        <v>25000000</v>
      </c>
      <c r="AM49" s="7">
        <f>+I49-AL49</f>
        <v>0</v>
      </c>
      <c r="AN49" s="7">
        <f t="shared" si="53"/>
        <v>669876</v>
      </c>
      <c r="AO49" s="130">
        <f t="shared" si="45"/>
        <v>0.97320496</v>
      </c>
      <c r="AP49" s="130">
        <f t="shared" si="46"/>
        <v>1</v>
      </c>
      <c r="AQ49" s="130">
        <f t="shared" si="47"/>
        <v>1</v>
      </c>
      <c r="AR49" s="130">
        <f>+AE49/V49</f>
        <v>1</v>
      </c>
      <c r="AS49" s="135">
        <f>+AF49/AA49</f>
        <v>0.9306049611927051</v>
      </c>
    </row>
    <row r="50" spans="1:45" ht="15" customHeight="1" hidden="1" outlineLevel="2">
      <c r="A50" s="631" t="s">
        <v>142</v>
      </c>
      <c r="B50" s="414">
        <v>126035116</v>
      </c>
      <c r="C50" s="632"/>
      <c r="D50" s="632"/>
      <c r="E50" s="632"/>
      <c r="F50" s="427">
        <v>-70000000</v>
      </c>
      <c r="G50" s="427"/>
      <c r="H50" s="427">
        <f>4000000+1775950+1000000-2000000+1950000</f>
        <v>6725950</v>
      </c>
      <c r="I50" s="414">
        <f t="shared" si="48"/>
        <v>62761066</v>
      </c>
      <c r="J50" s="7">
        <v>9700000</v>
      </c>
      <c r="K50" s="7"/>
      <c r="L50" s="7">
        <v>-5080050</v>
      </c>
      <c r="M50" s="12">
        <f t="shared" si="49"/>
        <v>4619950</v>
      </c>
      <c r="N50" s="12">
        <f>28725645-12300000</f>
        <v>16425645</v>
      </c>
      <c r="O50" s="45"/>
      <c r="P50" s="7">
        <f t="shared" si="52"/>
        <v>-4895395</v>
      </c>
      <c r="Q50" s="7">
        <f t="shared" si="40"/>
        <v>11530250</v>
      </c>
      <c r="R50" s="12">
        <f>28725645-1600000</f>
        <v>27125645</v>
      </c>
      <c r="S50" s="12"/>
      <c r="T50" s="12"/>
      <c r="U50" s="7">
        <f t="shared" si="50"/>
        <v>-20276295</v>
      </c>
      <c r="V50" s="7">
        <f aca="true" t="shared" si="56" ref="V50:V60">+SUM(R50:U50)</f>
        <v>6849350</v>
      </c>
      <c r="W50" s="414">
        <f>10000000+6725950</f>
        <v>16725950</v>
      </c>
      <c r="X50" s="12"/>
      <c r="Y50" s="417">
        <v>3000000</v>
      </c>
      <c r="Z50" s="12"/>
      <c r="AA50" s="7">
        <f>+SUM(W50:Z50)</f>
        <v>19725950</v>
      </c>
      <c r="AB50" s="7">
        <f>+M50+Q50+V50+AA50</f>
        <v>42725500</v>
      </c>
      <c r="AC50" s="414">
        <f>+'[4]TÉC ENE-MAR-11'!$G$177</f>
        <v>4619950</v>
      </c>
      <c r="AD50" s="414">
        <f>+'[4]TÉC ABR-JUN-11'!$G$228</f>
        <v>11530250</v>
      </c>
      <c r="AE50" s="414">
        <f>+'[4]TEC JUL-SEP-11'!$G$202</f>
        <v>6849350</v>
      </c>
      <c r="AF50" s="414">
        <f>+'[4]TEC OCT-DIC'!$G$223</f>
        <v>19081805</v>
      </c>
      <c r="AG50" s="414">
        <f>SUM(AC50:AF50)</f>
        <v>42081355</v>
      </c>
      <c r="AH50" s="7">
        <f>+M50-AC50</f>
        <v>0</v>
      </c>
      <c r="AI50" s="12">
        <f>+Q50-AD50</f>
        <v>0</v>
      </c>
      <c r="AJ50" s="7">
        <f>+V50-AE50</f>
        <v>0</v>
      </c>
      <c r="AK50" s="12">
        <f>+AA50-AF50</f>
        <v>644145</v>
      </c>
      <c r="AL50" s="7">
        <f>+AB50</f>
        <v>42725500</v>
      </c>
      <c r="AM50" s="7">
        <f>+I50-AL50</f>
        <v>20035566</v>
      </c>
      <c r="AN50" s="7">
        <f t="shared" si="53"/>
        <v>644145</v>
      </c>
      <c r="AO50" s="130">
        <f t="shared" si="45"/>
        <v>0.6705009599422674</v>
      </c>
      <c r="AP50" s="130">
        <f t="shared" si="46"/>
        <v>1</v>
      </c>
      <c r="AQ50" s="130">
        <f t="shared" si="47"/>
        <v>1</v>
      </c>
      <c r="AR50" s="130">
        <f>+AE50/V50</f>
        <v>1</v>
      </c>
      <c r="AS50" s="135">
        <f>+AF50/AA50</f>
        <v>0.9673452989589855</v>
      </c>
    </row>
    <row r="51" spans="1:45" ht="15" customHeight="1" hidden="1" outlineLevel="2">
      <c r="A51" s="631" t="s">
        <v>143</v>
      </c>
      <c r="B51" s="414">
        <v>22080000</v>
      </c>
      <c r="C51" s="632"/>
      <c r="D51" s="632"/>
      <c r="E51" s="632"/>
      <c r="F51" s="632"/>
      <c r="G51" s="632"/>
      <c r="H51" s="427">
        <v>-1775950</v>
      </c>
      <c r="I51" s="414">
        <f t="shared" si="48"/>
        <v>20304050</v>
      </c>
      <c r="J51" s="7">
        <v>3400000</v>
      </c>
      <c r="K51" s="7"/>
      <c r="L51" s="7">
        <v>-209568.8</v>
      </c>
      <c r="M51" s="12">
        <f t="shared" si="49"/>
        <v>3190431.2</v>
      </c>
      <c r="N51" s="12">
        <v>3400000</v>
      </c>
      <c r="O51" s="45"/>
      <c r="P51" s="7">
        <f t="shared" si="52"/>
        <v>-368772</v>
      </c>
      <c r="Q51" s="7">
        <f t="shared" si="40"/>
        <v>3031228</v>
      </c>
      <c r="R51" s="12">
        <v>3400000</v>
      </c>
      <c r="S51" s="12"/>
      <c r="T51" s="12"/>
      <c r="U51" s="7">
        <f t="shared" si="50"/>
        <v>-3400000</v>
      </c>
      <c r="V51" s="7">
        <f t="shared" si="56"/>
        <v>0</v>
      </c>
      <c r="W51" s="414">
        <f>10000000-1775950</f>
        <v>8224050</v>
      </c>
      <c r="X51" s="12"/>
      <c r="Y51" s="417"/>
      <c r="Z51" s="12"/>
      <c r="AA51" s="7">
        <f>+SUM(W51:Z51)</f>
        <v>8224050</v>
      </c>
      <c r="AB51" s="7">
        <f>+M51+Q51+V51+AA51</f>
        <v>14445709.2</v>
      </c>
      <c r="AC51" s="414">
        <f>+'[4]TÉC ENE-MAR-11'!$G$183</f>
        <v>3190431.2</v>
      </c>
      <c r="AD51" s="414">
        <f>+'[4]TÉC ABR-JUN-11'!$G$240</f>
        <v>3031228</v>
      </c>
      <c r="AE51" s="414">
        <f>+'[4]TEC JUL-SEP-11'!$G$212</f>
        <v>0</v>
      </c>
      <c r="AF51" s="414">
        <f>+'[4]TEC OCT-DIC'!$G$236</f>
        <v>8167788</v>
      </c>
      <c r="AG51" s="414">
        <f>SUM(AC51:AF51)</f>
        <v>14389447.2</v>
      </c>
      <c r="AH51" s="7">
        <f>+M51-AC51</f>
        <v>0</v>
      </c>
      <c r="AI51" s="12">
        <f>+Q51-AD51</f>
        <v>0</v>
      </c>
      <c r="AJ51" s="7">
        <f>+V51-AE51</f>
        <v>0</v>
      </c>
      <c r="AK51" s="12">
        <f>+AA51-AF51</f>
        <v>56262</v>
      </c>
      <c r="AL51" s="7">
        <f>+AB51</f>
        <v>14445709.2</v>
      </c>
      <c r="AM51" s="7">
        <f>+I51-AL51</f>
        <v>5858340.800000001</v>
      </c>
      <c r="AN51" s="7">
        <f t="shared" si="53"/>
        <v>56262</v>
      </c>
      <c r="AO51" s="130">
        <f t="shared" si="45"/>
        <v>0.7086983729847001</v>
      </c>
      <c r="AP51" s="130">
        <f t="shared" si="46"/>
        <v>1</v>
      </c>
      <c r="AQ51" s="130">
        <f t="shared" si="47"/>
        <v>1</v>
      </c>
      <c r="AR51" s="130">
        <v>0</v>
      </c>
      <c r="AS51" s="135">
        <f>+AF51/AA51</f>
        <v>0.9931588450945702</v>
      </c>
    </row>
    <row r="52" spans="1:45" ht="15" customHeight="1" hidden="1" outlineLevel="2">
      <c r="A52" s="631" t="s">
        <v>144</v>
      </c>
      <c r="B52" s="414">
        <v>6000000</v>
      </c>
      <c r="C52" s="632"/>
      <c r="D52" s="632"/>
      <c r="E52" s="632"/>
      <c r="F52" s="632"/>
      <c r="G52" s="632"/>
      <c r="H52" s="427">
        <v>-4000000</v>
      </c>
      <c r="I52" s="414">
        <f t="shared" si="48"/>
        <v>2000000</v>
      </c>
      <c r="J52" s="7">
        <v>1000000</v>
      </c>
      <c r="K52" s="7"/>
      <c r="L52" s="7">
        <v>-1000000</v>
      </c>
      <c r="M52" s="12">
        <f t="shared" si="49"/>
        <v>0</v>
      </c>
      <c r="N52" s="12">
        <v>2000000</v>
      </c>
      <c r="O52" s="45"/>
      <c r="P52" s="7">
        <f t="shared" si="52"/>
        <v>-2000000</v>
      </c>
      <c r="Q52" s="7">
        <f t="shared" si="40"/>
        <v>0</v>
      </c>
      <c r="R52" s="12">
        <v>2000000</v>
      </c>
      <c r="S52" s="12"/>
      <c r="T52" s="12"/>
      <c r="U52" s="7">
        <f t="shared" si="50"/>
        <v>0</v>
      </c>
      <c r="V52" s="7">
        <f t="shared" si="56"/>
        <v>2000000</v>
      </c>
      <c r="W52" s="414">
        <f>4000000-4000000</f>
        <v>0</v>
      </c>
      <c r="X52" s="12"/>
      <c r="Y52" s="417"/>
      <c r="Z52" s="12"/>
      <c r="AA52" s="7">
        <f>+SUM(W52:Z52)</f>
        <v>0</v>
      </c>
      <c r="AB52" s="7">
        <f>+M52+Q52+V52+AA52</f>
        <v>2000000</v>
      </c>
      <c r="AC52" s="414">
        <f>+'[4]TÉC ENE-MAR-11'!$G$191</f>
        <v>0</v>
      </c>
      <c r="AD52" s="414">
        <f>+'[4]TÉC ABR-JUN-11'!$G$246</f>
        <v>0</v>
      </c>
      <c r="AE52" s="414">
        <f>+'[4]TEC JUL-SEP-11'!$G$216</f>
        <v>2000000</v>
      </c>
      <c r="AF52" s="414">
        <f>+'[4]TEC OCT-DIC'!$G$245</f>
        <v>0</v>
      </c>
      <c r="AG52" s="414">
        <f>SUM(AC52:AF52)</f>
        <v>2000000</v>
      </c>
      <c r="AH52" s="7">
        <f>+M52-AC52</f>
        <v>0</v>
      </c>
      <c r="AI52" s="12">
        <f>+Q52-AD52</f>
        <v>0</v>
      </c>
      <c r="AJ52" s="7">
        <f>+V52-AE52</f>
        <v>0</v>
      </c>
      <c r="AK52" s="12">
        <f>+AA52-AF52</f>
        <v>0</v>
      </c>
      <c r="AL52" s="7">
        <f>+AB52</f>
        <v>2000000</v>
      </c>
      <c r="AM52" s="7">
        <f>+I52-AL52</f>
        <v>0</v>
      </c>
      <c r="AN52" s="7">
        <f t="shared" si="53"/>
        <v>0</v>
      </c>
      <c r="AO52" s="130">
        <f t="shared" si="45"/>
        <v>1</v>
      </c>
      <c r="AP52" s="130">
        <v>0</v>
      </c>
      <c r="AQ52" s="130">
        <v>0</v>
      </c>
      <c r="AR52" s="130">
        <v>0</v>
      </c>
      <c r="AS52" s="135">
        <v>0</v>
      </c>
    </row>
    <row r="53" spans="1:47" s="2" customFormat="1" ht="15" customHeight="1" collapsed="1">
      <c r="A53" s="633" t="s">
        <v>102</v>
      </c>
      <c r="B53" s="415">
        <f aca="true" t="shared" si="57" ref="B53:AN53">+SUM(B54:B56)</f>
        <v>108380000</v>
      </c>
      <c r="C53" s="430">
        <f t="shared" si="57"/>
        <v>0</v>
      </c>
      <c r="D53" s="430">
        <f t="shared" si="57"/>
        <v>0</v>
      </c>
      <c r="E53" s="430">
        <f t="shared" si="57"/>
        <v>0</v>
      </c>
      <c r="F53" s="430">
        <f t="shared" si="57"/>
        <v>50000000</v>
      </c>
      <c r="G53" s="430"/>
      <c r="H53" s="430">
        <f t="shared" si="57"/>
        <v>0</v>
      </c>
      <c r="I53" s="415">
        <f t="shared" si="57"/>
        <v>158380000</v>
      </c>
      <c r="J53" s="19">
        <f t="shared" si="57"/>
        <v>5000000</v>
      </c>
      <c r="K53" s="19"/>
      <c r="L53" s="36">
        <f t="shared" si="57"/>
        <v>-486637</v>
      </c>
      <c r="M53" s="20">
        <f t="shared" si="57"/>
        <v>4513363</v>
      </c>
      <c r="N53" s="20">
        <f t="shared" si="57"/>
        <v>23400000</v>
      </c>
      <c r="O53" s="36">
        <f t="shared" si="57"/>
        <v>0</v>
      </c>
      <c r="P53" s="36">
        <f t="shared" si="57"/>
        <v>-23742</v>
      </c>
      <c r="Q53" s="36">
        <f t="shared" si="40"/>
        <v>23376258</v>
      </c>
      <c r="R53" s="20">
        <f t="shared" si="57"/>
        <v>35450000</v>
      </c>
      <c r="S53" s="20">
        <f t="shared" si="57"/>
        <v>0</v>
      </c>
      <c r="T53" s="20">
        <f>+SUM(T54:T56)</f>
        <v>0</v>
      </c>
      <c r="U53" s="20">
        <f t="shared" si="57"/>
        <v>-9538573</v>
      </c>
      <c r="V53" s="20">
        <f t="shared" si="57"/>
        <v>25911427</v>
      </c>
      <c r="W53" s="418">
        <f>+SUM(W54:W56)</f>
        <v>104578952</v>
      </c>
      <c r="X53" s="20">
        <f t="shared" si="57"/>
        <v>0</v>
      </c>
      <c r="Y53" s="418">
        <f t="shared" si="57"/>
        <v>0</v>
      </c>
      <c r="Z53" s="20">
        <f t="shared" si="57"/>
        <v>0</v>
      </c>
      <c r="AA53" s="20">
        <f t="shared" si="57"/>
        <v>104578952</v>
      </c>
      <c r="AB53" s="20">
        <f t="shared" si="57"/>
        <v>158380000</v>
      </c>
      <c r="AC53" s="415">
        <f t="shared" si="57"/>
        <v>4513363</v>
      </c>
      <c r="AD53" s="415">
        <f t="shared" si="57"/>
        <v>23376258</v>
      </c>
      <c r="AE53" s="415">
        <f t="shared" si="57"/>
        <v>25911427</v>
      </c>
      <c r="AF53" s="415">
        <f t="shared" si="57"/>
        <v>104415863</v>
      </c>
      <c r="AG53" s="415">
        <f t="shared" si="57"/>
        <v>158216911</v>
      </c>
      <c r="AH53" s="20">
        <f t="shared" si="57"/>
        <v>0</v>
      </c>
      <c r="AI53" s="20">
        <f t="shared" si="57"/>
        <v>0</v>
      </c>
      <c r="AJ53" s="20">
        <f t="shared" si="57"/>
        <v>0</v>
      </c>
      <c r="AK53" s="20">
        <f>+SUM(AK54:AK56)</f>
        <v>163089</v>
      </c>
      <c r="AL53" s="20">
        <f t="shared" si="57"/>
        <v>158380000</v>
      </c>
      <c r="AM53" s="20">
        <f t="shared" si="57"/>
        <v>0</v>
      </c>
      <c r="AN53" s="20">
        <f t="shared" si="57"/>
        <v>163089</v>
      </c>
      <c r="AO53" s="133">
        <f t="shared" si="45"/>
        <v>0.9989702677105695</v>
      </c>
      <c r="AP53" s="133">
        <f>+AC53/M53</f>
        <v>1</v>
      </c>
      <c r="AQ53" s="130">
        <f aca="true" t="shared" si="58" ref="AQ53:AQ59">+AD53/Q53</f>
        <v>1</v>
      </c>
      <c r="AR53" s="133">
        <f aca="true" t="shared" si="59" ref="AR53:AR60">+AE53/V53</f>
        <v>1</v>
      </c>
      <c r="AS53" s="136">
        <f>+AF53/AA53</f>
        <v>0.998440517935196</v>
      </c>
      <c r="AU53" s="3"/>
    </row>
    <row r="54" spans="1:45" ht="15" customHeight="1" hidden="1" outlineLevel="1">
      <c r="A54" s="630" t="s">
        <v>185</v>
      </c>
      <c r="B54" s="414">
        <v>42900000</v>
      </c>
      <c r="C54" s="632"/>
      <c r="D54" s="632"/>
      <c r="E54" s="632"/>
      <c r="F54" s="632"/>
      <c r="G54" s="632"/>
      <c r="H54" s="427">
        <v>5325685</v>
      </c>
      <c r="I54" s="414">
        <f>SUM(B54:H54)</f>
        <v>48225685</v>
      </c>
      <c r="J54" s="7">
        <v>0</v>
      </c>
      <c r="K54" s="7"/>
      <c r="L54" s="7">
        <v>0</v>
      </c>
      <c r="M54" s="7">
        <f>+'[1]Anexo 2 '!$C$129</f>
        <v>0</v>
      </c>
      <c r="N54" s="12"/>
      <c r="O54" s="45"/>
      <c r="P54" s="7">
        <f t="shared" si="52"/>
        <v>0</v>
      </c>
      <c r="Q54" s="7">
        <f t="shared" si="40"/>
        <v>0</v>
      </c>
      <c r="R54" s="12">
        <f>7000000+1300000</f>
        <v>8300000</v>
      </c>
      <c r="S54" s="12"/>
      <c r="T54" s="12"/>
      <c r="U54" s="7">
        <f>-R54-S54-T54+AE54</f>
        <v>-2104325</v>
      </c>
      <c r="V54" s="7">
        <f t="shared" si="56"/>
        <v>6195675</v>
      </c>
      <c r="W54" s="419">
        <v>42030010</v>
      </c>
      <c r="X54" s="12"/>
      <c r="Y54" s="417"/>
      <c r="Z54" s="12"/>
      <c r="AA54" s="22">
        <f>+SUM(W54:Z54)</f>
        <v>42030010</v>
      </c>
      <c r="AB54" s="7">
        <f>+M54+Q54+V54+AA54</f>
        <v>48225685</v>
      </c>
      <c r="AC54" s="414">
        <f>+'[4]TÉC ENE-MAR-11'!$G$200</f>
        <v>0</v>
      </c>
      <c r="AD54" s="414">
        <f>+'[4]TÉC ABR-JUN-11'!$G$255</f>
        <v>0</v>
      </c>
      <c r="AE54" s="414">
        <f>+'[4]TEC JUL-SEP-11'!$G$224</f>
        <v>6195675</v>
      </c>
      <c r="AF54" s="414">
        <f>+'[4]TEC OCT-DIC'!$G$254</f>
        <v>42030010</v>
      </c>
      <c r="AG54" s="414">
        <f>SUM(AC54:AF54)</f>
        <v>48225685</v>
      </c>
      <c r="AH54" s="7">
        <f>+M54-AC54</f>
        <v>0</v>
      </c>
      <c r="AI54" s="12">
        <f>+Q54-AD54</f>
        <v>0</v>
      </c>
      <c r="AJ54" s="7">
        <f>+V54-AE54</f>
        <v>0</v>
      </c>
      <c r="AK54" s="12">
        <f>+AA54-AF54</f>
        <v>0</v>
      </c>
      <c r="AL54" s="7">
        <f>+AB54</f>
        <v>48225685</v>
      </c>
      <c r="AM54" s="7">
        <f>+I54-AL54</f>
        <v>0</v>
      </c>
      <c r="AN54" s="7">
        <f>+AL54-AG54</f>
        <v>0</v>
      </c>
      <c r="AO54" s="130">
        <f t="shared" si="45"/>
        <v>1</v>
      </c>
      <c r="AP54" s="130">
        <v>0</v>
      </c>
      <c r="AQ54" s="130">
        <v>0</v>
      </c>
      <c r="AR54" s="130">
        <f t="shared" si="59"/>
        <v>1</v>
      </c>
      <c r="AS54" s="135">
        <f aca="true" t="shared" si="60" ref="AS54:AS60">+AF54/AA54</f>
        <v>1</v>
      </c>
    </row>
    <row r="55" spans="1:45" ht="15" customHeight="1" hidden="1" outlineLevel="1">
      <c r="A55" s="630" t="s">
        <v>186</v>
      </c>
      <c r="B55" s="417">
        <v>42300000</v>
      </c>
      <c r="C55" s="632"/>
      <c r="D55" s="632"/>
      <c r="E55" s="632"/>
      <c r="F55" s="632"/>
      <c r="G55" s="632"/>
      <c r="H55" s="427">
        <f>-5325685-1237407-1416469</f>
        <v>-7979561</v>
      </c>
      <c r="I55" s="414">
        <f>SUM(B55:H55)</f>
        <v>34320439</v>
      </c>
      <c r="J55" s="7">
        <v>0</v>
      </c>
      <c r="K55" s="7"/>
      <c r="L55" s="7">
        <v>0</v>
      </c>
      <c r="M55" s="7">
        <f>+J55+L55</f>
        <v>0</v>
      </c>
      <c r="N55" s="7">
        <v>11400000</v>
      </c>
      <c r="O55" s="45"/>
      <c r="P55" s="7">
        <f t="shared" si="52"/>
        <v>-23542</v>
      </c>
      <c r="Q55" s="7">
        <f t="shared" si="40"/>
        <v>11376458</v>
      </c>
      <c r="R55" s="23">
        <f>18050000+3733163-1300000-2195531</f>
        <v>18287632</v>
      </c>
      <c r="S55" s="23"/>
      <c r="T55" s="23"/>
      <c r="U55" s="7">
        <f>-R55-S55-T55+AE55</f>
        <v>-4341648</v>
      </c>
      <c r="V55" s="7">
        <f t="shared" si="56"/>
        <v>13945984</v>
      </c>
      <c r="W55" s="419">
        <f>11651873-2653876</f>
        <v>8997997</v>
      </c>
      <c r="X55" s="23"/>
      <c r="Y55" s="426"/>
      <c r="Z55" s="12"/>
      <c r="AA55" s="22">
        <f>+SUM(W55:Z55)</f>
        <v>8997997</v>
      </c>
      <c r="AB55" s="7">
        <f>+M55+Q55+V55+AA55</f>
        <v>34320439</v>
      </c>
      <c r="AC55" s="414">
        <f>+'[4]TÉC ENE-MAR-11'!$G$206</f>
        <v>0</v>
      </c>
      <c r="AD55" s="414">
        <f>+'[4]TÉC ABR-JUN-11'!$G$263</f>
        <v>11376458</v>
      </c>
      <c r="AE55" s="414">
        <f>+'[4]TEC JUL-SEP-11'!$G$230</f>
        <v>13945984</v>
      </c>
      <c r="AF55" s="414">
        <f>+'[4]TEC OCT-DIC'!$G$292</f>
        <v>8997997</v>
      </c>
      <c r="AG55" s="414">
        <f>SUM(AC55:AF55)</f>
        <v>34320439</v>
      </c>
      <c r="AH55" s="7">
        <f>+M55-AC55</f>
        <v>0</v>
      </c>
      <c r="AI55" s="12">
        <f>+Q55-AD55</f>
        <v>0</v>
      </c>
      <c r="AJ55" s="7">
        <f>+V55-AE55</f>
        <v>0</v>
      </c>
      <c r="AK55" s="417">
        <f>+AA55-AF55</f>
        <v>0</v>
      </c>
      <c r="AL55" s="7">
        <f>+AB55</f>
        <v>34320439</v>
      </c>
      <c r="AM55" s="7">
        <f>+I55-AL55</f>
        <v>0</v>
      </c>
      <c r="AN55" s="7">
        <f>+AL55-AG55</f>
        <v>0</v>
      </c>
      <c r="AO55" s="130">
        <f t="shared" si="45"/>
        <v>1</v>
      </c>
      <c r="AP55" s="130">
        <v>0</v>
      </c>
      <c r="AQ55" s="130">
        <f t="shared" si="58"/>
        <v>1</v>
      </c>
      <c r="AR55" s="130">
        <f t="shared" si="59"/>
        <v>1</v>
      </c>
      <c r="AS55" s="135">
        <f t="shared" si="60"/>
        <v>1</v>
      </c>
    </row>
    <row r="56" spans="1:45" ht="15" customHeight="1" hidden="1" outlineLevel="1">
      <c r="A56" s="630" t="s">
        <v>278</v>
      </c>
      <c r="B56" s="417">
        <v>23180000</v>
      </c>
      <c r="C56" s="632"/>
      <c r="D56" s="632"/>
      <c r="E56" s="632"/>
      <c r="F56" s="427">
        <v>50000000</v>
      </c>
      <c r="G56" s="427"/>
      <c r="H56" s="427">
        <f>1237407+1416469</f>
        <v>2653876</v>
      </c>
      <c r="I56" s="414">
        <f>SUM(B56:H56)</f>
        <v>75833876</v>
      </c>
      <c r="J56" s="7">
        <v>5000000</v>
      </c>
      <c r="K56" s="7"/>
      <c r="L56" s="7">
        <v>-486637</v>
      </c>
      <c r="M56" s="7">
        <f>+J56+L56</f>
        <v>4513363</v>
      </c>
      <c r="N56" s="7">
        <v>12000000</v>
      </c>
      <c r="O56" s="45"/>
      <c r="P56" s="7">
        <f t="shared" si="52"/>
        <v>-200</v>
      </c>
      <c r="Q56" s="7">
        <f t="shared" si="40"/>
        <v>11999800</v>
      </c>
      <c r="R56" s="23">
        <f>10400000-3733163+2195531</f>
        <v>8862368</v>
      </c>
      <c r="S56" s="23"/>
      <c r="T56" s="23"/>
      <c r="U56" s="7">
        <f>-R56-S56-T56+AE56</f>
        <v>-3092600</v>
      </c>
      <c r="V56" s="7">
        <f>+SUM(R56:U56)</f>
        <v>5769768</v>
      </c>
      <c r="W56" s="419">
        <f>50897069+2653876</f>
        <v>53550945</v>
      </c>
      <c r="X56" s="23"/>
      <c r="Y56" s="426"/>
      <c r="Z56" s="12"/>
      <c r="AA56" s="22">
        <f>+SUM(W56:Z56)</f>
        <v>53550945</v>
      </c>
      <c r="AB56" s="7">
        <f>+M56+Q56+V56+AA56</f>
        <v>75833876</v>
      </c>
      <c r="AC56" s="417">
        <f>+'[4]TÉC ENE-MAR-11'!$G$212</f>
        <v>4513363</v>
      </c>
      <c r="AD56" s="417">
        <f>+'[4]TÉC ABR-JUN-11'!$G$288</f>
        <v>11999800</v>
      </c>
      <c r="AE56" s="417">
        <f>+'[4]TEC JUL-SEP-11'!$G$248</f>
        <v>5769768</v>
      </c>
      <c r="AF56" s="417">
        <f>+'[4]TEC OCT-DIC'!$G$307</f>
        <v>53387856</v>
      </c>
      <c r="AG56" s="417">
        <f>SUM(AC56:AF56)</f>
        <v>75670787</v>
      </c>
      <c r="AH56" s="7">
        <f>+M56-AC56</f>
        <v>0</v>
      </c>
      <c r="AI56" s="12">
        <f>+Q56-AD56</f>
        <v>0</v>
      </c>
      <c r="AJ56" s="7">
        <f>+V56-AE56</f>
        <v>0</v>
      </c>
      <c r="AK56" s="12">
        <f>+AA56-AF56</f>
        <v>163089</v>
      </c>
      <c r="AL56" s="7">
        <f>+AB56</f>
        <v>75833876</v>
      </c>
      <c r="AM56" s="7">
        <f>+I56-AL56</f>
        <v>0</v>
      </c>
      <c r="AN56" s="7">
        <f>+AL56-AG56</f>
        <v>163089</v>
      </c>
      <c r="AO56" s="130">
        <f>+AG56/I56</f>
        <v>0.9978493912140268</v>
      </c>
      <c r="AP56" s="130">
        <f>+AC56/M56</f>
        <v>1</v>
      </c>
      <c r="AQ56" s="130">
        <f t="shared" si="58"/>
        <v>1</v>
      </c>
      <c r="AR56" s="130">
        <f t="shared" si="59"/>
        <v>1</v>
      </c>
      <c r="AS56" s="135">
        <f t="shared" si="60"/>
        <v>0.9969545075254974</v>
      </c>
    </row>
    <row r="57" spans="1:47" s="2" customFormat="1" ht="15" customHeight="1" collapsed="1" thickBot="1">
      <c r="A57" s="633" t="s">
        <v>103</v>
      </c>
      <c r="B57" s="415">
        <f aca="true" t="shared" si="61" ref="B57:I57">SUM(B58:B59)</f>
        <v>335820000</v>
      </c>
      <c r="C57" s="415">
        <f t="shared" si="61"/>
        <v>0</v>
      </c>
      <c r="D57" s="415">
        <f t="shared" si="61"/>
        <v>0</v>
      </c>
      <c r="E57" s="415">
        <f t="shared" si="61"/>
        <v>0</v>
      </c>
      <c r="F57" s="415">
        <f t="shared" si="61"/>
        <v>0</v>
      </c>
      <c r="G57" s="415"/>
      <c r="H57" s="415">
        <f t="shared" si="61"/>
        <v>0</v>
      </c>
      <c r="I57" s="415">
        <f t="shared" si="61"/>
        <v>335820000</v>
      </c>
      <c r="J57" s="19">
        <f>SUM(J58:J60)</f>
        <v>74380000</v>
      </c>
      <c r="K57" s="19"/>
      <c r="L57" s="36">
        <f>SUM(L58:L60)</f>
        <v>-18099094</v>
      </c>
      <c r="M57" s="20">
        <f>SUM(M58:M60)</f>
        <v>56280906</v>
      </c>
      <c r="N57" s="20">
        <f>SUM(N58:N60)</f>
        <v>83980000</v>
      </c>
      <c r="O57" s="19">
        <f>SUM(O58:O59)</f>
        <v>0</v>
      </c>
      <c r="P57" s="19">
        <f>SUM(P58:P59)</f>
        <v>-233426</v>
      </c>
      <c r="Q57" s="36">
        <f t="shared" si="40"/>
        <v>83746574</v>
      </c>
      <c r="R57" s="20">
        <f>SUM(R58:R59)</f>
        <v>107680000</v>
      </c>
      <c r="S57" s="20">
        <f>SUM(S58:S59)</f>
        <v>0</v>
      </c>
      <c r="T57" s="20">
        <f>SUM(T58:T59)</f>
        <v>0</v>
      </c>
      <c r="U57" s="20">
        <f>SUM(U58:U59)</f>
        <v>-21590468</v>
      </c>
      <c r="V57" s="20">
        <f aca="true" t="shared" si="62" ref="V57:AN57">SUM(V58:V59)</f>
        <v>86089532</v>
      </c>
      <c r="W57" s="418">
        <f>SUM(W58:W59)</f>
        <v>109702988</v>
      </c>
      <c r="X57" s="20">
        <f>SUM(X58:X59)</f>
        <v>0</v>
      </c>
      <c r="Y57" s="418">
        <f>SUM(Y58:Y59)</f>
        <v>0</v>
      </c>
      <c r="Z57" s="20">
        <f t="shared" si="62"/>
        <v>0</v>
      </c>
      <c r="AA57" s="20">
        <f t="shared" si="62"/>
        <v>109702988</v>
      </c>
      <c r="AB57" s="20">
        <f t="shared" si="62"/>
        <v>335820000</v>
      </c>
      <c r="AC57" s="415">
        <f t="shared" si="62"/>
        <v>56280906</v>
      </c>
      <c r="AD57" s="415">
        <f t="shared" si="62"/>
        <v>83746574</v>
      </c>
      <c r="AE57" s="415">
        <f t="shared" si="62"/>
        <v>86089532</v>
      </c>
      <c r="AF57" s="415">
        <f t="shared" si="62"/>
        <v>108591894</v>
      </c>
      <c r="AG57" s="415">
        <f>SUM(AG58:AG59)</f>
        <v>334708906</v>
      </c>
      <c r="AH57" s="20">
        <f t="shared" si="62"/>
        <v>0</v>
      </c>
      <c r="AI57" s="20">
        <f t="shared" si="62"/>
        <v>0</v>
      </c>
      <c r="AJ57" s="20">
        <f t="shared" si="62"/>
        <v>0</v>
      </c>
      <c r="AK57" s="20">
        <f>SUM(AK58:AK59)</f>
        <v>1111094</v>
      </c>
      <c r="AL57" s="20">
        <f t="shared" si="62"/>
        <v>335820000</v>
      </c>
      <c r="AM57" s="20">
        <f t="shared" si="62"/>
        <v>0</v>
      </c>
      <c r="AN57" s="20">
        <f t="shared" si="62"/>
        <v>1111094</v>
      </c>
      <c r="AO57" s="133">
        <f>+AG57/I57</f>
        <v>0.9966914001548448</v>
      </c>
      <c r="AP57" s="133">
        <f>+AC57/M57</f>
        <v>1</v>
      </c>
      <c r="AQ57" s="133">
        <f t="shared" si="58"/>
        <v>1</v>
      </c>
      <c r="AR57" s="133">
        <f t="shared" si="59"/>
        <v>1</v>
      </c>
      <c r="AS57" s="136">
        <f t="shared" si="60"/>
        <v>0.9898717982048036</v>
      </c>
      <c r="AU57" s="3"/>
    </row>
    <row r="58" spans="1:47" s="2" customFormat="1" ht="15" customHeight="1" hidden="1" outlineLevel="1">
      <c r="A58" s="201" t="s">
        <v>147</v>
      </c>
      <c r="B58" s="12">
        <v>161320000</v>
      </c>
      <c r="C58" s="45"/>
      <c r="D58" s="45"/>
      <c r="E58" s="45"/>
      <c r="F58" s="45"/>
      <c r="G58" s="45"/>
      <c r="H58" s="8">
        <f>-18402664+3200000</f>
        <v>-15202664</v>
      </c>
      <c r="I58" s="7">
        <f>SUM(B58:H58)</f>
        <v>146117336</v>
      </c>
      <c r="J58" s="7">
        <v>30497142</v>
      </c>
      <c r="K58" s="7"/>
      <c r="L58" s="7">
        <v>-7354664</v>
      </c>
      <c r="M58" s="7">
        <f>+J58+L58</f>
        <v>23142478</v>
      </c>
      <c r="N58" s="7">
        <f>43980000+556611</f>
        <v>44536611</v>
      </c>
      <c r="O58" s="45"/>
      <c r="P58" s="7">
        <f t="shared" si="52"/>
        <v>-233425</v>
      </c>
      <c r="Q58" s="7">
        <f t="shared" si="40"/>
        <v>44303186</v>
      </c>
      <c r="R58" s="22">
        <v>43980000</v>
      </c>
      <c r="S58" s="22"/>
      <c r="T58" s="22"/>
      <c r="U58" s="7">
        <f>-R58-S58-T58+AE58</f>
        <v>-4778664</v>
      </c>
      <c r="V58" s="7">
        <f t="shared" si="56"/>
        <v>39201336</v>
      </c>
      <c r="W58" s="22">
        <f>54673000-15202664</f>
        <v>39470336</v>
      </c>
      <c r="X58" s="22"/>
      <c r="Y58" s="419"/>
      <c r="Z58" s="22"/>
      <c r="AA58" s="22">
        <f>+SUM(W58:Z58)</f>
        <v>39470336</v>
      </c>
      <c r="AB58" s="7">
        <f>+M58+Q58+V58+AA58</f>
        <v>146117336</v>
      </c>
      <c r="AC58" s="417">
        <f>+'[4]TÉC ENE-MAR-11'!$G$233</f>
        <v>23142478</v>
      </c>
      <c r="AD58" s="417">
        <f>+'[4]TÉC ABR-JUN-11'!$G$306</f>
        <v>44303186</v>
      </c>
      <c r="AE58" s="417">
        <f>+'[4]TEC JUL-SEP-11'!$G$272</f>
        <v>39201336</v>
      </c>
      <c r="AF58" s="417">
        <f>+'[4]TEC OCT-DIC'!$G$329</f>
        <v>39469486</v>
      </c>
      <c r="AG58" s="417">
        <f>SUM(AC58:AF58)</f>
        <v>146116486</v>
      </c>
      <c r="AH58" s="7">
        <f>+M58-AC58</f>
        <v>0</v>
      </c>
      <c r="AI58" s="12">
        <f>+Q58-AD58</f>
        <v>0</v>
      </c>
      <c r="AJ58" s="7">
        <f>+V58-AE58</f>
        <v>0</v>
      </c>
      <c r="AK58" s="12">
        <f>+AA58-AF58</f>
        <v>850</v>
      </c>
      <c r="AL58" s="7">
        <f>+AB58</f>
        <v>146117336</v>
      </c>
      <c r="AM58" s="7">
        <f>+I58-AL58</f>
        <v>0</v>
      </c>
      <c r="AN58" s="7">
        <f>+AL58-AG58</f>
        <v>850</v>
      </c>
      <c r="AO58" s="130">
        <f>+AG58/I58</f>
        <v>0.9999941827573423</v>
      </c>
      <c r="AP58" s="130">
        <f>+AC58/M58</f>
        <v>1</v>
      </c>
      <c r="AQ58" s="130">
        <f t="shared" si="58"/>
        <v>1</v>
      </c>
      <c r="AR58" s="130">
        <f t="shared" si="59"/>
        <v>1</v>
      </c>
      <c r="AS58" s="135">
        <f t="shared" si="60"/>
        <v>0.9999784648400257</v>
      </c>
      <c r="AU58" s="3"/>
    </row>
    <row r="59" spans="1:45" ht="15" customHeight="1" hidden="1" outlineLevel="1" thickBot="1">
      <c r="A59" s="201" t="s">
        <v>118</v>
      </c>
      <c r="B59" s="12">
        <v>174500000</v>
      </c>
      <c r="C59" s="45"/>
      <c r="D59" s="45"/>
      <c r="E59" s="45"/>
      <c r="F59" s="45"/>
      <c r="G59" s="45"/>
      <c r="H59" s="8">
        <f>18402664-3200000</f>
        <v>15202664</v>
      </c>
      <c r="I59" s="7">
        <f>SUM(B59:H59)</f>
        <v>189702664</v>
      </c>
      <c r="J59" s="7">
        <v>43882858</v>
      </c>
      <c r="K59" s="7"/>
      <c r="L59" s="7">
        <v>-10744430</v>
      </c>
      <c r="M59" s="7">
        <f>+J59+L59</f>
        <v>33138428</v>
      </c>
      <c r="N59" s="7">
        <f>40000000-556611</f>
        <v>39443389</v>
      </c>
      <c r="O59" s="45"/>
      <c r="P59" s="7">
        <f t="shared" si="52"/>
        <v>-1</v>
      </c>
      <c r="Q59" s="7">
        <f t="shared" si="40"/>
        <v>39443388</v>
      </c>
      <c r="R59" s="12">
        <v>63700000</v>
      </c>
      <c r="S59" s="12"/>
      <c r="T59" s="12"/>
      <c r="U59" s="7">
        <f>-R59-S59-T59+AE59</f>
        <v>-16811804</v>
      </c>
      <c r="V59" s="7">
        <f t="shared" si="56"/>
        <v>46888196</v>
      </c>
      <c r="W59" s="22">
        <f>55029988+15202664</f>
        <v>70232652</v>
      </c>
      <c r="X59" s="8"/>
      <c r="Y59" s="427"/>
      <c r="Z59" s="12"/>
      <c r="AA59" s="22">
        <f>+SUM(W59:Z59)</f>
        <v>70232652</v>
      </c>
      <c r="AB59" s="7">
        <f>+M59+Q59+V59+AA59</f>
        <v>189702664</v>
      </c>
      <c r="AC59" s="417">
        <f>+'[4]TÉC ENE-MAR-11'!$G$265</f>
        <v>33138428</v>
      </c>
      <c r="AD59" s="417">
        <f>+'[4]TÉC ABR-JUN-11'!$G$350</f>
        <v>39443388</v>
      </c>
      <c r="AE59" s="417">
        <f>+'[4]TEC JUL-SEP-11'!$G$313</f>
        <v>46888196</v>
      </c>
      <c r="AF59" s="417">
        <f>+'[4]TEC OCT-DIC'!$G$370</f>
        <v>69122408</v>
      </c>
      <c r="AG59" s="417">
        <f>SUM(AC59:AF59)</f>
        <v>188592420</v>
      </c>
      <c r="AH59" s="7">
        <f>+M59-AC59</f>
        <v>0</v>
      </c>
      <c r="AI59" s="12">
        <f>+Q59-AD59</f>
        <v>0</v>
      </c>
      <c r="AJ59" s="7">
        <f>+V59-AE59</f>
        <v>0</v>
      </c>
      <c r="AK59" s="12">
        <f>+AA59-AF59</f>
        <v>1110244</v>
      </c>
      <c r="AL59" s="7">
        <f>+AB59</f>
        <v>189702664</v>
      </c>
      <c r="AM59" s="7">
        <f>+I59-AL59</f>
        <v>0</v>
      </c>
      <c r="AN59" s="7">
        <f>+AL59-AG59</f>
        <v>1110244</v>
      </c>
      <c r="AO59" s="130">
        <f>+AG59/I59</f>
        <v>0.9941474517194973</v>
      </c>
      <c r="AP59" s="130">
        <f>+AC59/M59</f>
        <v>1</v>
      </c>
      <c r="AQ59" s="130">
        <f t="shared" si="58"/>
        <v>1</v>
      </c>
      <c r="AR59" s="130">
        <f t="shared" si="59"/>
        <v>1</v>
      </c>
      <c r="AS59" s="135">
        <f t="shared" si="60"/>
        <v>0.9841919111925319</v>
      </c>
    </row>
    <row r="60" spans="1:45" ht="15" customHeight="1" collapsed="1" thickBot="1">
      <c r="A60" s="50" t="s">
        <v>233</v>
      </c>
      <c r="B60" s="50">
        <v>1374122930</v>
      </c>
      <c r="C60" s="50"/>
      <c r="D60" s="50"/>
      <c r="E60" s="50"/>
      <c r="F60" s="50">
        <v>66584098</v>
      </c>
      <c r="G60" s="50"/>
      <c r="H60" s="50"/>
      <c r="I60" s="50">
        <f>SUM(B60:H60)</f>
        <v>1440707028</v>
      </c>
      <c r="J60" s="50"/>
      <c r="K60" s="50"/>
      <c r="L60" s="50">
        <f>+AC60-J60</f>
        <v>0</v>
      </c>
      <c r="M60" s="50">
        <f>+J60+L60</f>
        <v>0</v>
      </c>
      <c r="N60" s="50">
        <v>0</v>
      </c>
      <c r="O60" s="50"/>
      <c r="P60" s="50">
        <f t="shared" si="52"/>
        <v>0</v>
      </c>
      <c r="Q60" s="50">
        <f t="shared" si="40"/>
        <v>0</v>
      </c>
      <c r="R60" s="50">
        <v>85000000</v>
      </c>
      <c r="S60" s="50"/>
      <c r="T60" s="50"/>
      <c r="U60" s="50">
        <f>-R60-S60-T60+AE60</f>
        <v>-22011681</v>
      </c>
      <c r="V60" s="50">
        <f t="shared" si="56"/>
        <v>62988319</v>
      </c>
      <c r="W60" s="50">
        <v>15000000</v>
      </c>
      <c r="X60" s="50"/>
      <c r="Y60" s="50"/>
      <c r="Z60" s="50"/>
      <c r="AA60" s="50">
        <f>+SUM(W60:Z60)</f>
        <v>15000000</v>
      </c>
      <c r="AB60" s="50">
        <f>+M60+Q60+V60+AA60</f>
        <v>77988319</v>
      </c>
      <c r="AC60" s="50">
        <v>0</v>
      </c>
      <c r="AD60" s="50">
        <v>0</v>
      </c>
      <c r="AE60" s="50">
        <f>+'[4]TEC JUL-SEP-11'!$G$336</f>
        <v>62988319</v>
      </c>
      <c r="AF60" s="50">
        <f>+'[4]TEC OCT-DIC'!$G$430</f>
        <v>14042589</v>
      </c>
      <c r="AG60" s="50">
        <f>SUM(AC60:AF60)</f>
        <v>77030908</v>
      </c>
      <c r="AH60" s="50">
        <f>+M60-AC60</f>
        <v>0</v>
      </c>
      <c r="AI60" s="50">
        <f>+Q60-AD60</f>
        <v>0</v>
      </c>
      <c r="AJ60" s="50">
        <f>+V60-AE60</f>
        <v>0</v>
      </c>
      <c r="AK60" s="50">
        <f>+AA60-AF60</f>
        <v>957411</v>
      </c>
      <c r="AL60" s="50">
        <f>+AB60</f>
        <v>77988319</v>
      </c>
      <c r="AM60" s="50">
        <f>+I60-AL60</f>
        <v>1362718709</v>
      </c>
      <c r="AN60" s="50">
        <f>+AL60-AG60</f>
        <v>957411</v>
      </c>
      <c r="AO60" s="148">
        <f>+AG60/I60</f>
        <v>0.053467434046556205</v>
      </c>
      <c r="AP60" s="148">
        <v>0</v>
      </c>
      <c r="AQ60" s="148">
        <v>0</v>
      </c>
      <c r="AR60" s="148">
        <f t="shared" si="59"/>
        <v>1</v>
      </c>
      <c r="AS60" s="148">
        <f t="shared" si="60"/>
        <v>0.9361726</v>
      </c>
    </row>
    <row r="61" spans="1:45" ht="15" customHeight="1" thickBot="1">
      <c r="A61" s="189"/>
      <c r="B61" s="27"/>
      <c r="C61" s="150"/>
      <c r="D61" s="150"/>
      <c r="E61" s="150"/>
      <c r="F61" s="150"/>
      <c r="G61" s="150"/>
      <c r="H61" s="150"/>
      <c r="I61" s="27"/>
      <c r="J61" s="53"/>
      <c r="K61" s="53"/>
      <c r="L61" s="97"/>
      <c r="M61" s="27"/>
      <c r="N61" s="11"/>
      <c r="O61" s="150"/>
      <c r="P61" s="150"/>
      <c r="Q61" s="11"/>
      <c r="R61" s="11"/>
      <c r="S61" s="11"/>
      <c r="T61" s="11"/>
      <c r="U61" s="11"/>
      <c r="V61" s="11"/>
      <c r="W61" s="11"/>
      <c r="X61" s="11"/>
      <c r="Y61" s="11"/>
      <c r="Z61" s="97"/>
      <c r="AA61" s="11"/>
      <c r="AB61" s="11"/>
      <c r="AC61" s="27"/>
      <c r="AD61" s="27"/>
      <c r="AE61" s="27"/>
      <c r="AF61" s="27"/>
      <c r="AG61" s="27"/>
      <c r="AH61" s="11"/>
      <c r="AI61" s="27"/>
      <c r="AJ61" s="27"/>
      <c r="AK61" s="27"/>
      <c r="AL61" s="11"/>
      <c r="AM61" s="11"/>
      <c r="AN61" s="11"/>
      <c r="AO61" s="146"/>
      <c r="AP61" s="146"/>
      <c r="AQ61" s="146"/>
      <c r="AR61" s="146"/>
      <c r="AS61" s="180"/>
    </row>
    <row r="62" spans="1:45" ht="15" customHeight="1" thickBot="1">
      <c r="A62" s="50" t="s">
        <v>57</v>
      </c>
      <c r="B62" s="50">
        <f>+B60+B35</f>
        <v>2484904667</v>
      </c>
      <c r="C62" s="50">
        <f aca="true" t="shared" si="63" ref="C62:AN62">+C35</f>
        <v>0</v>
      </c>
      <c r="D62" s="50">
        <f>+D35</f>
        <v>0</v>
      </c>
      <c r="E62" s="50">
        <f>+E35</f>
        <v>0</v>
      </c>
      <c r="F62" s="50">
        <f>+F35</f>
        <v>-387000000</v>
      </c>
      <c r="G62" s="50"/>
      <c r="H62" s="50">
        <f>+H35</f>
        <v>0</v>
      </c>
      <c r="I62" s="50">
        <f t="shared" si="63"/>
        <v>723781737</v>
      </c>
      <c r="J62" s="50">
        <f>+J35</f>
        <v>194098040</v>
      </c>
      <c r="K62" s="50"/>
      <c r="L62" s="50">
        <f t="shared" si="63"/>
        <v>0</v>
      </c>
      <c r="M62" s="50">
        <f t="shared" si="63"/>
        <v>80325359.2</v>
      </c>
      <c r="N62" s="50">
        <f t="shared" si="63"/>
        <v>158505645</v>
      </c>
      <c r="O62" s="50">
        <f>+O35</f>
        <v>0</v>
      </c>
      <c r="P62" s="50">
        <f>+P35</f>
        <v>-15289238</v>
      </c>
      <c r="Q62" s="50">
        <f t="shared" si="63"/>
        <v>143216407</v>
      </c>
      <c r="R62" s="50">
        <f t="shared" si="63"/>
        <v>258047966</v>
      </c>
      <c r="S62" s="50">
        <f>+S35</f>
        <v>0</v>
      </c>
      <c r="T62" s="50">
        <f>+T35</f>
        <v>0</v>
      </c>
      <c r="U62" s="50">
        <f>+U35</f>
        <v>-92268315</v>
      </c>
      <c r="V62" s="50">
        <f t="shared" si="63"/>
        <v>187791332</v>
      </c>
      <c r="W62" s="50">
        <f>+W35</f>
        <v>288894282</v>
      </c>
      <c r="X62" s="50">
        <f>+X35</f>
        <v>0</v>
      </c>
      <c r="Y62" s="50">
        <f>+Y35</f>
        <v>0</v>
      </c>
      <c r="Z62" s="50">
        <f t="shared" si="63"/>
        <v>0</v>
      </c>
      <c r="AA62" s="50">
        <f t="shared" si="63"/>
        <v>273894282</v>
      </c>
      <c r="AB62" s="50">
        <f t="shared" si="63"/>
        <v>685227380.2</v>
      </c>
      <c r="AC62" s="50">
        <f t="shared" si="63"/>
        <v>80325359.2</v>
      </c>
      <c r="AD62" s="50">
        <f t="shared" si="63"/>
        <v>143216407</v>
      </c>
      <c r="AE62" s="50">
        <f>+AE35</f>
        <v>187791332</v>
      </c>
      <c r="AF62" s="50">
        <f>+AF35</f>
        <v>264190471</v>
      </c>
      <c r="AG62" s="50">
        <f>+AG35</f>
        <v>675523569.2</v>
      </c>
      <c r="AH62" s="50">
        <f t="shared" si="63"/>
        <v>0</v>
      </c>
      <c r="AI62" s="50">
        <f t="shared" si="63"/>
        <v>0</v>
      </c>
      <c r="AJ62" s="50">
        <f t="shared" si="63"/>
        <v>0</v>
      </c>
      <c r="AK62" s="50">
        <f>+AK35</f>
        <v>9703811</v>
      </c>
      <c r="AL62" s="50">
        <f t="shared" si="63"/>
        <v>685227380.2</v>
      </c>
      <c r="AM62" s="50">
        <f t="shared" si="63"/>
        <v>38554356.8</v>
      </c>
      <c r="AN62" s="50">
        <f t="shared" si="63"/>
        <v>9703811</v>
      </c>
      <c r="AO62" s="148">
        <f>+AG62/I62</f>
        <v>0.9333249716965435</v>
      </c>
      <c r="AP62" s="148">
        <f>+AC62/M62</f>
        <v>1</v>
      </c>
      <c r="AQ62" s="148">
        <f>+AD62/Q62</f>
        <v>1</v>
      </c>
      <c r="AR62" s="148">
        <f>+AE62/V62</f>
        <v>1</v>
      </c>
      <c r="AS62" s="148">
        <f>+AF62/AA62</f>
        <v>0.9645709617260283</v>
      </c>
    </row>
    <row r="63" spans="1:45" ht="15" customHeight="1" thickBot="1">
      <c r="A63" s="171"/>
      <c r="B63" s="47"/>
      <c r="C63" s="48"/>
      <c r="D63" s="48"/>
      <c r="E63" s="48"/>
      <c r="F63" s="48"/>
      <c r="G63" s="48"/>
      <c r="H63" s="48"/>
      <c r="I63" s="47"/>
      <c r="J63" s="49"/>
      <c r="K63" s="49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7"/>
      <c r="AD63" s="47"/>
      <c r="AE63" s="47"/>
      <c r="AF63" s="47"/>
      <c r="AG63" s="47"/>
      <c r="AH63" s="48"/>
      <c r="AI63" s="48"/>
      <c r="AJ63" s="48"/>
      <c r="AK63" s="48"/>
      <c r="AL63" s="48"/>
      <c r="AM63" s="48"/>
      <c r="AN63" s="48"/>
      <c r="AO63" s="151"/>
      <c r="AP63" s="70"/>
      <c r="AQ63" s="70"/>
      <c r="AR63" s="70"/>
      <c r="AS63" s="190"/>
    </row>
    <row r="64" spans="1:45" ht="15" customHeight="1" thickBot="1">
      <c r="A64" s="50" t="s">
        <v>104</v>
      </c>
      <c r="B64" s="50">
        <f>+B21+B32+B62+B60</f>
        <v>4155102906.2674356</v>
      </c>
      <c r="C64" s="50">
        <f aca="true" t="shared" si="64" ref="C64:AN64">+C21+C32+C62+C60</f>
        <v>0</v>
      </c>
      <c r="D64" s="50">
        <f t="shared" si="64"/>
        <v>0</v>
      </c>
      <c r="E64" s="50">
        <f t="shared" si="64"/>
        <v>0</v>
      </c>
      <c r="F64" s="50">
        <f t="shared" si="64"/>
        <v>-320415902</v>
      </c>
      <c r="G64" s="50"/>
      <c r="H64" s="50">
        <f t="shared" si="64"/>
        <v>0</v>
      </c>
      <c r="I64" s="50">
        <f t="shared" si="64"/>
        <v>2460564074.2674356</v>
      </c>
      <c r="J64" s="50">
        <f t="shared" si="64"/>
        <v>259202111.11840683</v>
      </c>
      <c r="K64" s="50">
        <f t="shared" si="64"/>
        <v>0</v>
      </c>
      <c r="L64" s="50">
        <f t="shared" si="64"/>
        <v>-4561079.118406836</v>
      </c>
      <c r="M64" s="50">
        <f t="shared" si="64"/>
        <v>140868351.2</v>
      </c>
      <c r="N64" s="50">
        <f t="shared" si="64"/>
        <v>234493709.53432193</v>
      </c>
      <c r="O64" s="50">
        <f t="shared" si="64"/>
        <v>0</v>
      </c>
      <c r="P64" s="50">
        <f t="shared" si="64"/>
        <v>-20965903.53432194</v>
      </c>
      <c r="Q64" s="50">
        <f t="shared" si="64"/>
        <v>213527806</v>
      </c>
      <c r="R64" s="50">
        <f t="shared" si="64"/>
        <v>417236030.5343219</v>
      </c>
      <c r="S64" s="50">
        <f t="shared" si="64"/>
        <v>0</v>
      </c>
      <c r="T64" s="50">
        <f>+T21+T32+T62+T60</f>
        <v>0</v>
      </c>
      <c r="U64" s="50">
        <f t="shared" si="64"/>
        <v>-114896037.97432195</v>
      </c>
      <c r="V64" s="50">
        <f t="shared" si="64"/>
        <v>324351673.56</v>
      </c>
      <c r="W64" s="50">
        <f>+W62+W32+W21</f>
        <v>380543177.7074355</v>
      </c>
      <c r="X64" s="50">
        <f t="shared" si="64"/>
        <v>0</v>
      </c>
      <c r="Y64" s="50">
        <f t="shared" si="64"/>
        <v>0</v>
      </c>
      <c r="Z64" s="50">
        <f t="shared" si="64"/>
        <v>0</v>
      </c>
      <c r="AA64" s="50">
        <f t="shared" si="64"/>
        <v>380543177.7074355</v>
      </c>
      <c r="AB64" s="50">
        <f t="shared" si="64"/>
        <v>1059291008.4674356</v>
      </c>
      <c r="AC64" s="50">
        <f t="shared" si="64"/>
        <v>140868351.2</v>
      </c>
      <c r="AD64" s="50">
        <f>+AD21+AD32+AD62+AD60</f>
        <v>213527806</v>
      </c>
      <c r="AE64" s="50">
        <f>+AE21+AE32+AE62+AE60</f>
        <v>324351673.56</v>
      </c>
      <c r="AF64" s="50">
        <f>+AF21+AF32+AF62+AF60</f>
        <v>353652977</v>
      </c>
      <c r="AG64" s="50">
        <f>+AG21+AG32+AG62+AG60</f>
        <v>1032400807.76</v>
      </c>
      <c r="AH64" s="50">
        <f t="shared" si="64"/>
        <v>0</v>
      </c>
      <c r="AI64" s="50">
        <f t="shared" si="64"/>
        <v>0</v>
      </c>
      <c r="AJ64" s="50">
        <f t="shared" si="64"/>
        <v>0</v>
      </c>
      <c r="AK64" s="50">
        <f t="shared" si="64"/>
        <v>26890200.70743549</v>
      </c>
      <c r="AL64" s="50">
        <f t="shared" si="64"/>
        <v>1059291008.4674356</v>
      </c>
      <c r="AM64" s="50">
        <f t="shared" si="64"/>
        <v>1401273065.8</v>
      </c>
      <c r="AN64" s="50">
        <f t="shared" si="64"/>
        <v>26890200.70743549</v>
      </c>
      <c r="AO64" s="148">
        <f>+AG64/I64</f>
        <v>0.4195789162968124</v>
      </c>
      <c r="AP64" s="148">
        <f>+AC64/M64</f>
        <v>1</v>
      </c>
      <c r="AQ64" s="148">
        <f>+AD64/Q64</f>
        <v>1</v>
      </c>
      <c r="AR64" s="148">
        <f>+AE64/V64</f>
        <v>1</v>
      </c>
      <c r="AS64" s="148">
        <f>+AF64/AA64</f>
        <v>0.9293373202235966</v>
      </c>
    </row>
    <row r="65" ht="15" customHeight="1"/>
    <row r="66" ht="15" customHeight="1"/>
  </sheetData>
  <sheetProtection/>
  <mergeCells count="10">
    <mergeCell ref="W7:AA7"/>
    <mergeCell ref="C7:C8"/>
    <mergeCell ref="A7:A8"/>
    <mergeCell ref="R7:V7"/>
    <mergeCell ref="J7:M7"/>
    <mergeCell ref="N7:Q7"/>
    <mergeCell ref="D7:D8"/>
    <mergeCell ref="E7:E8"/>
    <mergeCell ref="F7:F8"/>
    <mergeCell ref="G7:G8"/>
  </mergeCells>
  <printOptions horizontalCentered="1" verticalCentered="1"/>
  <pageMargins left="0.8267716535433072" right="0.15748031496062992" top="0.2755905511811024" bottom="0.31496062992125984" header="0.2362204724409449" footer="0"/>
  <pageSetup horizontalDpi="600" verticalDpi="600" orientation="landscape" scale="69" r:id="rId3"/>
  <colBreaks count="1" manualBreakCount="1">
    <brk id="41" max="63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E796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C28" sqref="C28:C29"/>
      <selection pane="topRight" activeCell="C28" sqref="C28:C29"/>
      <selection pane="bottomLeft" activeCell="C28" sqref="C28:C29"/>
      <selection pane="bottomRight" activeCell="C28" sqref="C28:C29"/>
    </sheetView>
  </sheetViews>
  <sheetFormatPr defaultColWidth="11.421875" defaultRowHeight="12.75" outlineLevelRow="2" outlineLevelCol="3"/>
  <cols>
    <col min="1" max="1" width="35.7109375" style="3" customWidth="1"/>
    <col min="2" max="2" width="17.00390625" style="3" customWidth="1"/>
    <col min="3" max="8" width="18.421875" style="3" hidden="1" customWidth="1" outlineLevel="1"/>
    <col min="9" max="9" width="19.421875" style="3" bestFit="1" customWidth="1" collapsed="1"/>
    <col min="10" max="11" width="19.00390625" style="3" hidden="1" customWidth="1" outlineLevel="2"/>
    <col min="12" max="12" width="16.7109375" style="3" hidden="1" customWidth="1" outlineLevel="2"/>
    <col min="13" max="13" width="19.421875" style="3" hidden="1" customWidth="1" outlineLevel="1" collapsed="1"/>
    <col min="14" max="14" width="20.140625" style="3" hidden="1" customWidth="1" outlineLevel="2"/>
    <col min="15" max="15" width="18.421875" style="3" hidden="1" customWidth="1" outlineLevel="2"/>
    <col min="16" max="16" width="15.7109375" style="3" hidden="1" customWidth="1" outlineLevel="2"/>
    <col min="17" max="17" width="18.421875" style="3" hidden="1" customWidth="1" outlineLevel="1" collapsed="1"/>
    <col min="18" max="19" width="21.28125" style="3" hidden="1" customWidth="1" outlineLevel="3"/>
    <col min="20" max="20" width="23.57421875" style="3" hidden="1" customWidth="1" outlineLevel="3"/>
    <col min="21" max="21" width="18.7109375" style="3" hidden="1" customWidth="1" outlineLevel="3"/>
    <col min="22" max="22" width="16.8515625" style="3" hidden="1" customWidth="1" outlineLevel="1" collapsed="1"/>
    <col min="23" max="24" width="19.140625" style="3" hidden="1" customWidth="1" outlineLevel="2"/>
    <col min="25" max="25" width="16.00390625" style="3" hidden="1" customWidth="1" outlineLevel="2"/>
    <col min="26" max="26" width="17.00390625" style="3" hidden="1" customWidth="1" outlineLevel="1" collapsed="1"/>
    <col min="27" max="27" width="18.57421875" style="3" hidden="1" customWidth="1" collapsed="1"/>
    <col min="28" max="28" width="19.00390625" style="3" customWidth="1" outlineLevel="1"/>
    <col min="29" max="29" width="16.8515625" style="3" bestFit="1" customWidth="1" outlineLevel="1"/>
    <col min="30" max="30" width="16.8515625" style="3" customWidth="1" outlineLevel="1"/>
    <col min="31" max="31" width="17.57421875" style="3" customWidth="1" outlineLevel="1"/>
    <col min="32" max="32" width="19.140625" style="3" customWidth="1"/>
    <col min="33" max="33" width="16.7109375" style="3" hidden="1" customWidth="1" outlineLevel="1"/>
    <col min="34" max="34" width="16.140625" style="3" hidden="1" customWidth="1" outlineLevel="1"/>
    <col min="35" max="35" width="16.7109375" style="3" hidden="1" customWidth="1" outlineLevel="1"/>
    <col min="36" max="36" width="19.00390625" style="3" hidden="1" customWidth="1" outlineLevel="1"/>
    <col min="37" max="37" width="20.140625" style="3" hidden="1" customWidth="1" outlineLevel="1"/>
    <col min="38" max="38" width="16.7109375" style="3" hidden="1" customWidth="1"/>
    <col min="39" max="39" width="20.57421875" style="3" hidden="1" customWidth="1"/>
    <col min="40" max="40" width="16.28125" style="3" customWidth="1"/>
    <col min="41" max="41" width="14.00390625" style="3" hidden="1" customWidth="1"/>
    <col min="42" max="43" width="14.421875" style="3" hidden="1" customWidth="1"/>
    <col min="44" max="44" width="15.421875" style="3" hidden="1" customWidth="1"/>
    <col min="45" max="45" width="11.421875" style="3" customWidth="1"/>
    <col min="46" max="46" width="12.57421875" style="3" customWidth="1"/>
    <col min="47" max="47" width="11.8515625" style="3" customWidth="1"/>
    <col min="48" max="83" width="11.421875" style="3" customWidth="1"/>
    <col min="84" max="16384" width="11.421875" style="51" customWidth="1"/>
  </cols>
  <sheetData>
    <row r="1" ht="16.5">
      <c r="A1" s="2" t="s">
        <v>0</v>
      </c>
    </row>
    <row r="2" ht="16.5">
      <c r="A2" s="2" t="s">
        <v>133</v>
      </c>
    </row>
    <row r="3" ht="16.5">
      <c r="A3" s="2" t="s">
        <v>134</v>
      </c>
    </row>
    <row r="4" ht="16.5">
      <c r="A4" s="2" t="s">
        <v>182</v>
      </c>
    </row>
    <row r="5" spans="1:42" ht="16.5">
      <c r="A5" s="2" t="s">
        <v>420</v>
      </c>
      <c r="AP5" s="2"/>
    </row>
    <row r="6" spans="1:15" ht="17.25" thickBot="1">
      <c r="A6" s="4"/>
      <c r="B6" s="4"/>
      <c r="C6" s="4"/>
      <c r="D6" s="4"/>
      <c r="E6" s="4"/>
      <c r="F6" s="4"/>
      <c r="G6" s="4"/>
      <c r="H6" s="4"/>
      <c r="I6" s="5"/>
      <c r="O6" s="4"/>
    </row>
    <row r="7" spans="1:83" s="406" customFormat="1" ht="30.75" customHeight="1" thickBot="1">
      <c r="A7" s="700" t="s">
        <v>2</v>
      </c>
      <c r="B7" s="549" t="s">
        <v>417</v>
      </c>
      <c r="C7" s="700" t="s">
        <v>232</v>
      </c>
      <c r="D7" s="700" t="s">
        <v>227</v>
      </c>
      <c r="E7" s="700" t="s">
        <v>281</v>
      </c>
      <c r="F7" s="700" t="s">
        <v>286</v>
      </c>
      <c r="G7" s="700" t="s">
        <v>304</v>
      </c>
      <c r="H7" s="422" t="s">
        <v>313</v>
      </c>
      <c r="I7" s="401" t="s">
        <v>3</v>
      </c>
      <c r="J7" s="703" t="s">
        <v>124</v>
      </c>
      <c r="K7" s="703"/>
      <c r="L7" s="703"/>
      <c r="M7" s="703"/>
      <c r="N7" s="704" t="s">
        <v>123</v>
      </c>
      <c r="O7" s="705"/>
      <c r="P7" s="705"/>
      <c r="Q7" s="706"/>
      <c r="R7" s="702" t="s">
        <v>129</v>
      </c>
      <c r="S7" s="702"/>
      <c r="T7" s="702"/>
      <c r="U7" s="702"/>
      <c r="V7" s="702"/>
      <c r="W7" s="702" t="s">
        <v>131</v>
      </c>
      <c r="X7" s="702"/>
      <c r="Y7" s="702"/>
      <c r="Z7" s="702"/>
      <c r="AA7" s="401" t="s">
        <v>77</v>
      </c>
      <c r="AB7" s="401" t="s">
        <v>6</v>
      </c>
      <c r="AC7" s="401" t="s">
        <v>6</v>
      </c>
      <c r="AD7" s="401" t="s">
        <v>6</v>
      </c>
      <c r="AE7" s="401" t="s">
        <v>6</v>
      </c>
      <c r="AF7" s="401" t="s">
        <v>7</v>
      </c>
      <c r="AG7" s="401" t="s">
        <v>10</v>
      </c>
      <c r="AH7" s="401" t="s">
        <v>10</v>
      </c>
      <c r="AI7" s="401" t="s">
        <v>10</v>
      </c>
      <c r="AJ7" s="401" t="s">
        <v>10</v>
      </c>
      <c r="AK7" s="401" t="s">
        <v>5</v>
      </c>
      <c r="AL7" s="401" t="s">
        <v>78</v>
      </c>
      <c r="AM7" s="401" t="s">
        <v>79</v>
      </c>
      <c r="AN7" s="401" t="s">
        <v>80</v>
      </c>
      <c r="AO7" s="404" t="s">
        <v>81</v>
      </c>
      <c r="AP7" s="404" t="s">
        <v>81</v>
      </c>
      <c r="AQ7" s="404" t="s">
        <v>81</v>
      </c>
      <c r="AR7" s="404" t="s">
        <v>81</v>
      </c>
      <c r="AS7" s="405" t="s">
        <v>130</v>
      </c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5"/>
      <c r="BE7" s="405"/>
      <c r="BF7" s="405"/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5"/>
      <c r="BU7" s="405"/>
      <c r="BV7" s="405"/>
      <c r="BW7" s="405"/>
      <c r="BX7" s="405"/>
      <c r="BY7" s="405"/>
      <c r="BZ7" s="405"/>
      <c r="CA7" s="405"/>
      <c r="CB7" s="405"/>
      <c r="CC7" s="405"/>
      <c r="CD7" s="405"/>
      <c r="CE7" s="405"/>
    </row>
    <row r="8" spans="1:83" s="406" customFormat="1" ht="17.25" thickBot="1">
      <c r="A8" s="701"/>
      <c r="B8" s="402" t="s">
        <v>172</v>
      </c>
      <c r="C8" s="701"/>
      <c r="D8" s="701"/>
      <c r="E8" s="701"/>
      <c r="F8" s="701"/>
      <c r="G8" s="701"/>
      <c r="H8" s="402" t="s">
        <v>302</v>
      </c>
      <c r="I8" s="402" t="s">
        <v>83</v>
      </c>
      <c r="J8" s="402" t="s">
        <v>217</v>
      </c>
      <c r="K8" s="402" t="s">
        <v>229</v>
      </c>
      <c r="L8" s="402" t="s">
        <v>223</v>
      </c>
      <c r="M8" s="403" t="s">
        <v>83</v>
      </c>
      <c r="N8" s="402" t="s">
        <v>224</v>
      </c>
      <c r="O8" s="402" t="s">
        <v>283</v>
      </c>
      <c r="P8" s="402" t="s">
        <v>282</v>
      </c>
      <c r="Q8" s="403" t="s">
        <v>83</v>
      </c>
      <c r="R8" s="403" t="s">
        <v>284</v>
      </c>
      <c r="S8" s="403" t="s">
        <v>291</v>
      </c>
      <c r="T8" s="403" t="s">
        <v>301</v>
      </c>
      <c r="U8" s="403" t="s">
        <v>295</v>
      </c>
      <c r="V8" s="403" t="s">
        <v>83</v>
      </c>
      <c r="W8" s="403" t="s">
        <v>296</v>
      </c>
      <c r="X8" s="403" t="s">
        <v>304</v>
      </c>
      <c r="Y8" s="403"/>
      <c r="Z8" s="403" t="s">
        <v>83</v>
      </c>
      <c r="AA8" s="402" t="s">
        <v>5</v>
      </c>
      <c r="AB8" s="402" t="s">
        <v>12</v>
      </c>
      <c r="AC8" s="402" t="s">
        <v>13</v>
      </c>
      <c r="AD8" s="402" t="s">
        <v>14</v>
      </c>
      <c r="AE8" s="402" t="s">
        <v>15</v>
      </c>
      <c r="AF8" s="402" t="s">
        <v>6</v>
      </c>
      <c r="AG8" s="402" t="s">
        <v>12</v>
      </c>
      <c r="AH8" s="402" t="s">
        <v>13</v>
      </c>
      <c r="AI8" s="402" t="s">
        <v>14</v>
      </c>
      <c r="AJ8" s="402" t="s">
        <v>15</v>
      </c>
      <c r="AK8" s="402"/>
      <c r="AL8" s="402" t="s">
        <v>84</v>
      </c>
      <c r="AM8" s="402" t="s">
        <v>6</v>
      </c>
      <c r="AN8" s="402" t="s">
        <v>19</v>
      </c>
      <c r="AO8" s="407" t="s">
        <v>12</v>
      </c>
      <c r="AP8" s="407" t="s">
        <v>13</v>
      </c>
      <c r="AQ8" s="407" t="s">
        <v>14</v>
      </c>
      <c r="AR8" s="407" t="s">
        <v>15</v>
      </c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</row>
    <row r="9" spans="1:44" ht="16.5">
      <c r="A9" s="202" t="s">
        <v>22</v>
      </c>
      <c r="B9" s="203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96"/>
      <c r="AB9" s="101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101"/>
      <c r="AO9" s="101"/>
      <c r="AP9" s="101"/>
      <c r="AQ9" s="101"/>
      <c r="AR9" s="179"/>
    </row>
    <row r="10" spans="1:44" ht="15">
      <c r="A10" s="52" t="s">
        <v>23</v>
      </c>
      <c r="B10" s="10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204"/>
    </row>
    <row r="11" spans="1:44" ht="15">
      <c r="A11" s="52" t="s">
        <v>24</v>
      </c>
      <c r="B11" s="102">
        <v>593728326</v>
      </c>
      <c r="C11" s="7"/>
      <c r="D11" s="7"/>
      <c r="E11" s="7"/>
      <c r="F11" s="7"/>
      <c r="G11" s="7"/>
      <c r="H11" s="7"/>
      <c r="I11" s="8">
        <f>SUM(B11:H11)</f>
        <v>593728326</v>
      </c>
      <c r="J11" s="7">
        <v>147739770</v>
      </c>
      <c r="K11" s="7"/>
      <c r="L11" s="7">
        <v>-17769765</v>
      </c>
      <c r="M11" s="7">
        <f>SUM(J11:L11)</f>
        <v>129970005</v>
      </c>
      <c r="N11" s="7">
        <v>148020912.26760003</v>
      </c>
      <c r="O11" s="8">
        <v>-2271453</v>
      </c>
      <c r="P11" s="7">
        <f aca="true" t="shared" si="0" ref="P11:P20">+AC11-N11-O11</f>
        <v>-870802.2676000297</v>
      </c>
      <c r="Q11" s="7">
        <f aca="true" t="shared" si="1" ref="Q11:Q21">+SUM(N11:P11)</f>
        <v>144878657</v>
      </c>
      <c r="R11" s="7">
        <v>148020912.26760003</v>
      </c>
      <c r="S11" s="7"/>
      <c r="T11" s="7">
        <v>1244991</v>
      </c>
      <c r="U11" s="7">
        <f aca="true" t="shared" si="2" ref="U11:U20">-R11-S11-T11+AD11</f>
        <v>-0.26760002970695496</v>
      </c>
      <c r="V11" s="7">
        <f aca="true" t="shared" si="3" ref="V11:V21">+SUM(R11:U11)</f>
        <v>149265903</v>
      </c>
      <c r="W11" s="7">
        <v>169613761</v>
      </c>
      <c r="X11" s="7"/>
      <c r="Y11" s="7"/>
      <c r="Z11" s="7">
        <f aca="true" t="shared" si="4" ref="Z11:Z21">+SUM(W11:Y11)</f>
        <v>169613761</v>
      </c>
      <c r="AA11" s="8">
        <f aca="true" t="shared" si="5" ref="AA11:AA21">+M11+Q11+V11+Z11</f>
        <v>593728326</v>
      </c>
      <c r="AB11" s="414">
        <f>+'[4]PPC ENE-MAR-11'!$G$10</f>
        <v>129970005</v>
      </c>
      <c r="AC11" s="414">
        <f>+'[4]PPC ABR-JUN-11'!$G$10</f>
        <v>144878657</v>
      </c>
      <c r="AD11" s="414">
        <f>+'[4]PPC JUL-SEP-11'!$G$10</f>
        <v>149265903</v>
      </c>
      <c r="AE11" s="414">
        <f>+'[4]PPC OCT-DIC-11'!$G$10</f>
        <v>138971568</v>
      </c>
      <c r="AF11" s="414">
        <f>SUM(AB11:AE11)</f>
        <v>563086133</v>
      </c>
      <c r="AG11" s="12">
        <f aca="true" t="shared" si="6" ref="AG11:AG21">+M11-AB11</f>
        <v>0</v>
      </c>
      <c r="AH11" s="12">
        <f aca="true" t="shared" si="7" ref="AH11:AH21">+Q11-AC11</f>
        <v>0</v>
      </c>
      <c r="AI11" s="12">
        <f aca="true" t="shared" si="8" ref="AI11:AI21">+V11-AD11</f>
        <v>0</v>
      </c>
      <c r="AJ11" s="12">
        <f>+Z11-AE11</f>
        <v>30642193</v>
      </c>
      <c r="AK11" s="7">
        <f>+AA11</f>
        <v>593728326</v>
      </c>
      <c r="AL11" s="7">
        <f aca="true" t="shared" si="9" ref="AL11:AL21">+I11-AK11</f>
        <v>0</v>
      </c>
      <c r="AM11" s="7">
        <f>+AK11-AF11</f>
        <v>30642193</v>
      </c>
      <c r="AN11" s="130">
        <f>+AF11/I11</f>
        <v>0.9483902120580314</v>
      </c>
      <c r="AO11" s="130">
        <f>+AB11/M11</f>
        <v>1</v>
      </c>
      <c r="AP11" s="130">
        <f>+AC11/Q11</f>
        <v>1</v>
      </c>
      <c r="AQ11" s="130">
        <f>+AD11/V11</f>
        <v>1</v>
      </c>
      <c r="AR11" s="169">
        <f>+AE11/Z11</f>
        <v>0.8193413504933719</v>
      </c>
    </row>
    <row r="12" spans="1:44" ht="15">
      <c r="A12" s="52" t="s">
        <v>25</v>
      </c>
      <c r="B12" s="102">
        <v>42377504</v>
      </c>
      <c r="C12" s="7"/>
      <c r="D12" s="7"/>
      <c r="E12" s="7"/>
      <c r="F12" s="7"/>
      <c r="G12" s="7"/>
      <c r="H12" s="7"/>
      <c r="I12" s="8">
        <f aca="true" t="shared" si="10" ref="I12:I21">SUM(B12:H12)</f>
        <v>42377504</v>
      </c>
      <c r="J12" s="7">
        <v>10547386</v>
      </c>
      <c r="K12" s="7"/>
      <c r="L12" s="7">
        <v>-1340158</v>
      </c>
      <c r="M12" s="7">
        <f aca="true" t="shared" si="11" ref="M12:M21">SUM(J12:L12)</f>
        <v>9207228</v>
      </c>
      <c r="N12" s="7">
        <v>10590138.27189108</v>
      </c>
      <c r="O12" s="8">
        <v>841089</v>
      </c>
      <c r="P12" s="7">
        <f t="shared" si="0"/>
        <v>-0.2718910798430443</v>
      </c>
      <c r="Q12" s="7">
        <f t="shared" si="1"/>
        <v>11431227</v>
      </c>
      <c r="R12" s="7">
        <v>10590138.27189108</v>
      </c>
      <c r="S12" s="7"/>
      <c r="T12" s="7">
        <v>125233</v>
      </c>
      <c r="U12" s="7">
        <f t="shared" si="2"/>
        <v>-0.2718910798430443</v>
      </c>
      <c r="V12" s="7">
        <f t="shared" si="3"/>
        <v>10715371</v>
      </c>
      <c r="W12" s="7">
        <v>11023678</v>
      </c>
      <c r="X12" s="7"/>
      <c r="Y12" s="7"/>
      <c r="Z12" s="7">
        <f t="shared" si="4"/>
        <v>11023678</v>
      </c>
      <c r="AA12" s="8">
        <f t="shared" si="5"/>
        <v>42377504</v>
      </c>
      <c r="AB12" s="414">
        <f>+'[4]PPC ENE-MAR-11'!$G$23</f>
        <v>9207228</v>
      </c>
      <c r="AC12" s="414">
        <f>+'[4]PPC ABR-JUN-11'!$G$25</f>
        <v>11431227</v>
      </c>
      <c r="AD12" s="414">
        <f>+'[4]PPC JUL-SEP-11'!$G$22</f>
        <v>10715371</v>
      </c>
      <c r="AE12" s="414">
        <f>+'[4]PPC OCT-DIC-11'!$G$26</f>
        <v>10594377</v>
      </c>
      <c r="AF12" s="414">
        <f aca="true" t="shared" si="12" ref="AF12:AF21">SUM(AB12:AE12)</f>
        <v>41948203</v>
      </c>
      <c r="AG12" s="12">
        <f t="shared" si="6"/>
        <v>0</v>
      </c>
      <c r="AH12" s="12">
        <f t="shared" si="7"/>
        <v>0</v>
      </c>
      <c r="AI12" s="12">
        <f t="shared" si="8"/>
        <v>0</v>
      </c>
      <c r="AJ12" s="12">
        <f aca="true" t="shared" si="13" ref="AJ12:AJ21">+Z12-AE12</f>
        <v>429301</v>
      </c>
      <c r="AK12" s="7">
        <f aca="true" t="shared" si="14" ref="AK12:AK21">+AA12</f>
        <v>42377504</v>
      </c>
      <c r="AL12" s="7">
        <f t="shared" si="9"/>
        <v>0</v>
      </c>
      <c r="AM12" s="7">
        <f aca="true" t="shared" si="15" ref="AM12:AM21">+AK12-AF12</f>
        <v>429301</v>
      </c>
      <c r="AN12" s="130">
        <f>+AF12/I12</f>
        <v>0.9898696015697385</v>
      </c>
      <c r="AO12" s="130">
        <f>+AB12/M12</f>
        <v>1</v>
      </c>
      <c r="AP12" s="130">
        <f>+AC12/Q12</f>
        <v>1</v>
      </c>
      <c r="AQ12" s="130">
        <f>+AD12/V12</f>
        <v>1</v>
      </c>
      <c r="AR12" s="169">
        <f aca="true" t="shared" si="16" ref="AR12:AR19">+AE12/Z12</f>
        <v>0.9610564640948329</v>
      </c>
    </row>
    <row r="13" spans="1:44" ht="15">
      <c r="A13" s="52" t="s">
        <v>26</v>
      </c>
      <c r="B13" s="102">
        <v>5085300</v>
      </c>
      <c r="C13" s="7"/>
      <c r="D13" s="7"/>
      <c r="E13" s="7"/>
      <c r="F13" s="7"/>
      <c r="G13" s="7"/>
      <c r="H13" s="7"/>
      <c r="I13" s="8">
        <f t="shared" si="10"/>
        <v>5085300</v>
      </c>
      <c r="J13" s="7">
        <v>1265686</v>
      </c>
      <c r="K13" s="7"/>
      <c r="L13" s="7">
        <v>-160818</v>
      </c>
      <c r="M13" s="7">
        <f t="shared" si="11"/>
        <v>1104868</v>
      </c>
      <c r="N13" s="7">
        <v>1270816.59262693</v>
      </c>
      <c r="O13" s="8"/>
      <c r="P13" s="7">
        <f t="shared" si="0"/>
        <v>-1182749.59262693</v>
      </c>
      <c r="Q13" s="7">
        <f t="shared" si="1"/>
        <v>88067</v>
      </c>
      <c r="R13" s="7">
        <v>1270816.59262693</v>
      </c>
      <c r="S13" s="7"/>
      <c r="T13" s="7">
        <v>226880</v>
      </c>
      <c r="U13" s="7">
        <f t="shared" si="2"/>
        <v>0.407373070018366</v>
      </c>
      <c r="V13" s="7">
        <f t="shared" si="3"/>
        <v>1497697</v>
      </c>
      <c r="W13" s="7">
        <v>2394668</v>
      </c>
      <c r="X13" s="7"/>
      <c r="Y13" s="7"/>
      <c r="Z13" s="7">
        <f t="shared" si="4"/>
        <v>2394668</v>
      </c>
      <c r="AA13" s="8">
        <f t="shared" si="5"/>
        <v>5085300</v>
      </c>
      <c r="AB13" s="414">
        <f>+'[4]PPC ENE-MAR-11'!$G$30</f>
        <v>1104868</v>
      </c>
      <c r="AC13" s="414">
        <f>+'[4]PPC ABR-JUN-11'!$G$33</f>
        <v>88067</v>
      </c>
      <c r="AD13" s="414">
        <f>+'[4]PPC JUL-SEP-11'!$G$29</f>
        <v>1497697</v>
      </c>
      <c r="AE13" s="414">
        <f>+'[4]PPC OCT-DIC-11'!$G$34</f>
        <v>2095583</v>
      </c>
      <c r="AF13" s="414">
        <f t="shared" si="12"/>
        <v>4786215</v>
      </c>
      <c r="AG13" s="12">
        <f t="shared" si="6"/>
        <v>0</v>
      </c>
      <c r="AH13" s="12">
        <f t="shared" si="7"/>
        <v>0</v>
      </c>
      <c r="AI13" s="12">
        <f t="shared" si="8"/>
        <v>0</v>
      </c>
      <c r="AJ13" s="12">
        <f t="shared" si="13"/>
        <v>299085</v>
      </c>
      <c r="AK13" s="7">
        <f t="shared" si="14"/>
        <v>5085300</v>
      </c>
      <c r="AL13" s="7">
        <f t="shared" si="9"/>
        <v>0</v>
      </c>
      <c r="AM13" s="7">
        <f t="shared" si="15"/>
        <v>299085</v>
      </c>
      <c r="AN13" s="130">
        <f>+AF13/I13</f>
        <v>0.9411863606866852</v>
      </c>
      <c r="AO13" s="130">
        <f>+AB13/M13</f>
        <v>1</v>
      </c>
      <c r="AP13" s="130">
        <f>+AC13/Q13</f>
        <v>1</v>
      </c>
      <c r="AQ13" s="130">
        <f>+AD13/V13</f>
        <v>1</v>
      </c>
      <c r="AR13" s="169">
        <f t="shared" si="16"/>
        <v>0.8751037722139353</v>
      </c>
    </row>
    <row r="14" spans="1:44" ht="15">
      <c r="A14" s="52" t="s">
        <v>27</v>
      </c>
      <c r="B14" s="102">
        <v>42377504</v>
      </c>
      <c r="C14" s="7"/>
      <c r="D14" s="7"/>
      <c r="E14" s="7"/>
      <c r="F14" s="7"/>
      <c r="G14" s="7"/>
      <c r="H14" s="7"/>
      <c r="I14" s="8">
        <f t="shared" si="10"/>
        <v>42377504</v>
      </c>
      <c r="J14" s="7">
        <v>10547386</v>
      </c>
      <c r="K14" s="7"/>
      <c r="L14" s="7">
        <v>-1340158</v>
      </c>
      <c r="M14" s="7">
        <f t="shared" si="11"/>
        <v>9207228</v>
      </c>
      <c r="N14" s="7">
        <v>10590138.27189108</v>
      </c>
      <c r="O14" s="8">
        <v>841089</v>
      </c>
      <c r="P14" s="7">
        <f t="shared" si="0"/>
        <v>-0.2718910798430443</v>
      </c>
      <c r="Q14" s="7">
        <f t="shared" si="1"/>
        <v>11431227</v>
      </c>
      <c r="R14" s="7">
        <v>10590138.27189108</v>
      </c>
      <c r="S14" s="7"/>
      <c r="T14" s="7">
        <v>125233</v>
      </c>
      <c r="U14" s="7">
        <f t="shared" si="2"/>
        <v>-0.2718910798430443</v>
      </c>
      <c r="V14" s="7">
        <f t="shared" si="3"/>
        <v>10715371</v>
      </c>
      <c r="W14" s="7">
        <v>11023678</v>
      </c>
      <c r="X14" s="7"/>
      <c r="Y14" s="7"/>
      <c r="Z14" s="7">
        <f t="shared" si="4"/>
        <v>11023678</v>
      </c>
      <c r="AA14" s="8">
        <f t="shared" si="5"/>
        <v>42377504</v>
      </c>
      <c r="AB14" s="414">
        <f>+'[4]PPC ENE-MAR-11'!$G$37</f>
        <v>9207228</v>
      </c>
      <c r="AC14" s="414">
        <f>+'[4]PPC ABR-JUN-11'!$G$41</f>
        <v>11431227</v>
      </c>
      <c r="AD14" s="414">
        <f>+'[4]PPC JUL-SEP-11'!$G$36</f>
        <v>10715371</v>
      </c>
      <c r="AE14" s="414">
        <f>+'[4]PPC OCT-DIC-11'!$G$41</f>
        <v>10594377</v>
      </c>
      <c r="AF14" s="414">
        <f t="shared" si="12"/>
        <v>41948203</v>
      </c>
      <c r="AG14" s="12">
        <f t="shared" si="6"/>
        <v>0</v>
      </c>
      <c r="AH14" s="12">
        <f t="shared" si="7"/>
        <v>0</v>
      </c>
      <c r="AI14" s="12">
        <f t="shared" si="8"/>
        <v>0</v>
      </c>
      <c r="AJ14" s="12">
        <f t="shared" si="13"/>
        <v>429301</v>
      </c>
      <c r="AK14" s="7">
        <f t="shared" si="14"/>
        <v>42377504</v>
      </c>
      <c r="AL14" s="7">
        <f t="shared" si="9"/>
        <v>0</v>
      </c>
      <c r="AM14" s="7">
        <f t="shared" si="15"/>
        <v>429301</v>
      </c>
      <c r="AN14" s="130">
        <f>+AF14/I14</f>
        <v>0.9898696015697385</v>
      </c>
      <c r="AO14" s="130">
        <f>+AB14/M14</f>
        <v>1</v>
      </c>
      <c r="AP14" s="130">
        <f>+AC14/Q14</f>
        <v>1</v>
      </c>
      <c r="AQ14" s="130">
        <f>+AD14/V14</f>
        <v>1</v>
      </c>
      <c r="AR14" s="169">
        <f t="shared" si="16"/>
        <v>0.9610564640948329</v>
      </c>
    </row>
    <row r="15" spans="1:44" ht="15">
      <c r="A15" s="52" t="s">
        <v>28</v>
      </c>
      <c r="B15" s="102">
        <v>24670152</v>
      </c>
      <c r="C15" s="7"/>
      <c r="D15" s="7"/>
      <c r="E15" s="7"/>
      <c r="F15" s="7"/>
      <c r="G15" s="7"/>
      <c r="H15" s="7"/>
      <c r="I15" s="8">
        <f t="shared" si="10"/>
        <v>24670152</v>
      </c>
      <c r="J15" s="7">
        <v>6148603</v>
      </c>
      <c r="K15" s="7"/>
      <c r="L15" s="7">
        <v>-763320</v>
      </c>
      <c r="M15" s="7">
        <f t="shared" si="11"/>
        <v>5385283</v>
      </c>
      <c r="N15" s="7">
        <v>6148602.961558921</v>
      </c>
      <c r="O15" s="8">
        <v>589275</v>
      </c>
      <c r="P15" s="7">
        <f t="shared" si="0"/>
        <v>0.03844107873737812</v>
      </c>
      <c r="Q15" s="7">
        <f t="shared" si="1"/>
        <v>6737878</v>
      </c>
      <c r="R15" s="7">
        <v>6148602.961558921</v>
      </c>
      <c r="S15" s="7"/>
      <c r="T15" s="7"/>
      <c r="U15" s="7">
        <f t="shared" si="2"/>
        <v>-55349.96155892126</v>
      </c>
      <c r="V15" s="7">
        <f>+SUM(R15:U15)</f>
        <v>6093253</v>
      </c>
      <c r="W15" s="7">
        <v>6453738</v>
      </c>
      <c r="X15" s="7"/>
      <c r="Y15" s="7"/>
      <c r="Z15" s="7">
        <f t="shared" si="4"/>
        <v>6453738</v>
      </c>
      <c r="AA15" s="8">
        <f t="shared" si="5"/>
        <v>24670152</v>
      </c>
      <c r="AB15" s="414">
        <f>+'[4]PPC ENE-MAR-11'!$G$44</f>
        <v>5385283</v>
      </c>
      <c r="AC15" s="414">
        <f>+'[4]PPC ABR-JUN-11'!$G$49</f>
        <v>6737878</v>
      </c>
      <c r="AD15" s="414">
        <f>+'[4]PPC JUL-SEP-11'!$G$43</f>
        <v>6093253</v>
      </c>
      <c r="AE15" s="414">
        <f>+'[4]PPC OCT-DIC-11'!$G$49</f>
        <v>6452683</v>
      </c>
      <c r="AF15" s="414">
        <f t="shared" si="12"/>
        <v>24669097</v>
      </c>
      <c r="AG15" s="12">
        <f t="shared" si="6"/>
        <v>0</v>
      </c>
      <c r="AH15" s="12">
        <f t="shared" si="7"/>
        <v>0</v>
      </c>
      <c r="AI15" s="12">
        <f t="shared" si="8"/>
        <v>0</v>
      </c>
      <c r="AJ15" s="12">
        <f t="shared" si="13"/>
        <v>1055</v>
      </c>
      <c r="AK15" s="7">
        <f t="shared" si="14"/>
        <v>24670152</v>
      </c>
      <c r="AL15" s="7">
        <f t="shared" si="9"/>
        <v>0</v>
      </c>
      <c r="AM15" s="7">
        <f t="shared" si="15"/>
        <v>1055</v>
      </c>
      <c r="AN15" s="130">
        <f>+AF15/I15</f>
        <v>0.9999572357721995</v>
      </c>
      <c r="AO15" s="130">
        <f>+AB15/M15</f>
        <v>1</v>
      </c>
      <c r="AP15" s="130">
        <f>+AC15/Q15</f>
        <v>1</v>
      </c>
      <c r="AQ15" s="130">
        <f>+AD15/V15</f>
        <v>1</v>
      </c>
      <c r="AR15" s="169">
        <f t="shared" si="16"/>
        <v>0.9998365288457635</v>
      </c>
    </row>
    <row r="16" spans="1:44" ht="15">
      <c r="A16" s="52" t="s">
        <v>29</v>
      </c>
      <c r="B16" s="102"/>
      <c r="C16" s="7"/>
      <c r="D16" s="7"/>
      <c r="E16" s="7"/>
      <c r="F16" s="7"/>
      <c r="G16" s="7"/>
      <c r="H16" s="7"/>
      <c r="I16" s="8">
        <f t="shared" si="10"/>
        <v>0</v>
      </c>
      <c r="J16" s="7">
        <v>0</v>
      </c>
      <c r="K16" s="7"/>
      <c r="L16" s="7">
        <v>0</v>
      </c>
      <c r="M16" s="7">
        <f t="shared" si="11"/>
        <v>0</v>
      </c>
      <c r="N16" s="7"/>
      <c r="O16" s="8"/>
      <c r="P16" s="7">
        <f t="shared" si="0"/>
        <v>0</v>
      </c>
      <c r="Q16" s="7">
        <f t="shared" si="1"/>
        <v>0</v>
      </c>
      <c r="R16" s="7">
        <v>0</v>
      </c>
      <c r="S16" s="7"/>
      <c r="T16" s="7">
        <v>0</v>
      </c>
      <c r="U16" s="7">
        <f t="shared" si="2"/>
        <v>0</v>
      </c>
      <c r="V16" s="7">
        <f t="shared" si="3"/>
        <v>0</v>
      </c>
      <c r="W16" s="7">
        <v>0</v>
      </c>
      <c r="X16" s="7"/>
      <c r="Y16" s="7"/>
      <c r="Z16" s="7">
        <f t="shared" si="4"/>
        <v>0</v>
      </c>
      <c r="AA16" s="8">
        <f t="shared" si="5"/>
        <v>0</v>
      </c>
      <c r="AB16" s="414"/>
      <c r="AC16" s="414"/>
      <c r="AD16" s="414"/>
      <c r="AE16" s="414"/>
      <c r="AF16" s="414">
        <f t="shared" si="12"/>
        <v>0</v>
      </c>
      <c r="AG16" s="12">
        <f t="shared" si="6"/>
        <v>0</v>
      </c>
      <c r="AH16" s="12">
        <f t="shared" si="7"/>
        <v>0</v>
      </c>
      <c r="AI16" s="12">
        <f t="shared" si="8"/>
        <v>0</v>
      </c>
      <c r="AJ16" s="12">
        <f t="shared" si="13"/>
        <v>0</v>
      </c>
      <c r="AK16" s="7">
        <f t="shared" si="14"/>
        <v>0</v>
      </c>
      <c r="AL16" s="7">
        <f t="shared" si="9"/>
        <v>0</v>
      </c>
      <c r="AM16" s="7">
        <f t="shared" si="15"/>
        <v>0</v>
      </c>
      <c r="AN16" s="130">
        <v>0</v>
      </c>
      <c r="AO16" s="130">
        <v>0</v>
      </c>
      <c r="AP16" s="130">
        <v>0</v>
      </c>
      <c r="AQ16" s="130">
        <v>0</v>
      </c>
      <c r="AR16" s="169">
        <v>0</v>
      </c>
    </row>
    <row r="17" spans="1:44" ht="15">
      <c r="A17" s="52" t="s">
        <v>30</v>
      </c>
      <c r="B17" s="102">
        <v>121353101</v>
      </c>
      <c r="C17" s="7"/>
      <c r="D17" s="7"/>
      <c r="E17" s="7"/>
      <c r="F17" s="7"/>
      <c r="G17" s="7"/>
      <c r="H17" s="7"/>
      <c r="I17" s="8">
        <f t="shared" si="10"/>
        <v>121353101</v>
      </c>
      <c r="J17" s="7">
        <v>30180522</v>
      </c>
      <c r="K17" s="7"/>
      <c r="L17" s="7">
        <v>-1009582</v>
      </c>
      <c r="M17" s="7">
        <f t="shared" si="11"/>
        <v>29170940</v>
      </c>
      <c r="N17" s="7">
        <v>30254235.663225852</v>
      </c>
      <c r="O17" s="8"/>
      <c r="P17" s="7">
        <f t="shared" si="0"/>
        <v>-610982.663225852</v>
      </c>
      <c r="Q17" s="7">
        <f t="shared" si="1"/>
        <v>29643253</v>
      </c>
      <c r="R17" s="7">
        <v>30254235.663225852</v>
      </c>
      <c r="S17" s="7"/>
      <c r="T17" s="7">
        <v>311817</v>
      </c>
      <c r="U17" s="7">
        <f t="shared" si="2"/>
        <v>0.33677414804697037</v>
      </c>
      <c r="V17" s="7">
        <f t="shared" si="3"/>
        <v>30566053</v>
      </c>
      <c r="W17" s="7">
        <v>31972855</v>
      </c>
      <c r="X17" s="7"/>
      <c r="Y17" s="7"/>
      <c r="Z17" s="7">
        <f t="shared" si="4"/>
        <v>31972855</v>
      </c>
      <c r="AA17" s="8">
        <f t="shared" si="5"/>
        <v>121353101</v>
      </c>
      <c r="AB17" s="414">
        <f>+'[4]PPC ENE-MAR-11'!$G$51</f>
        <v>29170940</v>
      </c>
      <c r="AC17" s="414">
        <f>+'[4]PPC ABR-JUN-11'!$G$57</f>
        <v>29643253</v>
      </c>
      <c r="AD17" s="414">
        <f>+'[4]PPC JUL-SEP-11'!$G$50</f>
        <v>30566053</v>
      </c>
      <c r="AE17" s="414">
        <f>+'[4]PPC OCT-DIC-11'!$G$56</f>
        <v>30115908</v>
      </c>
      <c r="AF17" s="414">
        <f t="shared" si="12"/>
        <v>119496154</v>
      </c>
      <c r="AG17" s="12">
        <f t="shared" si="6"/>
        <v>0</v>
      </c>
      <c r="AH17" s="12">
        <f t="shared" si="7"/>
        <v>0</v>
      </c>
      <c r="AI17" s="12">
        <f t="shared" si="8"/>
        <v>0</v>
      </c>
      <c r="AJ17" s="12">
        <f t="shared" si="13"/>
        <v>1856947</v>
      </c>
      <c r="AK17" s="7">
        <f t="shared" si="14"/>
        <v>121353101</v>
      </c>
      <c r="AL17" s="7">
        <f t="shared" si="9"/>
        <v>0</v>
      </c>
      <c r="AM17" s="7">
        <f t="shared" si="15"/>
        <v>1856947</v>
      </c>
      <c r="AN17" s="130">
        <f aca="true" t="shared" si="17" ref="AN17:AN22">+AF17/I17</f>
        <v>0.9846979847676081</v>
      </c>
      <c r="AO17" s="130">
        <f>+AB17/M17</f>
        <v>1</v>
      </c>
      <c r="AP17" s="130">
        <f>+AC17/Q17</f>
        <v>1</v>
      </c>
      <c r="AQ17" s="130">
        <f>+AD17/V17</f>
        <v>1</v>
      </c>
      <c r="AR17" s="169">
        <f t="shared" si="16"/>
        <v>0.9419211390412273</v>
      </c>
    </row>
    <row r="18" spans="1:44" ht="15">
      <c r="A18" s="52" t="s">
        <v>31</v>
      </c>
      <c r="B18" s="102">
        <v>22651866</v>
      </c>
      <c r="C18" s="7"/>
      <c r="D18" s="7"/>
      <c r="E18" s="7"/>
      <c r="F18" s="7"/>
      <c r="G18" s="7"/>
      <c r="H18" s="7"/>
      <c r="I18" s="8">
        <f t="shared" si="10"/>
        <v>22651866</v>
      </c>
      <c r="J18" s="7">
        <v>5632994</v>
      </c>
      <c r="K18" s="7"/>
      <c r="L18" s="7">
        <v>-164594</v>
      </c>
      <c r="M18" s="7">
        <f t="shared" si="11"/>
        <v>5468400</v>
      </c>
      <c r="N18" s="7">
        <v>5647279.690704</v>
      </c>
      <c r="O18" s="8"/>
      <c r="P18" s="7">
        <f t="shared" si="0"/>
        <v>-128979.69070400018</v>
      </c>
      <c r="Q18" s="7">
        <f t="shared" si="1"/>
        <v>5518300</v>
      </c>
      <c r="R18" s="7">
        <v>5647279.690704</v>
      </c>
      <c r="S18" s="7"/>
      <c r="T18" s="7">
        <v>57420</v>
      </c>
      <c r="U18" s="7">
        <f t="shared" si="2"/>
        <v>0.3092959998175502</v>
      </c>
      <c r="V18" s="7">
        <f t="shared" si="3"/>
        <v>5704700</v>
      </c>
      <c r="W18" s="7">
        <v>5960466</v>
      </c>
      <c r="X18" s="7"/>
      <c r="Y18" s="7"/>
      <c r="Z18" s="7">
        <f t="shared" si="4"/>
        <v>5960466</v>
      </c>
      <c r="AA18" s="8">
        <f t="shared" si="5"/>
        <v>22651866</v>
      </c>
      <c r="AB18" s="414">
        <f>+'[4]PPC ENE-MAR-11'!$G$58</f>
        <v>5468400</v>
      </c>
      <c r="AC18" s="414">
        <f>+'[4]PPC ABR-JUN-11'!$G$66</f>
        <v>5518300</v>
      </c>
      <c r="AD18" s="414">
        <f>+'[4]PPC JUL-SEP-11'!$G$57</f>
        <v>5704700</v>
      </c>
      <c r="AE18" s="414">
        <f>+'[4]PPC OCT-DIC-11'!$G$65</f>
        <v>5646600</v>
      </c>
      <c r="AF18" s="414">
        <f t="shared" si="12"/>
        <v>22338000</v>
      </c>
      <c r="AG18" s="12">
        <f t="shared" si="6"/>
        <v>0</v>
      </c>
      <c r="AH18" s="12">
        <f t="shared" si="7"/>
        <v>0</v>
      </c>
      <c r="AI18" s="12">
        <f t="shared" si="8"/>
        <v>0</v>
      </c>
      <c r="AJ18" s="12">
        <f t="shared" si="13"/>
        <v>313866</v>
      </c>
      <c r="AK18" s="7">
        <f t="shared" si="14"/>
        <v>22651866</v>
      </c>
      <c r="AL18" s="7">
        <f t="shared" si="9"/>
        <v>0</v>
      </c>
      <c r="AM18" s="7">
        <f t="shared" si="15"/>
        <v>313866</v>
      </c>
      <c r="AN18" s="130">
        <f t="shared" si="17"/>
        <v>0.9861439229774712</v>
      </c>
      <c r="AO18" s="130">
        <f>+AB18/M18</f>
        <v>1</v>
      </c>
      <c r="AP18" s="130">
        <f>+AC18/Q18</f>
        <v>1</v>
      </c>
      <c r="AQ18" s="130">
        <f>+AD18/V18</f>
        <v>1</v>
      </c>
      <c r="AR18" s="169">
        <f t="shared" si="16"/>
        <v>0.9473420366796824</v>
      </c>
    </row>
    <row r="19" spans="1:44" ht="15">
      <c r="A19" s="52" t="s">
        <v>32</v>
      </c>
      <c r="B19" s="102">
        <v>28314833</v>
      </c>
      <c r="C19" s="7"/>
      <c r="D19" s="7"/>
      <c r="E19" s="7"/>
      <c r="F19" s="7"/>
      <c r="G19" s="7"/>
      <c r="H19" s="7"/>
      <c r="I19" s="8">
        <f t="shared" si="10"/>
        <v>28314833</v>
      </c>
      <c r="J19" s="7">
        <v>7041243</v>
      </c>
      <c r="K19" s="7"/>
      <c r="L19" s="7">
        <v>-204343</v>
      </c>
      <c r="M19" s="7">
        <f t="shared" si="11"/>
        <v>6836900</v>
      </c>
      <c r="N19" s="7">
        <v>7059099.613380001</v>
      </c>
      <c r="O19" s="8"/>
      <c r="P19" s="7">
        <f t="shared" si="0"/>
        <v>-159599.61338000093</v>
      </c>
      <c r="Q19" s="7">
        <f t="shared" si="1"/>
        <v>6899500</v>
      </c>
      <c r="R19" s="7">
        <v>7059099.613380001</v>
      </c>
      <c r="S19" s="7"/>
      <c r="T19" s="7">
        <v>73400</v>
      </c>
      <c r="U19" s="7">
        <f t="shared" si="2"/>
        <v>0.3866199990734458</v>
      </c>
      <c r="V19" s="7">
        <f t="shared" si="3"/>
        <v>7132500</v>
      </c>
      <c r="W19" s="7">
        <v>7445933</v>
      </c>
      <c r="X19" s="7"/>
      <c r="Y19" s="7"/>
      <c r="Z19" s="7">
        <f t="shared" si="4"/>
        <v>7445933</v>
      </c>
      <c r="AA19" s="8">
        <f t="shared" si="5"/>
        <v>28314833</v>
      </c>
      <c r="AB19" s="414">
        <f>+'[4]PPC ENE-MAR-11'!$G$65</f>
        <v>6836900</v>
      </c>
      <c r="AC19" s="414">
        <f>+'[4]PPC ABR-JUN-11'!$G$74</f>
        <v>6899500</v>
      </c>
      <c r="AD19" s="414">
        <f>+'[4]PPC JUL-SEP-11'!$G$64</f>
        <v>7132500</v>
      </c>
      <c r="AE19" s="414">
        <f>+'[4]PPC OCT-DIC-11'!$G$74</f>
        <v>7059900</v>
      </c>
      <c r="AF19" s="414">
        <f t="shared" si="12"/>
        <v>27928800</v>
      </c>
      <c r="AG19" s="12">
        <f t="shared" si="6"/>
        <v>0</v>
      </c>
      <c r="AH19" s="12">
        <f t="shared" si="7"/>
        <v>0</v>
      </c>
      <c r="AI19" s="12">
        <f t="shared" si="8"/>
        <v>0</v>
      </c>
      <c r="AJ19" s="12">
        <f t="shared" si="13"/>
        <v>386033</v>
      </c>
      <c r="AK19" s="7">
        <f t="shared" si="14"/>
        <v>28314833</v>
      </c>
      <c r="AL19" s="7">
        <f t="shared" si="9"/>
        <v>0</v>
      </c>
      <c r="AM19" s="7">
        <f t="shared" si="15"/>
        <v>386033</v>
      </c>
      <c r="AN19" s="130">
        <f t="shared" si="17"/>
        <v>0.9863664037856059</v>
      </c>
      <c r="AO19" s="130">
        <f>+AB19/M19</f>
        <v>1</v>
      </c>
      <c r="AP19" s="130">
        <f>+AC19/Q19</f>
        <v>1</v>
      </c>
      <c r="AQ19" s="130">
        <f>+AD19/V19</f>
        <v>1</v>
      </c>
      <c r="AR19" s="169">
        <f t="shared" si="16"/>
        <v>0.9481551875366055</v>
      </c>
    </row>
    <row r="20" spans="1:44" ht="15">
      <c r="A20" s="205" t="s">
        <v>33</v>
      </c>
      <c r="B20" s="102">
        <v>900000</v>
      </c>
      <c r="C20" s="7"/>
      <c r="D20" s="7"/>
      <c r="E20" s="7"/>
      <c r="F20" s="7"/>
      <c r="G20" s="7"/>
      <c r="H20" s="7"/>
      <c r="I20" s="8">
        <f t="shared" si="10"/>
        <v>900000</v>
      </c>
      <c r="J20" s="7">
        <v>0</v>
      </c>
      <c r="K20" s="7"/>
      <c r="L20" s="7">
        <v>0</v>
      </c>
      <c r="M20" s="7">
        <f t="shared" si="11"/>
        <v>0</v>
      </c>
      <c r="N20" s="7">
        <v>900000</v>
      </c>
      <c r="O20" s="13"/>
      <c r="P20" s="7">
        <f t="shared" si="0"/>
        <v>-3900</v>
      </c>
      <c r="Q20" s="7">
        <f t="shared" si="1"/>
        <v>896100</v>
      </c>
      <c r="R20" s="7"/>
      <c r="S20" s="7"/>
      <c r="T20" s="7"/>
      <c r="U20" s="7">
        <f t="shared" si="2"/>
        <v>0</v>
      </c>
      <c r="V20" s="7">
        <v>0</v>
      </c>
      <c r="W20" s="7"/>
      <c r="X20" s="7"/>
      <c r="Y20" s="7"/>
      <c r="Z20" s="7">
        <f t="shared" si="4"/>
        <v>0</v>
      </c>
      <c r="AA20" s="8">
        <f t="shared" si="5"/>
        <v>896100</v>
      </c>
      <c r="AB20" s="414">
        <f>+'[4]PPC ENE-MAR-11'!$G$72</f>
        <v>0</v>
      </c>
      <c r="AC20" s="414">
        <f>+'[4]PPC ABR-JUN-11'!$G$82</f>
        <v>896100</v>
      </c>
      <c r="AD20" s="414">
        <f>+'[4]PPC JUL-SEP-11'!$G$71</f>
        <v>0</v>
      </c>
      <c r="AE20" s="414">
        <f>+'[4]PPC OCT-DIC-11'!$G$82</f>
        <v>0</v>
      </c>
      <c r="AF20" s="414">
        <f t="shared" si="12"/>
        <v>896100</v>
      </c>
      <c r="AG20" s="12">
        <f t="shared" si="6"/>
        <v>0</v>
      </c>
      <c r="AH20" s="12">
        <f t="shared" si="7"/>
        <v>0</v>
      </c>
      <c r="AI20" s="12">
        <f t="shared" si="8"/>
        <v>0</v>
      </c>
      <c r="AJ20" s="12">
        <f t="shared" si="13"/>
        <v>0</v>
      </c>
      <c r="AK20" s="7">
        <f t="shared" si="14"/>
        <v>896100</v>
      </c>
      <c r="AL20" s="7">
        <f t="shared" si="9"/>
        <v>3900</v>
      </c>
      <c r="AM20" s="7">
        <f t="shared" si="15"/>
        <v>0</v>
      </c>
      <c r="AN20" s="130">
        <f t="shared" si="17"/>
        <v>0.9956666666666667</v>
      </c>
      <c r="AO20" s="130">
        <v>0</v>
      </c>
      <c r="AP20" s="130">
        <v>0</v>
      </c>
      <c r="AQ20" s="130">
        <v>0</v>
      </c>
      <c r="AR20" s="169">
        <v>0</v>
      </c>
    </row>
    <row r="21" spans="1:44" ht="15.75" thickBot="1">
      <c r="A21" s="206" t="s">
        <v>34</v>
      </c>
      <c r="B21" s="102">
        <v>0</v>
      </c>
      <c r="C21" s="7"/>
      <c r="D21" s="7"/>
      <c r="E21" s="7"/>
      <c r="F21" s="7"/>
      <c r="G21" s="7"/>
      <c r="H21" s="7"/>
      <c r="I21" s="8">
        <f t="shared" si="10"/>
        <v>0</v>
      </c>
      <c r="J21" s="7">
        <v>0</v>
      </c>
      <c r="K21" s="7"/>
      <c r="L21" s="7">
        <v>0</v>
      </c>
      <c r="M21" s="7">
        <f t="shared" si="11"/>
        <v>0</v>
      </c>
      <c r="N21" s="7"/>
      <c r="O21" s="13"/>
      <c r="P21" s="7"/>
      <c r="Q21" s="7">
        <f t="shared" si="1"/>
        <v>0</v>
      </c>
      <c r="R21" s="7"/>
      <c r="S21" s="7"/>
      <c r="T21" s="7"/>
      <c r="U21" s="7"/>
      <c r="V21" s="7">
        <f t="shared" si="3"/>
        <v>0</v>
      </c>
      <c r="W21" s="7"/>
      <c r="X21" s="7"/>
      <c r="Y21" s="7"/>
      <c r="Z21" s="7">
        <f t="shared" si="4"/>
        <v>0</v>
      </c>
      <c r="AA21" s="8">
        <f t="shared" si="5"/>
        <v>0</v>
      </c>
      <c r="AB21" s="414">
        <f>+'[4]PPC ENE-MAR-11'!$G$78</f>
        <v>0</v>
      </c>
      <c r="AC21" s="414">
        <f>+'[4]PPC ABR-JUN-11'!$G$88</f>
        <v>0</v>
      </c>
      <c r="AD21" s="414">
        <f>+'[4]PPC JUL-SEP-11'!$G$75</f>
        <v>0</v>
      </c>
      <c r="AE21" s="414">
        <f>+'[4]PPC OCT-DIC-11'!$G$88</f>
        <v>0</v>
      </c>
      <c r="AF21" s="414">
        <f t="shared" si="12"/>
        <v>0</v>
      </c>
      <c r="AG21" s="12">
        <f t="shared" si="6"/>
        <v>0</v>
      </c>
      <c r="AH21" s="12">
        <f t="shared" si="7"/>
        <v>0</v>
      </c>
      <c r="AI21" s="12">
        <f t="shared" si="8"/>
        <v>0</v>
      </c>
      <c r="AJ21" s="12">
        <f t="shared" si="13"/>
        <v>0</v>
      </c>
      <c r="AK21" s="7">
        <f t="shared" si="14"/>
        <v>0</v>
      </c>
      <c r="AL21" s="7">
        <f t="shared" si="9"/>
        <v>0</v>
      </c>
      <c r="AM21" s="7">
        <f t="shared" si="15"/>
        <v>0</v>
      </c>
      <c r="AN21" s="132">
        <v>0</v>
      </c>
      <c r="AO21" s="132">
        <v>0</v>
      </c>
      <c r="AP21" s="132">
        <v>0</v>
      </c>
      <c r="AQ21" s="132">
        <v>0</v>
      </c>
      <c r="AR21" s="174">
        <v>0</v>
      </c>
    </row>
    <row r="22" spans="1:44" ht="17.25" thickBot="1">
      <c r="A22" s="50" t="s">
        <v>35</v>
      </c>
      <c r="B22" s="122">
        <f>SUM(B11:B21)</f>
        <v>881458586</v>
      </c>
      <c r="C22" s="122">
        <f aca="true" t="shared" si="18" ref="C22:AM22">SUM(C11:C21)</f>
        <v>0</v>
      </c>
      <c r="D22" s="122">
        <f aca="true" t="shared" si="19" ref="D22:I22">SUM(D11:D21)</f>
        <v>0</v>
      </c>
      <c r="E22" s="122">
        <f t="shared" si="19"/>
        <v>0</v>
      </c>
      <c r="F22" s="122">
        <f t="shared" si="19"/>
        <v>0</v>
      </c>
      <c r="G22" s="122">
        <f t="shared" si="19"/>
        <v>0</v>
      </c>
      <c r="H22" s="122">
        <f t="shared" si="19"/>
        <v>0</v>
      </c>
      <c r="I22" s="122">
        <f t="shared" si="19"/>
        <v>881458586</v>
      </c>
      <c r="J22" s="122">
        <f t="shared" si="18"/>
        <v>219103590</v>
      </c>
      <c r="K22" s="122"/>
      <c r="L22" s="122">
        <f>SUM(L11:L21)</f>
        <v>-22752738</v>
      </c>
      <c r="M22" s="122">
        <f t="shared" si="18"/>
        <v>196350852</v>
      </c>
      <c r="N22" s="122">
        <f t="shared" si="18"/>
        <v>220481223.3328779</v>
      </c>
      <c r="O22" s="122">
        <f>SUM(O11:O21)</f>
        <v>0</v>
      </c>
      <c r="P22" s="122">
        <f t="shared" si="18"/>
        <v>-2957014.332877894</v>
      </c>
      <c r="Q22" s="122">
        <f t="shared" si="18"/>
        <v>217524209</v>
      </c>
      <c r="R22" s="122">
        <f t="shared" si="18"/>
        <v>219581223.3328779</v>
      </c>
      <c r="S22" s="122">
        <f>SUM(S11:S21)</f>
        <v>0</v>
      </c>
      <c r="T22" s="122">
        <f>SUM(T11:T21)</f>
        <v>2164974</v>
      </c>
      <c r="U22" s="122">
        <f>SUM(U11:U21)</f>
        <v>-55349.3328778937</v>
      </c>
      <c r="V22" s="122">
        <f t="shared" si="18"/>
        <v>221690848</v>
      </c>
      <c r="W22" s="122">
        <f t="shared" si="18"/>
        <v>245888777</v>
      </c>
      <c r="X22" s="122">
        <f>SUM(X11:X21)</f>
        <v>0</v>
      </c>
      <c r="Y22" s="122">
        <f>SUM(Y11:Y21)</f>
        <v>0</v>
      </c>
      <c r="Z22" s="122">
        <f t="shared" si="18"/>
        <v>245888777</v>
      </c>
      <c r="AA22" s="554">
        <f t="shared" si="18"/>
        <v>881454686</v>
      </c>
      <c r="AB22" s="558">
        <f t="shared" si="18"/>
        <v>196350852</v>
      </c>
      <c r="AC22" s="122">
        <f t="shared" si="18"/>
        <v>217524209</v>
      </c>
      <c r="AD22" s="122">
        <f t="shared" si="18"/>
        <v>221690848</v>
      </c>
      <c r="AE22" s="122">
        <f>SUM(AE11:AE21)</f>
        <v>211530996</v>
      </c>
      <c r="AF22" s="122">
        <f t="shared" si="18"/>
        <v>847096905</v>
      </c>
      <c r="AG22" s="122">
        <f t="shared" si="18"/>
        <v>0</v>
      </c>
      <c r="AH22" s="122">
        <f t="shared" si="18"/>
        <v>0</v>
      </c>
      <c r="AI22" s="122">
        <f t="shared" si="18"/>
        <v>0</v>
      </c>
      <c r="AJ22" s="122">
        <f>SUM(AJ11:AJ21)</f>
        <v>34357781</v>
      </c>
      <c r="AK22" s="122">
        <f t="shared" si="18"/>
        <v>881454686</v>
      </c>
      <c r="AL22" s="122">
        <f t="shared" si="18"/>
        <v>3900</v>
      </c>
      <c r="AM22" s="122">
        <f t="shared" si="18"/>
        <v>34357781</v>
      </c>
      <c r="AN22" s="148">
        <f t="shared" si="17"/>
        <v>0.9610172485176746</v>
      </c>
      <c r="AO22" s="148">
        <f>+AB22/M22</f>
        <v>1</v>
      </c>
      <c r="AP22" s="148">
        <f>+AC22/Q22</f>
        <v>1</v>
      </c>
      <c r="AQ22" s="148">
        <f>+AD22/V22</f>
        <v>1</v>
      </c>
      <c r="AR22" s="148">
        <f>+AE22/Z22</f>
        <v>0.8602710484830302</v>
      </c>
    </row>
    <row r="23" spans="1:44" ht="15">
      <c r="A23" s="168"/>
      <c r="B23" s="102"/>
      <c r="C23" s="102"/>
      <c r="D23" s="102"/>
      <c r="E23" s="102"/>
      <c r="F23" s="102"/>
      <c r="G23" s="102"/>
      <c r="H23" s="102"/>
      <c r="I23" s="8"/>
      <c r="J23" s="7"/>
      <c r="K23" s="7"/>
      <c r="L23" s="7"/>
      <c r="M23" s="7"/>
      <c r="N23" s="7"/>
      <c r="O23" s="31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414"/>
      <c r="AC23" s="414"/>
      <c r="AD23" s="414"/>
      <c r="AE23" s="414"/>
      <c r="AF23" s="414"/>
      <c r="AG23" s="12"/>
      <c r="AH23" s="12"/>
      <c r="AI23" s="12"/>
      <c r="AJ23" s="12">
        <v>0</v>
      </c>
      <c r="AK23" s="7"/>
      <c r="AL23" s="141"/>
      <c r="AM23" s="7"/>
      <c r="AN23" s="130"/>
      <c r="AO23" s="130"/>
      <c r="AP23" s="130"/>
      <c r="AQ23" s="130"/>
      <c r="AR23" s="169"/>
    </row>
    <row r="24" spans="1:83" s="61" customFormat="1" ht="16.5">
      <c r="A24" s="185" t="s">
        <v>36</v>
      </c>
      <c r="B24" s="109"/>
      <c r="C24" s="109"/>
      <c r="D24" s="109"/>
      <c r="E24" s="109"/>
      <c r="F24" s="109"/>
      <c r="G24" s="109"/>
      <c r="H24" s="109"/>
      <c r="I24" s="45"/>
      <c r="J24" s="36"/>
      <c r="K24" s="36"/>
      <c r="L24" s="36"/>
      <c r="M24" s="36"/>
      <c r="N24" s="36"/>
      <c r="O24" s="25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45"/>
      <c r="AB24" s="430"/>
      <c r="AC24" s="430"/>
      <c r="AD24" s="430"/>
      <c r="AE24" s="430"/>
      <c r="AF24" s="430"/>
      <c r="AG24" s="19"/>
      <c r="AH24" s="19"/>
      <c r="AI24" s="19"/>
      <c r="AJ24" s="19">
        <v>0</v>
      </c>
      <c r="AK24" s="36"/>
      <c r="AL24" s="142"/>
      <c r="AM24" s="36"/>
      <c r="AN24" s="133"/>
      <c r="AO24" s="133"/>
      <c r="AP24" s="133"/>
      <c r="AQ24" s="133"/>
      <c r="AR24" s="176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44" ht="15">
      <c r="A25" s="170" t="s">
        <v>105</v>
      </c>
      <c r="B25" s="102">
        <v>12000000</v>
      </c>
      <c r="C25" s="102"/>
      <c r="D25" s="102"/>
      <c r="E25" s="102"/>
      <c r="F25" s="102"/>
      <c r="G25" s="102"/>
      <c r="H25" s="102"/>
      <c r="I25" s="8">
        <f>SUM(B25:E25)</f>
        <v>12000000</v>
      </c>
      <c r="J25" s="7">
        <v>6000000</v>
      </c>
      <c r="K25" s="7"/>
      <c r="L25" s="7">
        <v>-1284831</v>
      </c>
      <c r="M25" s="7">
        <f>SUM(J25:L25)</f>
        <v>4715169</v>
      </c>
      <c r="N25" s="7">
        <v>6000000</v>
      </c>
      <c r="O25" s="23">
        <v>-2270515</v>
      </c>
      <c r="P25" s="7">
        <f aca="true" t="shared" si="20" ref="P25:P35">+AC25-N25-O25</f>
        <v>0</v>
      </c>
      <c r="Q25" s="7">
        <f aca="true" t="shared" si="21" ref="Q25:Q35">+SUM(N25:P25)</f>
        <v>3729485</v>
      </c>
      <c r="R25" s="7">
        <v>1284831</v>
      </c>
      <c r="S25" s="7"/>
      <c r="T25" s="7"/>
      <c r="U25" s="7">
        <f aca="true" t="shared" si="22" ref="U25:U35">-R25-S25-T25+AD25</f>
        <v>-1284831</v>
      </c>
      <c r="V25" s="7">
        <f aca="true" t="shared" si="23" ref="V25:V35">+SUM(R25:U25)</f>
        <v>0</v>
      </c>
      <c r="W25" s="7">
        <v>3555346</v>
      </c>
      <c r="X25" s="7"/>
      <c r="Y25" s="7"/>
      <c r="Z25" s="7">
        <f aca="true" t="shared" si="24" ref="Z25:Z36">+SUM(W25:Y25)</f>
        <v>3555346</v>
      </c>
      <c r="AA25" s="8">
        <f aca="true" t="shared" si="25" ref="AA25:AA35">+M25+Q25+V25+Z25</f>
        <v>12000000</v>
      </c>
      <c r="AB25" s="414">
        <f>+'[4]PPC ENE-MAR-11'!$G$84</f>
        <v>4715169</v>
      </c>
      <c r="AC25" s="414">
        <f>+'[4]PPC ABR-JUN-11'!$G$97</f>
        <v>3729485</v>
      </c>
      <c r="AD25" s="414">
        <f>+'[4]PPC JUL-SEP-11'!$G$80</f>
        <v>0</v>
      </c>
      <c r="AE25" s="414">
        <f>+'[4]PPC OCT-DIC-11'!$G$97</f>
        <v>2878284</v>
      </c>
      <c r="AF25" s="414">
        <f>SUM(AB25:AE25)</f>
        <v>11322938</v>
      </c>
      <c r="AG25" s="12">
        <f aca="true" t="shared" si="26" ref="AG25:AG35">+M25-AB25</f>
        <v>0</v>
      </c>
      <c r="AH25" s="12">
        <f aca="true" t="shared" si="27" ref="AH25:AH35">+Q25-AC25</f>
        <v>0</v>
      </c>
      <c r="AI25" s="12">
        <f aca="true" t="shared" si="28" ref="AI25:AI35">+V25-AD25</f>
        <v>0</v>
      </c>
      <c r="AJ25" s="12">
        <f aca="true" t="shared" si="29" ref="AJ25:AJ35">+Z25-AE25</f>
        <v>677062</v>
      </c>
      <c r="AK25" s="7">
        <f aca="true" t="shared" si="30" ref="AK25:AK35">+AA25</f>
        <v>12000000</v>
      </c>
      <c r="AL25" s="141">
        <f aca="true" t="shared" si="31" ref="AL25:AL35">+I25-AK25</f>
        <v>0</v>
      </c>
      <c r="AM25" s="7">
        <f aca="true" t="shared" si="32" ref="AM25:AM35">+AK25-AF25</f>
        <v>677062</v>
      </c>
      <c r="AN25" s="130">
        <v>0</v>
      </c>
      <c r="AO25" s="130">
        <v>0</v>
      </c>
      <c r="AP25" s="130">
        <v>0</v>
      </c>
      <c r="AQ25" s="130">
        <v>0</v>
      </c>
      <c r="AR25" s="169">
        <f aca="true" t="shared" si="33" ref="AR25:AR35">+AE25/Z25</f>
        <v>0.8095650887424177</v>
      </c>
    </row>
    <row r="26" spans="1:44" ht="16.5">
      <c r="A26" s="170" t="s">
        <v>39</v>
      </c>
      <c r="B26" s="102">
        <v>4968000</v>
      </c>
      <c r="C26" s="102"/>
      <c r="D26" s="102"/>
      <c r="E26" s="102"/>
      <c r="F26" s="102"/>
      <c r="G26" s="102"/>
      <c r="H26" s="102"/>
      <c r="I26" s="8">
        <f>SUM(B26:H26)</f>
        <v>4968000</v>
      </c>
      <c r="J26" s="7">
        <v>1242000</v>
      </c>
      <c r="K26" s="7"/>
      <c r="L26" s="7">
        <v>-36854</v>
      </c>
      <c r="M26" s="7">
        <f aca="true" t="shared" si="34" ref="M26:M35">SUM(J26:L26)</f>
        <v>1205146</v>
      </c>
      <c r="N26" s="235">
        <v>1242000</v>
      </c>
      <c r="O26" s="20"/>
      <c r="P26" s="7">
        <f t="shared" si="20"/>
        <v>-849</v>
      </c>
      <c r="Q26" s="7">
        <f t="shared" si="21"/>
        <v>1241151</v>
      </c>
      <c r="R26" s="7">
        <v>1242000</v>
      </c>
      <c r="S26" s="7"/>
      <c r="T26" s="7"/>
      <c r="U26" s="7">
        <f t="shared" si="22"/>
        <v>-16672.199999999953</v>
      </c>
      <c r="V26" s="7">
        <f t="shared" si="23"/>
        <v>1225327.8</v>
      </c>
      <c r="W26" s="7">
        <v>1279703</v>
      </c>
      <c r="X26" s="7"/>
      <c r="Y26" s="7"/>
      <c r="Z26" s="7">
        <f t="shared" si="24"/>
        <v>1279703</v>
      </c>
      <c r="AA26" s="8">
        <f t="shared" si="25"/>
        <v>4951327.8</v>
      </c>
      <c r="AB26" s="414">
        <f>+'[4]PPC ENE-MAR-11'!$G$92</f>
        <v>1205146</v>
      </c>
      <c r="AC26" s="414">
        <f>+'[4]PPC ABR-JUN-11'!$G$107</f>
        <v>1241151</v>
      </c>
      <c r="AD26" s="414">
        <f>+'[4]PPC JUL-SEP-11'!$G$84</f>
        <v>1225327.8</v>
      </c>
      <c r="AE26" s="414">
        <f>+'[4]PPC OCT-DIC-11'!$G$107</f>
        <v>1265886</v>
      </c>
      <c r="AF26" s="414">
        <f aca="true" t="shared" si="35" ref="AF26:AF35">SUM(AB26:AE26)</f>
        <v>4937510.8</v>
      </c>
      <c r="AG26" s="12">
        <f t="shared" si="26"/>
        <v>0</v>
      </c>
      <c r="AH26" s="12">
        <f t="shared" si="27"/>
        <v>0</v>
      </c>
      <c r="AI26" s="12">
        <f t="shared" si="28"/>
        <v>0</v>
      </c>
      <c r="AJ26" s="12">
        <f t="shared" si="29"/>
        <v>13817</v>
      </c>
      <c r="AK26" s="7">
        <f t="shared" si="30"/>
        <v>4951327.8</v>
      </c>
      <c r="AL26" s="141">
        <f t="shared" si="31"/>
        <v>16672.200000000186</v>
      </c>
      <c r="AM26" s="7">
        <f t="shared" si="32"/>
        <v>13817</v>
      </c>
      <c r="AN26" s="130">
        <f aca="true" t="shared" si="36" ref="AN26:AN35">+AF26/I26</f>
        <v>0.993862882447665</v>
      </c>
      <c r="AO26" s="130">
        <f aca="true" t="shared" si="37" ref="AO26:AO35">+AB26/M26</f>
        <v>1</v>
      </c>
      <c r="AP26" s="130">
        <f aca="true" t="shared" si="38" ref="AP26:AP35">+AC26/Q26</f>
        <v>1</v>
      </c>
      <c r="AQ26" s="130">
        <f aca="true" t="shared" si="39" ref="AQ26:AQ35">+AD26/V26</f>
        <v>1</v>
      </c>
      <c r="AR26" s="169">
        <f t="shared" si="33"/>
        <v>0.9892029635001246</v>
      </c>
    </row>
    <row r="27" spans="1:44" ht="16.5">
      <c r="A27" s="170" t="s">
        <v>40</v>
      </c>
      <c r="B27" s="102">
        <v>6190200</v>
      </c>
      <c r="C27" s="102"/>
      <c r="D27" s="102"/>
      <c r="E27" s="102"/>
      <c r="F27" s="102"/>
      <c r="G27" s="102"/>
      <c r="H27" s="102"/>
      <c r="I27" s="8">
        <f aca="true" t="shared" si="40" ref="I27:I35">SUM(B27:H27)</f>
        <v>6190200</v>
      </c>
      <c r="J27" s="7">
        <v>1545000</v>
      </c>
      <c r="K27" s="7"/>
      <c r="L27" s="7">
        <v>0</v>
      </c>
      <c r="M27" s="7">
        <f t="shared" si="34"/>
        <v>1545000</v>
      </c>
      <c r="N27" s="7">
        <v>1545000</v>
      </c>
      <c r="O27" s="25"/>
      <c r="P27" s="7">
        <f t="shared" si="20"/>
        <v>0</v>
      </c>
      <c r="Q27" s="7">
        <f t="shared" si="21"/>
        <v>1545000</v>
      </c>
      <c r="R27" s="7">
        <v>1545000</v>
      </c>
      <c r="S27" s="7"/>
      <c r="T27" s="7"/>
      <c r="U27" s="7">
        <f t="shared" si="22"/>
        <v>0</v>
      </c>
      <c r="V27" s="7">
        <f t="shared" si="23"/>
        <v>1545000</v>
      </c>
      <c r="W27" s="7">
        <v>1555200</v>
      </c>
      <c r="X27" s="7"/>
      <c r="Y27" s="7"/>
      <c r="Z27" s="7">
        <f t="shared" si="24"/>
        <v>1555200</v>
      </c>
      <c r="AA27" s="8">
        <f t="shared" si="25"/>
        <v>6190200</v>
      </c>
      <c r="AB27" s="414">
        <f>+'[4]PPC ENE-MAR-11'!$G$104</f>
        <v>1545000</v>
      </c>
      <c r="AC27" s="414">
        <f>+'[4]PPC ABR-JUN-11'!$G$122</f>
        <v>1545000</v>
      </c>
      <c r="AD27" s="414">
        <f>+'[4]PPC JUL-SEP-11'!$G$93</f>
        <v>1545000</v>
      </c>
      <c r="AE27" s="414">
        <f>+'[4]PPC OCT-DIC-11'!$G$119</f>
        <v>1545000</v>
      </c>
      <c r="AF27" s="414">
        <f>SUM(AB27:AE27)</f>
        <v>6180000</v>
      </c>
      <c r="AG27" s="12">
        <f t="shared" si="26"/>
        <v>0</v>
      </c>
      <c r="AH27" s="12">
        <f t="shared" si="27"/>
        <v>0</v>
      </c>
      <c r="AI27" s="12">
        <f t="shared" si="28"/>
        <v>0</v>
      </c>
      <c r="AJ27" s="12">
        <f t="shared" si="29"/>
        <v>10200</v>
      </c>
      <c r="AK27" s="7">
        <f t="shared" si="30"/>
        <v>6190200</v>
      </c>
      <c r="AL27" s="141">
        <f t="shared" si="31"/>
        <v>0</v>
      </c>
      <c r="AM27" s="7">
        <f t="shared" si="32"/>
        <v>10200</v>
      </c>
      <c r="AN27" s="130">
        <f t="shared" si="36"/>
        <v>0.9983522341766017</v>
      </c>
      <c r="AO27" s="130">
        <f t="shared" si="37"/>
        <v>1</v>
      </c>
      <c r="AP27" s="130">
        <f t="shared" si="38"/>
        <v>1</v>
      </c>
      <c r="AQ27" s="130">
        <f t="shared" si="39"/>
        <v>1</v>
      </c>
      <c r="AR27" s="169">
        <f t="shared" si="33"/>
        <v>0.9934413580246914</v>
      </c>
    </row>
    <row r="28" spans="1:44" ht="15">
      <c r="A28" s="170" t="s">
        <v>41</v>
      </c>
      <c r="B28" s="102">
        <v>12121068.792900002</v>
      </c>
      <c r="C28" s="102"/>
      <c r="D28" s="102"/>
      <c r="E28" s="102"/>
      <c r="F28" s="102"/>
      <c r="G28" s="102"/>
      <c r="H28" s="102"/>
      <c r="I28" s="8">
        <f t="shared" si="40"/>
        <v>12121068.792900002</v>
      </c>
      <c r="J28" s="7">
        <v>3025274.0275</v>
      </c>
      <c r="K28" s="7"/>
      <c r="L28" s="7">
        <v>-1589752.0274999999</v>
      </c>
      <c r="M28" s="7">
        <f t="shared" si="34"/>
        <v>1435522</v>
      </c>
      <c r="N28" s="7">
        <v>3030267.1982250004</v>
      </c>
      <c r="O28" s="31">
        <v>-1861403</v>
      </c>
      <c r="P28" s="7">
        <f t="shared" si="20"/>
        <v>-0.19822500040754676</v>
      </c>
      <c r="Q28" s="7">
        <f t="shared" si="21"/>
        <v>1168864</v>
      </c>
      <c r="R28" s="7">
        <v>3030267.1982250004</v>
      </c>
      <c r="S28" s="7"/>
      <c r="T28" s="7"/>
      <c r="U28" s="7">
        <f t="shared" si="22"/>
        <v>-1888216.1982250004</v>
      </c>
      <c r="V28" s="7">
        <f t="shared" si="23"/>
        <v>1142051</v>
      </c>
      <c r="W28" s="7">
        <v>8374631.792900002</v>
      </c>
      <c r="X28" s="7"/>
      <c r="Y28" s="7"/>
      <c r="Z28" s="7">
        <f t="shared" si="24"/>
        <v>8374631.792900002</v>
      </c>
      <c r="AA28" s="8">
        <f t="shared" si="25"/>
        <v>12121068.792900002</v>
      </c>
      <c r="AB28" s="414">
        <f>+'[4]PPC ENE-MAR-11'!$G$112</f>
        <v>1435522</v>
      </c>
      <c r="AC28" s="414">
        <f>+'[4]PPC ABR-JUN-11'!$G$130</f>
        <v>1168864</v>
      </c>
      <c r="AD28" s="414">
        <f>+'[4]PPC JUL-SEP-11'!$G$100</f>
        <v>1142051</v>
      </c>
      <c r="AE28" s="414">
        <f>+'[4]PPC OCT-DIC-11'!$G$127</f>
        <v>2018743</v>
      </c>
      <c r="AF28" s="414">
        <f t="shared" si="35"/>
        <v>5765180</v>
      </c>
      <c r="AG28" s="12">
        <f t="shared" si="26"/>
        <v>0</v>
      </c>
      <c r="AH28" s="12">
        <f t="shared" si="27"/>
        <v>0</v>
      </c>
      <c r="AI28" s="12">
        <f t="shared" si="28"/>
        <v>0</v>
      </c>
      <c r="AJ28" s="12">
        <f t="shared" si="29"/>
        <v>6355888.792900002</v>
      </c>
      <c r="AK28" s="7">
        <f t="shared" si="30"/>
        <v>12121068.792900002</v>
      </c>
      <c r="AL28" s="141">
        <f t="shared" si="31"/>
        <v>0</v>
      </c>
      <c r="AM28" s="7">
        <f t="shared" si="32"/>
        <v>6355888.792900002</v>
      </c>
      <c r="AN28" s="130">
        <f t="shared" si="36"/>
        <v>0.47563297416288847</v>
      </c>
      <c r="AO28" s="130">
        <f t="shared" si="37"/>
        <v>1</v>
      </c>
      <c r="AP28" s="130">
        <f t="shared" si="38"/>
        <v>1</v>
      </c>
      <c r="AQ28" s="130">
        <f t="shared" si="39"/>
        <v>1</v>
      </c>
      <c r="AR28" s="169">
        <f t="shared" si="33"/>
        <v>0.24105453826775844</v>
      </c>
    </row>
    <row r="29" spans="1:44" ht="15">
      <c r="A29" s="170" t="s">
        <v>42</v>
      </c>
      <c r="B29" s="102">
        <v>4800000</v>
      </c>
      <c r="C29" s="102"/>
      <c r="D29" s="102"/>
      <c r="E29" s="102"/>
      <c r="F29" s="102"/>
      <c r="G29" s="102"/>
      <c r="H29" s="102"/>
      <c r="I29" s="8">
        <f t="shared" si="40"/>
        <v>4800000</v>
      </c>
      <c r="J29" s="7">
        <v>1200000</v>
      </c>
      <c r="K29" s="7"/>
      <c r="L29" s="7">
        <v>-786747</v>
      </c>
      <c r="M29" s="7">
        <f t="shared" si="34"/>
        <v>413253</v>
      </c>
      <c r="N29" s="7">
        <v>4000000</v>
      </c>
      <c r="O29" s="31">
        <v>-266029</v>
      </c>
      <c r="P29" s="7">
        <f t="shared" si="20"/>
        <v>-173831</v>
      </c>
      <c r="Q29" s="7">
        <f t="shared" si="21"/>
        <v>3560140</v>
      </c>
      <c r="R29" s="7">
        <v>413354</v>
      </c>
      <c r="S29" s="7"/>
      <c r="T29" s="7"/>
      <c r="U29" s="7">
        <f t="shared" si="22"/>
        <v>-101</v>
      </c>
      <c r="V29" s="7">
        <f t="shared" si="23"/>
        <v>413253</v>
      </c>
      <c r="W29" s="7">
        <v>413354</v>
      </c>
      <c r="X29" s="7"/>
      <c r="Y29" s="7"/>
      <c r="Z29" s="7">
        <f t="shared" si="24"/>
        <v>413354</v>
      </c>
      <c r="AA29" s="8">
        <f t="shared" si="25"/>
        <v>4800000</v>
      </c>
      <c r="AB29" s="414">
        <f>+'[4]PPC ENE-MAR-11'!$G$126</f>
        <v>413253</v>
      </c>
      <c r="AC29" s="414">
        <f>+'[4]PPC ABR-JUN-11'!$G$143</f>
        <v>3560140</v>
      </c>
      <c r="AD29" s="414">
        <f>+'[4]PPC JUL-SEP-11'!$G$113</f>
        <v>413253</v>
      </c>
      <c r="AE29" s="414">
        <f>+'[4]PPC OCT-DIC-11'!$G$145</f>
        <v>413253</v>
      </c>
      <c r="AF29" s="414">
        <f t="shared" si="35"/>
        <v>4799899</v>
      </c>
      <c r="AG29" s="12">
        <f t="shared" si="26"/>
        <v>0</v>
      </c>
      <c r="AH29" s="12">
        <f t="shared" si="27"/>
        <v>0</v>
      </c>
      <c r="AI29" s="12">
        <f t="shared" si="28"/>
        <v>0</v>
      </c>
      <c r="AJ29" s="12">
        <f t="shared" si="29"/>
        <v>101</v>
      </c>
      <c r="AK29" s="7">
        <f t="shared" si="30"/>
        <v>4800000</v>
      </c>
      <c r="AL29" s="141">
        <f t="shared" si="31"/>
        <v>0</v>
      </c>
      <c r="AM29" s="7">
        <f t="shared" si="32"/>
        <v>101</v>
      </c>
      <c r="AN29" s="130">
        <f t="shared" si="36"/>
        <v>0.9999789583333333</v>
      </c>
      <c r="AO29" s="130">
        <f t="shared" si="37"/>
        <v>1</v>
      </c>
      <c r="AP29" s="130">
        <f t="shared" si="38"/>
        <v>1</v>
      </c>
      <c r="AQ29" s="130">
        <f t="shared" si="39"/>
        <v>1</v>
      </c>
      <c r="AR29" s="169">
        <f t="shared" si="33"/>
        <v>0.9997556573784214</v>
      </c>
    </row>
    <row r="30" spans="1:44" ht="15">
      <c r="A30" s="170" t="s">
        <v>43</v>
      </c>
      <c r="B30" s="102">
        <v>175176000</v>
      </c>
      <c r="C30" s="102"/>
      <c r="D30" s="102"/>
      <c r="E30" s="102">
        <v>-2000000</v>
      </c>
      <c r="F30" s="102"/>
      <c r="G30" s="102"/>
      <c r="H30" s="102"/>
      <c r="I30" s="8">
        <f t="shared" si="40"/>
        <v>173176000</v>
      </c>
      <c r="J30" s="7">
        <v>40144000</v>
      </c>
      <c r="K30" s="7"/>
      <c r="L30" s="7">
        <v>-8447252</v>
      </c>
      <c r="M30" s="7">
        <f t="shared" si="34"/>
        <v>31696748</v>
      </c>
      <c r="N30" s="7">
        <v>41544000</v>
      </c>
      <c r="O30" s="31"/>
      <c r="P30" s="7">
        <f t="shared" si="20"/>
        <v>-679</v>
      </c>
      <c r="Q30" s="7">
        <f t="shared" si="21"/>
        <v>41543321</v>
      </c>
      <c r="R30" s="7">
        <v>50967626</v>
      </c>
      <c r="S30" s="7"/>
      <c r="T30" s="7">
        <v>-2164974</v>
      </c>
      <c r="U30" s="7">
        <f t="shared" si="22"/>
        <v>-79734</v>
      </c>
      <c r="V30" s="7">
        <f t="shared" si="23"/>
        <v>48722918</v>
      </c>
      <c r="W30" s="7">
        <v>51213013</v>
      </c>
      <c r="X30" s="7"/>
      <c r="Y30" s="7"/>
      <c r="Z30" s="7">
        <f t="shared" si="24"/>
        <v>51213013</v>
      </c>
      <c r="AA30" s="8">
        <f t="shared" si="25"/>
        <v>173176000</v>
      </c>
      <c r="AB30" s="414">
        <f>+'[4]PPC ENE-MAR-11'!$G$134</f>
        <v>31696748</v>
      </c>
      <c r="AC30" s="414">
        <f>+'[4]PPC ABR-JUN-11'!$G$153</f>
        <v>41543321</v>
      </c>
      <c r="AD30" s="414">
        <f>+'[4]PPC JUL-SEP-11'!$G$120</f>
        <v>48722918</v>
      </c>
      <c r="AE30" s="414">
        <f>+'[4]PPC OCT-DIC-11'!$G$155</f>
        <v>33099619</v>
      </c>
      <c r="AF30" s="414">
        <f t="shared" si="35"/>
        <v>155062606</v>
      </c>
      <c r="AG30" s="12">
        <f t="shared" si="26"/>
        <v>0</v>
      </c>
      <c r="AH30" s="12">
        <f t="shared" si="27"/>
        <v>0</v>
      </c>
      <c r="AI30" s="12">
        <f t="shared" si="28"/>
        <v>0</v>
      </c>
      <c r="AJ30" s="12">
        <f t="shared" si="29"/>
        <v>18113394</v>
      </c>
      <c r="AK30" s="7">
        <f t="shared" si="30"/>
        <v>173176000</v>
      </c>
      <c r="AL30" s="141">
        <f t="shared" si="31"/>
        <v>0</v>
      </c>
      <c r="AM30" s="7">
        <f t="shared" si="32"/>
        <v>18113394</v>
      </c>
      <c r="AN30" s="130">
        <f t="shared" si="36"/>
        <v>0.8954047096595371</v>
      </c>
      <c r="AO30" s="130">
        <f t="shared" si="37"/>
        <v>1</v>
      </c>
      <c r="AP30" s="130">
        <f t="shared" si="38"/>
        <v>1</v>
      </c>
      <c r="AQ30" s="130">
        <f t="shared" si="39"/>
        <v>1</v>
      </c>
      <c r="AR30" s="169">
        <f>+AE30/Z30</f>
        <v>0.646312666665404</v>
      </c>
    </row>
    <row r="31" spans="1:44" ht="15">
      <c r="A31" s="168" t="s">
        <v>44</v>
      </c>
      <c r="B31" s="102">
        <v>12000000</v>
      </c>
      <c r="C31" s="102"/>
      <c r="D31" s="102"/>
      <c r="E31" s="102"/>
      <c r="F31" s="102"/>
      <c r="G31" s="102"/>
      <c r="H31" s="102"/>
      <c r="I31" s="8">
        <f t="shared" si="40"/>
        <v>12000000</v>
      </c>
      <c r="J31" s="7">
        <v>3000000</v>
      </c>
      <c r="K31" s="7"/>
      <c r="L31" s="7">
        <v>-29348</v>
      </c>
      <c r="M31" s="7">
        <f t="shared" si="34"/>
        <v>2970652</v>
      </c>
      <c r="N31" s="7">
        <v>3000000</v>
      </c>
      <c r="O31" s="8"/>
      <c r="P31" s="7">
        <f t="shared" si="20"/>
        <v>-8000</v>
      </c>
      <c r="Q31" s="7">
        <f t="shared" si="21"/>
        <v>2992000</v>
      </c>
      <c r="R31" s="7">
        <v>4000000</v>
      </c>
      <c r="S31" s="7"/>
      <c r="T31" s="7"/>
      <c r="U31" s="7">
        <f t="shared" si="22"/>
        <v>-680000</v>
      </c>
      <c r="V31" s="7">
        <f t="shared" si="23"/>
        <v>3320000</v>
      </c>
      <c r="W31" s="7">
        <v>2037348</v>
      </c>
      <c r="X31" s="7"/>
      <c r="Y31" s="7"/>
      <c r="Z31" s="7">
        <f t="shared" si="24"/>
        <v>2037348</v>
      </c>
      <c r="AA31" s="8">
        <f t="shared" si="25"/>
        <v>11320000</v>
      </c>
      <c r="AB31" s="414">
        <f>+'[4]PPC ENE-MAR-11'!$G$172</f>
        <v>2970652</v>
      </c>
      <c r="AC31" s="414">
        <f>+'[4]PPC ABR-JUN-11'!$G$200</f>
        <v>2992000</v>
      </c>
      <c r="AD31" s="414">
        <f>+'[4]PPC JUL-SEP-11'!$G$176</f>
        <v>3320000</v>
      </c>
      <c r="AE31" s="414">
        <f>+'[4]PPC OCT-DIC-11'!$G$177</f>
        <v>2017510</v>
      </c>
      <c r="AF31" s="414">
        <f t="shared" si="35"/>
        <v>11300162</v>
      </c>
      <c r="AG31" s="12">
        <f t="shared" si="26"/>
        <v>0</v>
      </c>
      <c r="AH31" s="12">
        <f t="shared" si="27"/>
        <v>0</v>
      </c>
      <c r="AI31" s="12">
        <f t="shared" si="28"/>
        <v>0</v>
      </c>
      <c r="AJ31" s="12">
        <f t="shared" si="29"/>
        <v>19838</v>
      </c>
      <c r="AK31" s="7">
        <f t="shared" si="30"/>
        <v>11320000</v>
      </c>
      <c r="AL31" s="141">
        <f t="shared" si="31"/>
        <v>680000</v>
      </c>
      <c r="AM31" s="7">
        <f t="shared" si="32"/>
        <v>19838</v>
      </c>
      <c r="AN31" s="130">
        <f t="shared" si="36"/>
        <v>0.9416801666666667</v>
      </c>
      <c r="AO31" s="130">
        <f t="shared" si="37"/>
        <v>1</v>
      </c>
      <c r="AP31" s="130">
        <f t="shared" si="38"/>
        <v>1</v>
      </c>
      <c r="AQ31" s="130">
        <f t="shared" si="39"/>
        <v>1</v>
      </c>
      <c r="AR31" s="169">
        <f>+AE31/Z31</f>
        <v>0.9902628318775192</v>
      </c>
    </row>
    <row r="32" spans="1:44" ht="15">
      <c r="A32" s="168" t="s">
        <v>45</v>
      </c>
      <c r="B32" s="102">
        <v>42000000</v>
      </c>
      <c r="C32" s="102"/>
      <c r="D32" s="102"/>
      <c r="E32" s="102"/>
      <c r="F32" s="102"/>
      <c r="G32" s="102"/>
      <c r="H32" s="102"/>
      <c r="I32" s="8">
        <f t="shared" si="40"/>
        <v>42000000</v>
      </c>
      <c r="J32" s="7">
        <v>13000000</v>
      </c>
      <c r="K32" s="7"/>
      <c r="L32" s="7">
        <v>-502361</v>
      </c>
      <c r="M32" s="7">
        <f t="shared" si="34"/>
        <v>12497639</v>
      </c>
      <c r="N32" s="7">
        <v>10000000</v>
      </c>
      <c r="O32" s="8">
        <v>325839</v>
      </c>
      <c r="P32" s="7">
        <f t="shared" si="20"/>
        <v>0</v>
      </c>
      <c r="Q32" s="7">
        <f t="shared" si="21"/>
        <v>10325839</v>
      </c>
      <c r="R32" s="7">
        <v>10000000</v>
      </c>
      <c r="S32" s="7"/>
      <c r="T32" s="7">
        <v>2245707</v>
      </c>
      <c r="U32" s="7">
        <f t="shared" si="22"/>
        <v>0</v>
      </c>
      <c r="V32" s="7">
        <f t="shared" si="23"/>
        <v>12245707</v>
      </c>
      <c r="W32" s="7">
        <v>6930815</v>
      </c>
      <c r="X32" s="7"/>
      <c r="Y32" s="7"/>
      <c r="Z32" s="7">
        <f t="shared" si="24"/>
        <v>6930815</v>
      </c>
      <c r="AA32" s="8">
        <f t="shared" si="25"/>
        <v>42000000</v>
      </c>
      <c r="AB32" s="414">
        <f>+'[4]PPC ENE-MAR-11'!$G$181</f>
        <v>12497639</v>
      </c>
      <c r="AC32" s="414">
        <f>+'[4]PPC ABR-JUN-11'!$G$211</f>
        <v>10325839</v>
      </c>
      <c r="AD32" s="414">
        <f>+'[4]PPC JUL-SEP-11'!$G$184</f>
        <v>12245707</v>
      </c>
      <c r="AE32" s="414">
        <f>+'[4]PPC OCT-DIC-11'!$G$187</f>
        <v>6930815</v>
      </c>
      <c r="AF32" s="414">
        <f>SUM(AB32:AE32)</f>
        <v>42000000</v>
      </c>
      <c r="AG32" s="12">
        <f t="shared" si="26"/>
        <v>0</v>
      </c>
      <c r="AH32" s="12">
        <f t="shared" si="27"/>
        <v>0</v>
      </c>
      <c r="AI32" s="12">
        <f t="shared" si="28"/>
        <v>0</v>
      </c>
      <c r="AJ32" s="12">
        <f t="shared" si="29"/>
        <v>0</v>
      </c>
      <c r="AK32" s="7">
        <f t="shared" si="30"/>
        <v>42000000</v>
      </c>
      <c r="AL32" s="141">
        <f t="shared" si="31"/>
        <v>0</v>
      </c>
      <c r="AM32" s="7">
        <f t="shared" si="32"/>
        <v>0</v>
      </c>
      <c r="AN32" s="130">
        <f t="shared" si="36"/>
        <v>1</v>
      </c>
      <c r="AO32" s="130">
        <f t="shared" si="37"/>
        <v>1</v>
      </c>
      <c r="AP32" s="130">
        <f t="shared" si="38"/>
        <v>1</v>
      </c>
      <c r="AQ32" s="130">
        <f t="shared" si="39"/>
        <v>1</v>
      </c>
      <c r="AR32" s="169">
        <f t="shared" si="33"/>
        <v>1</v>
      </c>
    </row>
    <row r="33" spans="1:44" ht="16.5">
      <c r="A33" s="168" t="s">
        <v>46</v>
      </c>
      <c r="B33" s="102">
        <v>1560000</v>
      </c>
      <c r="C33" s="102"/>
      <c r="D33" s="102"/>
      <c r="E33" s="102"/>
      <c r="F33" s="102"/>
      <c r="G33" s="102"/>
      <c r="H33" s="102"/>
      <c r="I33" s="8">
        <f t="shared" si="40"/>
        <v>1560000</v>
      </c>
      <c r="J33" s="7">
        <v>390000</v>
      </c>
      <c r="K33" s="7"/>
      <c r="L33" s="7">
        <v>-67400</v>
      </c>
      <c r="M33" s="7">
        <f t="shared" si="34"/>
        <v>322600</v>
      </c>
      <c r="N33" s="7">
        <v>390000</v>
      </c>
      <c r="O33" s="25"/>
      <c r="P33" s="7">
        <f t="shared" si="20"/>
        <v>-48800</v>
      </c>
      <c r="Q33" s="7">
        <f t="shared" si="21"/>
        <v>341200</v>
      </c>
      <c r="R33" s="7">
        <v>400000</v>
      </c>
      <c r="S33" s="7"/>
      <c r="T33" s="7"/>
      <c r="U33" s="7">
        <f t="shared" si="22"/>
        <v>-4000</v>
      </c>
      <c r="V33" s="7">
        <f t="shared" si="23"/>
        <v>396000</v>
      </c>
      <c r="W33" s="7">
        <v>500200</v>
      </c>
      <c r="X33" s="7"/>
      <c r="Y33" s="7"/>
      <c r="Z33" s="7">
        <f t="shared" si="24"/>
        <v>500200</v>
      </c>
      <c r="AA33" s="8">
        <f t="shared" si="25"/>
        <v>1560000</v>
      </c>
      <c r="AB33" s="414">
        <f>+'[4]PPC ENE-MAR-11'!$G$194</f>
        <v>322600</v>
      </c>
      <c r="AC33" s="414">
        <f>+'[4]PPC ABR-JUN-11'!$G$222</f>
        <v>341200</v>
      </c>
      <c r="AD33" s="414">
        <f>+'[4]PPC JUL-SEP-11'!$G$200</f>
        <v>396000</v>
      </c>
      <c r="AE33" s="414">
        <f>+'[4]PPC OCT-DIC-11'!$G$202</f>
        <v>394000</v>
      </c>
      <c r="AF33" s="414">
        <f t="shared" si="35"/>
        <v>1453800</v>
      </c>
      <c r="AG33" s="12">
        <f t="shared" si="26"/>
        <v>0</v>
      </c>
      <c r="AH33" s="12">
        <f t="shared" si="27"/>
        <v>0</v>
      </c>
      <c r="AI33" s="12">
        <f t="shared" si="28"/>
        <v>0</v>
      </c>
      <c r="AJ33" s="12">
        <f t="shared" si="29"/>
        <v>106200</v>
      </c>
      <c r="AK33" s="7">
        <f t="shared" si="30"/>
        <v>1560000</v>
      </c>
      <c r="AL33" s="141">
        <f t="shared" si="31"/>
        <v>0</v>
      </c>
      <c r="AM33" s="7">
        <f t="shared" si="32"/>
        <v>106200</v>
      </c>
      <c r="AN33" s="130">
        <f t="shared" si="36"/>
        <v>0.931923076923077</v>
      </c>
      <c r="AO33" s="130">
        <f t="shared" si="37"/>
        <v>1</v>
      </c>
      <c r="AP33" s="130">
        <f t="shared" si="38"/>
        <v>1</v>
      </c>
      <c r="AQ33" s="130">
        <f t="shared" si="39"/>
        <v>1</v>
      </c>
      <c r="AR33" s="169">
        <f t="shared" si="33"/>
        <v>0.7876849260295882</v>
      </c>
    </row>
    <row r="34" spans="1:44" ht="16.5">
      <c r="A34" s="168" t="s">
        <v>47</v>
      </c>
      <c r="B34" s="102">
        <v>29505410.802360002</v>
      </c>
      <c r="C34" s="102"/>
      <c r="D34" s="102"/>
      <c r="E34" s="102">
        <v>2000000</v>
      </c>
      <c r="F34" s="102"/>
      <c r="G34" s="102">
        <v>7000000</v>
      </c>
      <c r="H34" s="102"/>
      <c r="I34" s="8">
        <f t="shared" si="40"/>
        <v>38505410.80236</v>
      </c>
      <c r="J34" s="7">
        <v>7700000</v>
      </c>
      <c r="K34" s="7"/>
      <c r="L34" s="7">
        <v>-2660000</v>
      </c>
      <c r="M34" s="7">
        <f t="shared" si="34"/>
        <v>5040000</v>
      </c>
      <c r="N34" s="7">
        <v>6000000</v>
      </c>
      <c r="O34" s="25"/>
      <c r="P34" s="7">
        <f t="shared" si="20"/>
        <v>-242287</v>
      </c>
      <c r="Q34" s="7">
        <f t="shared" si="21"/>
        <v>5757713</v>
      </c>
      <c r="R34" s="7">
        <v>13000000</v>
      </c>
      <c r="S34" s="7"/>
      <c r="T34" s="7"/>
      <c r="U34" s="7">
        <f t="shared" si="22"/>
        <v>-497082</v>
      </c>
      <c r="V34" s="7">
        <f t="shared" si="23"/>
        <v>12502918</v>
      </c>
      <c r="W34" s="7">
        <v>8204779.802360002</v>
      </c>
      <c r="X34" s="7">
        <v>7000000</v>
      </c>
      <c r="Y34" s="7"/>
      <c r="Z34" s="7">
        <f t="shared" si="24"/>
        <v>15204779.802360002</v>
      </c>
      <c r="AA34" s="8">
        <f t="shared" si="25"/>
        <v>38505410.80236</v>
      </c>
      <c r="AB34" s="414">
        <f>+'[4]PPC ENE-MAR-11'!$G$208</f>
        <v>5040000</v>
      </c>
      <c r="AC34" s="414">
        <f>+'[4]PPC ABR-JUN-11'!$G$237</f>
        <v>5757713</v>
      </c>
      <c r="AD34" s="414">
        <f>+'[4]PPC JUL-SEP-11'!$G$217</f>
        <v>12502918</v>
      </c>
      <c r="AE34" s="414">
        <f>+'[4]PPC OCT-DIC-11'!$G$223</f>
        <v>12458174</v>
      </c>
      <c r="AF34" s="414">
        <f t="shared" si="35"/>
        <v>35758805</v>
      </c>
      <c r="AG34" s="12">
        <f t="shared" si="26"/>
        <v>0</v>
      </c>
      <c r="AH34" s="12">
        <f t="shared" si="27"/>
        <v>0</v>
      </c>
      <c r="AI34" s="12">
        <f t="shared" si="28"/>
        <v>0</v>
      </c>
      <c r="AJ34" s="12">
        <f t="shared" si="29"/>
        <v>2746605.802360002</v>
      </c>
      <c r="AK34" s="7">
        <f t="shared" si="30"/>
        <v>38505410.80236</v>
      </c>
      <c r="AL34" s="141">
        <f t="shared" si="31"/>
        <v>0</v>
      </c>
      <c r="AM34" s="7">
        <f t="shared" si="32"/>
        <v>2746605.802359998</v>
      </c>
      <c r="AN34" s="130">
        <f t="shared" si="36"/>
        <v>0.9286696143443908</v>
      </c>
      <c r="AO34" s="130">
        <f t="shared" si="37"/>
        <v>1</v>
      </c>
      <c r="AP34" s="130">
        <f t="shared" si="38"/>
        <v>1</v>
      </c>
      <c r="AQ34" s="130">
        <f t="shared" si="39"/>
        <v>1</v>
      </c>
      <c r="AR34" s="169">
        <f t="shared" si="33"/>
        <v>0.8193590543196364</v>
      </c>
    </row>
    <row r="35" spans="1:44" ht="15">
      <c r="A35" s="168" t="s">
        <v>49</v>
      </c>
      <c r="B35" s="102">
        <v>25000000</v>
      </c>
      <c r="C35" s="102"/>
      <c r="D35" s="102"/>
      <c r="E35" s="102"/>
      <c r="F35" s="102">
        <v>8000000</v>
      </c>
      <c r="G35" s="102"/>
      <c r="H35" s="102"/>
      <c r="I35" s="8">
        <f t="shared" si="40"/>
        <v>33000000</v>
      </c>
      <c r="J35" s="7">
        <v>5750000</v>
      </c>
      <c r="K35" s="7"/>
      <c r="L35" s="7">
        <v>-1329900.75</v>
      </c>
      <c r="M35" s="7">
        <f t="shared" si="34"/>
        <v>4420099.25</v>
      </c>
      <c r="N35" s="7">
        <v>5750000</v>
      </c>
      <c r="O35" s="31">
        <v>4072108</v>
      </c>
      <c r="P35" s="7">
        <f t="shared" si="20"/>
        <v>-0.36999999918043613</v>
      </c>
      <c r="Q35" s="7">
        <f t="shared" si="21"/>
        <v>9822107.63</v>
      </c>
      <c r="R35" s="7">
        <v>8000000</v>
      </c>
      <c r="S35" s="7"/>
      <c r="T35" s="7">
        <v>-2245707</v>
      </c>
      <c r="U35" s="7">
        <f t="shared" si="22"/>
        <v>-57964.53000000119</v>
      </c>
      <c r="V35" s="7">
        <f t="shared" si="23"/>
        <v>5696328.469999999</v>
      </c>
      <c r="W35" s="7">
        <v>13061464.649999999</v>
      </c>
      <c r="X35" s="7"/>
      <c r="Y35" s="7"/>
      <c r="Z35" s="7">
        <f t="shared" si="24"/>
        <v>13061464.649999999</v>
      </c>
      <c r="AA35" s="8">
        <f t="shared" si="25"/>
        <v>33000000</v>
      </c>
      <c r="AB35" s="414">
        <f>+'[4]PPC ENE-MAR-11'!$G$214</f>
        <v>4420099.25</v>
      </c>
      <c r="AC35" s="414">
        <f>+'[4]PPC ABR-JUN-11'!$G$247</f>
        <v>9822107.63</v>
      </c>
      <c r="AD35" s="414">
        <f>+'[4]PPC JUL-SEP-11'!$G$229</f>
        <v>5696328.469999999</v>
      </c>
      <c r="AE35" s="414">
        <f>+'[4]PPC OCT-DIC-11'!$G$232</f>
        <v>7400412.22</v>
      </c>
      <c r="AF35" s="414">
        <f t="shared" si="35"/>
        <v>27338947.57</v>
      </c>
      <c r="AG35" s="12">
        <f t="shared" si="26"/>
        <v>0</v>
      </c>
      <c r="AH35" s="12">
        <f t="shared" si="27"/>
        <v>0</v>
      </c>
      <c r="AI35" s="12">
        <f t="shared" si="28"/>
        <v>0</v>
      </c>
      <c r="AJ35" s="12">
        <f t="shared" si="29"/>
        <v>5661052.429999999</v>
      </c>
      <c r="AK35" s="7">
        <f t="shared" si="30"/>
        <v>33000000</v>
      </c>
      <c r="AL35" s="141">
        <f t="shared" si="31"/>
        <v>0</v>
      </c>
      <c r="AM35" s="7">
        <f t="shared" si="32"/>
        <v>5661052.43</v>
      </c>
      <c r="AN35" s="130">
        <f t="shared" si="36"/>
        <v>0.8284529566666666</v>
      </c>
      <c r="AO35" s="130">
        <f t="shared" si="37"/>
        <v>1</v>
      </c>
      <c r="AP35" s="130">
        <f t="shared" si="38"/>
        <v>1</v>
      </c>
      <c r="AQ35" s="130">
        <f t="shared" si="39"/>
        <v>1</v>
      </c>
      <c r="AR35" s="169">
        <f t="shared" si="33"/>
        <v>0.5665836426698135</v>
      </c>
    </row>
    <row r="36" spans="1:44" ht="15.75" thickBot="1">
      <c r="A36" s="168"/>
      <c r="B36" s="102"/>
      <c r="C36" s="102"/>
      <c r="D36" s="102"/>
      <c r="E36" s="102"/>
      <c r="F36" s="102"/>
      <c r="G36" s="102"/>
      <c r="H36" s="102"/>
      <c r="I36" s="8"/>
      <c r="J36" s="7"/>
      <c r="K36" s="7"/>
      <c r="L36" s="7"/>
      <c r="M36" s="7"/>
      <c r="N36" s="7"/>
      <c r="O36" s="31"/>
      <c r="P36" s="7"/>
      <c r="Q36" s="7"/>
      <c r="R36" s="7"/>
      <c r="S36" s="7"/>
      <c r="T36" s="7"/>
      <c r="U36" s="7"/>
      <c r="V36" s="7"/>
      <c r="W36" s="7"/>
      <c r="X36" s="7"/>
      <c r="Y36" s="7"/>
      <c r="Z36" s="7">
        <f t="shared" si="24"/>
        <v>0</v>
      </c>
      <c r="AA36" s="8"/>
      <c r="AB36" s="414"/>
      <c r="AC36" s="414"/>
      <c r="AD36" s="414"/>
      <c r="AE36" s="414"/>
      <c r="AF36" s="414"/>
      <c r="AG36" s="12"/>
      <c r="AH36" s="12"/>
      <c r="AI36" s="12"/>
      <c r="AJ36" s="12">
        <v>0</v>
      </c>
      <c r="AK36" s="7"/>
      <c r="AL36" s="141"/>
      <c r="AM36" s="7"/>
      <c r="AN36" s="130"/>
      <c r="AO36" s="130"/>
      <c r="AP36" s="130"/>
      <c r="AQ36" s="130"/>
      <c r="AR36" s="169"/>
    </row>
    <row r="37" spans="1:44" ht="17.25" thickBot="1">
      <c r="A37" s="50" t="s">
        <v>51</v>
      </c>
      <c r="B37" s="50">
        <f aca="true" t="shared" si="41" ref="B37:H37">SUM(B25:B36)</f>
        <v>325320679.59525996</v>
      </c>
      <c r="C37" s="50">
        <f t="shared" si="41"/>
        <v>0</v>
      </c>
      <c r="D37" s="50">
        <f t="shared" si="41"/>
        <v>0</v>
      </c>
      <c r="E37" s="50">
        <f t="shared" si="41"/>
        <v>0</v>
      </c>
      <c r="F37" s="50">
        <f t="shared" si="41"/>
        <v>8000000</v>
      </c>
      <c r="G37" s="50">
        <f>SUM(G25:G36)</f>
        <v>7000000</v>
      </c>
      <c r="H37" s="50">
        <f t="shared" si="41"/>
        <v>0</v>
      </c>
      <c r="I37" s="50">
        <f aca="true" t="shared" si="42" ref="I37:AM37">SUM(I25:I36)</f>
        <v>340320679.59525996</v>
      </c>
      <c r="J37" s="50">
        <f t="shared" si="42"/>
        <v>82996274.0275</v>
      </c>
      <c r="K37" s="50"/>
      <c r="L37" s="50">
        <f>SUM(L25:L36)</f>
        <v>-16734445.7775</v>
      </c>
      <c r="M37" s="50">
        <f t="shared" si="42"/>
        <v>66261828.25</v>
      </c>
      <c r="N37" s="50">
        <f t="shared" si="42"/>
        <v>82501267.19822499</v>
      </c>
      <c r="O37" s="50">
        <f>SUM(O25:O36)</f>
        <v>0</v>
      </c>
      <c r="P37" s="50">
        <f t="shared" si="42"/>
        <v>-474446.5682249996</v>
      </c>
      <c r="Q37" s="50">
        <f t="shared" si="42"/>
        <v>82026820.63</v>
      </c>
      <c r="R37" s="50">
        <f t="shared" si="42"/>
        <v>93883078.19822499</v>
      </c>
      <c r="S37" s="50">
        <f>SUM(S25:S36)</f>
        <v>0</v>
      </c>
      <c r="T37" s="50">
        <f>SUM(T25:T36)</f>
        <v>-2164974</v>
      </c>
      <c r="U37" s="50">
        <f>SUM(U25:U36)</f>
        <v>-4508600.928225001</v>
      </c>
      <c r="V37" s="50">
        <f t="shared" si="42"/>
        <v>87209503.27</v>
      </c>
      <c r="W37" s="50">
        <f t="shared" si="42"/>
        <v>97125855.24526</v>
      </c>
      <c r="X37" s="50">
        <f>SUM(X25:X36)</f>
        <v>7000000</v>
      </c>
      <c r="Y37" s="50">
        <f>SUM(Y25:Y36)</f>
        <v>0</v>
      </c>
      <c r="Z37" s="50">
        <f t="shared" si="42"/>
        <v>104125855.24526</v>
      </c>
      <c r="AA37" s="555">
        <f t="shared" si="42"/>
        <v>339624007.39526</v>
      </c>
      <c r="AB37" s="559">
        <f t="shared" si="42"/>
        <v>66261828.25</v>
      </c>
      <c r="AC37" s="50">
        <f t="shared" si="42"/>
        <v>82026820.63</v>
      </c>
      <c r="AD37" s="50">
        <f t="shared" si="42"/>
        <v>87209503.27</v>
      </c>
      <c r="AE37" s="50">
        <f>SUM(AE25:AE36)</f>
        <v>70421696.22</v>
      </c>
      <c r="AF37" s="50">
        <f t="shared" si="42"/>
        <v>305919848.37</v>
      </c>
      <c r="AG37" s="50">
        <f t="shared" si="42"/>
        <v>0</v>
      </c>
      <c r="AH37" s="50">
        <f t="shared" si="42"/>
        <v>0</v>
      </c>
      <c r="AI37" s="50">
        <f t="shared" si="42"/>
        <v>0</v>
      </c>
      <c r="AJ37" s="50">
        <f>SUM(AJ25:AJ36)</f>
        <v>33704159.02526</v>
      </c>
      <c r="AK37" s="50">
        <f t="shared" si="42"/>
        <v>339624007.39526</v>
      </c>
      <c r="AL37" s="50">
        <f t="shared" si="42"/>
        <v>696672.2000000002</v>
      </c>
      <c r="AM37" s="50">
        <f t="shared" si="42"/>
        <v>33704159.02526</v>
      </c>
      <c r="AN37" s="148">
        <f>+AF37/I37</f>
        <v>0.898916424161551</v>
      </c>
      <c r="AO37" s="148">
        <f>+AB37/M37</f>
        <v>1</v>
      </c>
      <c r="AP37" s="148">
        <f>+AC37/Q37</f>
        <v>1</v>
      </c>
      <c r="AQ37" s="148">
        <f>+AD37/V37</f>
        <v>1</v>
      </c>
      <c r="AR37" s="148">
        <f>+AE37/Z37</f>
        <v>0.676313256242913</v>
      </c>
    </row>
    <row r="38" spans="1:44" ht="16.5">
      <c r="A38" s="175"/>
      <c r="B38" s="211"/>
      <c r="C38" s="29"/>
      <c r="D38" s="29"/>
      <c r="E38" s="29"/>
      <c r="F38" s="29"/>
      <c r="G38" s="29"/>
      <c r="H38" s="29"/>
      <c r="I38" s="29"/>
      <c r="J38" s="18"/>
      <c r="K38" s="18"/>
      <c r="L38" s="18"/>
      <c r="M38" s="18"/>
      <c r="N38" s="18"/>
      <c r="O38" s="29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29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47"/>
      <c r="AO38" s="147"/>
      <c r="AP38" s="147"/>
      <c r="AQ38" s="147"/>
      <c r="AR38" s="212"/>
    </row>
    <row r="39" spans="1:44" ht="17.25" thickBot="1">
      <c r="A39" s="185" t="s">
        <v>52</v>
      </c>
      <c r="B39" s="210"/>
      <c r="C39" s="31"/>
      <c r="D39" s="31"/>
      <c r="E39" s="31"/>
      <c r="F39" s="31"/>
      <c r="G39" s="31"/>
      <c r="H39" s="31"/>
      <c r="I39" s="31"/>
      <c r="J39" s="27"/>
      <c r="K39" s="27"/>
      <c r="L39" s="27"/>
      <c r="M39" s="27"/>
      <c r="N39" s="27"/>
      <c r="O39" s="31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31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149"/>
      <c r="AO39" s="149"/>
      <c r="AP39" s="149"/>
      <c r="AQ39" s="149"/>
      <c r="AR39" s="172"/>
    </row>
    <row r="40" spans="1:44" ht="17.25" thickBot="1">
      <c r="A40" s="213" t="s">
        <v>158</v>
      </c>
      <c r="B40" s="122">
        <f aca="true" t="shared" si="43" ref="B40:AM40">+B42+B47+B54+B59+B61</f>
        <v>4625165946.33424</v>
      </c>
      <c r="C40" s="122">
        <f t="shared" si="43"/>
        <v>0</v>
      </c>
      <c r="D40" s="122">
        <f t="shared" si="43"/>
        <v>0</v>
      </c>
      <c r="E40" s="122">
        <f>+E42+E47+E54+E59+E61</f>
        <v>5600000</v>
      </c>
      <c r="F40" s="122">
        <f>+F42+F47+F54+F59+F61</f>
        <v>-258677677</v>
      </c>
      <c r="G40" s="122">
        <f>+G42+G47+G54+G59+G61</f>
        <v>270000000</v>
      </c>
      <c r="H40" s="122">
        <f>+H42+H47+H54+H59+H61</f>
        <v>0</v>
      </c>
      <c r="I40" s="122">
        <f t="shared" si="43"/>
        <v>4642088269.33424</v>
      </c>
      <c r="J40" s="122">
        <f t="shared" si="43"/>
        <v>1287838000</v>
      </c>
      <c r="K40" s="122"/>
      <c r="L40" s="122">
        <f>+L42+L47+L54+L59+L61</f>
        <v>-298419907.83</v>
      </c>
      <c r="M40" s="122">
        <f t="shared" si="43"/>
        <v>971703359.1700001</v>
      </c>
      <c r="N40" s="122">
        <f t="shared" si="43"/>
        <v>1431000000</v>
      </c>
      <c r="O40" s="122">
        <f>+O42+O47+O54+O59+O61</f>
        <v>0</v>
      </c>
      <c r="P40" s="122">
        <f>+P42+P47+P54+P59+P61</f>
        <v>-382244731.95</v>
      </c>
      <c r="Q40" s="122">
        <f t="shared" si="43"/>
        <v>1048755268.05</v>
      </c>
      <c r="R40" s="122">
        <f t="shared" si="43"/>
        <v>1255946259</v>
      </c>
      <c r="S40" s="122">
        <f>+S42+S47+S54+S59+S61</f>
        <v>-36700000</v>
      </c>
      <c r="T40" s="122">
        <f>+T42+T47+T54+T59+T61</f>
        <v>0</v>
      </c>
      <c r="U40" s="122">
        <f>+U42+U47+U54+U59+U61</f>
        <v>-75773648</v>
      </c>
      <c r="V40" s="122">
        <f t="shared" si="43"/>
        <v>1143472611</v>
      </c>
      <c r="W40" s="122">
        <f t="shared" si="43"/>
        <v>1148879979</v>
      </c>
      <c r="X40" s="122">
        <f>+X42+X47+X54+X59+X61</f>
        <v>270000000</v>
      </c>
      <c r="Y40" s="122">
        <f t="shared" si="43"/>
        <v>0</v>
      </c>
      <c r="Z40" s="122">
        <f t="shared" si="43"/>
        <v>1418879979</v>
      </c>
      <c r="AA40" s="554">
        <f t="shared" si="43"/>
        <v>4582811217.22</v>
      </c>
      <c r="AB40" s="558">
        <f t="shared" si="43"/>
        <v>971703359.1700001</v>
      </c>
      <c r="AC40" s="122">
        <f t="shared" si="43"/>
        <v>1048755268.05</v>
      </c>
      <c r="AD40" s="122">
        <f>+AD42+AD47+AD54+AD59+AD61</f>
        <v>1143472611</v>
      </c>
      <c r="AE40" s="122">
        <f>+AE42+AE47+AE54+AE59+AE61</f>
        <v>1342463740.6799998</v>
      </c>
      <c r="AF40" s="122">
        <f t="shared" si="43"/>
        <v>4506394978.9</v>
      </c>
      <c r="AG40" s="122">
        <f t="shared" si="43"/>
        <v>0</v>
      </c>
      <c r="AH40" s="122">
        <f t="shared" si="43"/>
        <v>0</v>
      </c>
      <c r="AI40" s="122">
        <f t="shared" si="43"/>
        <v>0</v>
      </c>
      <c r="AJ40" s="122">
        <f>+AJ42+AJ47+AJ54+AJ59+AJ61</f>
        <v>76416238.32</v>
      </c>
      <c r="AK40" s="122">
        <f t="shared" si="43"/>
        <v>4582811217.22</v>
      </c>
      <c r="AL40" s="122">
        <f t="shared" si="43"/>
        <v>59277052.114240006</v>
      </c>
      <c r="AM40" s="122">
        <f t="shared" si="43"/>
        <v>76416238.32</v>
      </c>
      <c r="AN40" s="148">
        <f>+AF40/I40</f>
        <v>0.9707689120582575</v>
      </c>
      <c r="AO40" s="148">
        <f>+AB40/M40</f>
        <v>1</v>
      </c>
      <c r="AP40" s="148">
        <f>+AC40/Q40</f>
        <v>1</v>
      </c>
      <c r="AQ40" s="148">
        <f>+AD40/V40</f>
        <v>1</v>
      </c>
      <c r="AR40" s="148">
        <f>+AE40/Z40</f>
        <v>0.9461432683165655</v>
      </c>
    </row>
    <row r="41" spans="1:44" ht="16.5">
      <c r="A41" s="214"/>
      <c r="B41" s="207"/>
      <c r="C41" s="18"/>
      <c r="D41" s="18"/>
      <c r="E41" s="18"/>
      <c r="F41" s="18"/>
      <c r="G41" s="18"/>
      <c r="H41" s="18"/>
      <c r="I41" s="15"/>
      <c r="J41" s="15"/>
      <c r="K41" s="15"/>
      <c r="L41" s="15"/>
      <c r="M41" s="15"/>
      <c r="N41" s="18"/>
      <c r="O41" s="18"/>
      <c r="P41" s="18"/>
      <c r="Q41" s="15"/>
      <c r="R41" s="15"/>
      <c r="S41" s="15"/>
      <c r="T41" s="15"/>
      <c r="U41" s="15"/>
      <c r="V41" s="15"/>
      <c r="W41" s="15"/>
      <c r="X41" s="15"/>
      <c r="Y41" s="18"/>
      <c r="Z41" s="15"/>
      <c r="AA41" s="16"/>
      <c r="AB41" s="15"/>
      <c r="AC41" s="15"/>
      <c r="AD41" s="15"/>
      <c r="AE41" s="15"/>
      <c r="AF41" s="15"/>
      <c r="AG41" s="44"/>
      <c r="AH41" s="15"/>
      <c r="AI41" s="18"/>
      <c r="AJ41" s="15"/>
      <c r="AK41" s="15"/>
      <c r="AL41" s="44"/>
      <c r="AM41" s="15"/>
      <c r="AN41" s="215"/>
      <c r="AO41" s="215"/>
      <c r="AP41" s="215"/>
      <c r="AQ41" s="215"/>
      <c r="AR41" s="216"/>
    </row>
    <row r="42" spans="1:44" ht="16.5">
      <c r="A42" s="217" t="s">
        <v>159</v>
      </c>
      <c r="B42" s="208">
        <f aca="true" t="shared" si="44" ref="B42:J42">SUM(B43:B46)</f>
        <v>2626640348.00064</v>
      </c>
      <c r="C42" s="19">
        <f t="shared" si="44"/>
        <v>0</v>
      </c>
      <c r="D42" s="19">
        <f t="shared" si="44"/>
        <v>0</v>
      </c>
      <c r="E42" s="19">
        <f t="shared" si="44"/>
        <v>-218000000</v>
      </c>
      <c r="F42" s="19">
        <f t="shared" si="44"/>
        <v>-152020122</v>
      </c>
      <c r="G42" s="19">
        <f t="shared" si="44"/>
        <v>270000000</v>
      </c>
      <c r="H42" s="415">
        <f t="shared" si="44"/>
        <v>0</v>
      </c>
      <c r="I42" s="20">
        <f t="shared" si="44"/>
        <v>2526620226.00064</v>
      </c>
      <c r="J42" s="19">
        <f t="shared" si="44"/>
        <v>641775000</v>
      </c>
      <c r="K42" s="19"/>
      <c r="L42" s="19">
        <f aca="true" t="shared" si="45" ref="L42:AD42">SUM(L43:L46)</f>
        <v>-172407481.57999998</v>
      </c>
      <c r="M42" s="19">
        <f t="shared" si="45"/>
        <v>469367518.42</v>
      </c>
      <c r="N42" s="21">
        <f t="shared" si="45"/>
        <v>904200000</v>
      </c>
      <c r="O42" s="19">
        <f t="shared" si="45"/>
        <v>0</v>
      </c>
      <c r="P42" s="19">
        <f t="shared" si="45"/>
        <v>-319836332.2</v>
      </c>
      <c r="Q42" s="46">
        <f t="shared" si="45"/>
        <v>584363667.8</v>
      </c>
      <c r="R42" s="19">
        <f t="shared" si="45"/>
        <v>667946259</v>
      </c>
      <c r="S42" s="21">
        <f t="shared" si="45"/>
        <v>0</v>
      </c>
      <c r="T42" s="21">
        <f t="shared" si="45"/>
        <v>0</v>
      </c>
      <c r="U42" s="21">
        <f t="shared" si="45"/>
        <v>-17090882</v>
      </c>
      <c r="V42" s="46">
        <f t="shared" si="45"/>
        <v>650855377</v>
      </c>
      <c r="W42" s="20">
        <f t="shared" si="45"/>
        <v>552033643</v>
      </c>
      <c r="X42" s="20">
        <f t="shared" si="45"/>
        <v>270000000</v>
      </c>
      <c r="Y42" s="20">
        <f t="shared" si="45"/>
        <v>0</v>
      </c>
      <c r="Z42" s="20">
        <f t="shared" si="45"/>
        <v>822033643</v>
      </c>
      <c r="AA42" s="20">
        <f t="shared" si="45"/>
        <v>2526620206.2200003</v>
      </c>
      <c r="AB42" s="415">
        <f t="shared" si="45"/>
        <v>469367518.42</v>
      </c>
      <c r="AC42" s="464">
        <f t="shared" si="45"/>
        <v>584363667.8</v>
      </c>
      <c r="AD42" s="464">
        <f t="shared" si="45"/>
        <v>650855377</v>
      </c>
      <c r="AE42" s="464">
        <f>+'[4]PPC OCT-DIC-11'!$G$252</f>
        <v>784687978.68</v>
      </c>
      <c r="AF42" s="464">
        <f>SUM(AF43:AF46)</f>
        <v>2489274541.9</v>
      </c>
      <c r="AG42" s="20">
        <f aca="true" t="shared" si="46" ref="AG42:AG60">+M42-AB42</f>
        <v>0</v>
      </c>
      <c r="AH42" s="20">
        <f>SUM(AH43:AH46)</f>
        <v>0</v>
      </c>
      <c r="AI42" s="20">
        <f>SUM(AI43:AI46)</f>
        <v>0</v>
      </c>
      <c r="AJ42" s="20">
        <f>SUM(AJ43:AJ46)</f>
        <v>37345664.32</v>
      </c>
      <c r="AK42" s="20">
        <f aca="true" t="shared" si="47" ref="AK42:AK66">+AA42</f>
        <v>2526620206.2200003</v>
      </c>
      <c r="AL42" s="20">
        <f>SUM(AL43:AL46)</f>
        <v>19.780640065670013</v>
      </c>
      <c r="AM42" s="20">
        <f>SUM(AM43:AM46)</f>
        <v>37345664.31999999</v>
      </c>
      <c r="AN42" s="133">
        <f aca="true" t="shared" si="48" ref="AN42:AN47">+AF42/I42</f>
        <v>0.9852191145640617</v>
      </c>
      <c r="AO42" s="133">
        <f>+AB42/M42</f>
        <v>1</v>
      </c>
      <c r="AP42" s="133">
        <f aca="true" t="shared" si="49" ref="AP42:AP47">+AC42/Q42</f>
        <v>1</v>
      </c>
      <c r="AQ42" s="133">
        <f>+AD42/V42</f>
        <v>1</v>
      </c>
      <c r="AR42" s="176">
        <f>+AE42/Z42</f>
        <v>0.9545691777483613</v>
      </c>
    </row>
    <row r="43" spans="1:44" ht="15" hidden="1" outlineLevel="1">
      <c r="A43" s="187" t="s">
        <v>160</v>
      </c>
      <c r="B43" s="209">
        <v>1456755237.58464</v>
      </c>
      <c r="C43" s="8">
        <v>0</v>
      </c>
      <c r="D43" s="8"/>
      <c r="E43" s="8"/>
      <c r="F43" s="8">
        <v>-103940213</v>
      </c>
      <c r="G43" s="8">
        <v>270000000</v>
      </c>
      <c r="H43" s="427">
        <f>-44000000-1494886</f>
        <v>-45494886</v>
      </c>
      <c r="I43" s="8">
        <f>SUM(B43:H43)</f>
        <v>1577320138.58464</v>
      </c>
      <c r="J43" s="7">
        <v>350000000</v>
      </c>
      <c r="K43" s="7"/>
      <c r="L43" s="7">
        <v>-117657512.57999998</v>
      </c>
      <c r="M43" s="7">
        <f>+SUM(J43:L43)</f>
        <v>232342487.42000002</v>
      </c>
      <c r="N43" s="7">
        <v>664700000</v>
      </c>
      <c r="O43" s="8"/>
      <c r="P43" s="7">
        <f>+AC43-N43-O43</f>
        <v>-310192563.2</v>
      </c>
      <c r="Q43" s="7">
        <f>+SUM(N43:P43)</f>
        <v>354507436.8</v>
      </c>
      <c r="R43" s="7">
        <f>420000000+2270900</f>
        <v>422270900</v>
      </c>
      <c r="S43" s="7"/>
      <c r="T43" s="7"/>
      <c r="U43" s="7">
        <f>-R43-S43-T43+AD43</f>
        <v>0</v>
      </c>
      <c r="V43" s="7">
        <f>+SUM(R43:U43)</f>
        <v>422270900</v>
      </c>
      <c r="W43" s="7">
        <f>299694200-1494886</f>
        <v>298199314</v>
      </c>
      <c r="X43" s="7">
        <v>270000000</v>
      </c>
      <c r="Y43" s="8"/>
      <c r="Z43" s="7">
        <f>+SUM(W43:Y43)</f>
        <v>568199314</v>
      </c>
      <c r="AA43" s="8">
        <f>+M43+Q43+V43+Z43</f>
        <v>1577320138.22</v>
      </c>
      <c r="AB43" s="414">
        <f>+'[4]PPC ENE-MAR-11'!$G$234</f>
        <v>232342487.42000002</v>
      </c>
      <c r="AC43" s="414">
        <f>+'[4]PPC ABR-JUN-11'!$G$270</f>
        <v>354507436.8</v>
      </c>
      <c r="AD43" s="414">
        <f>+'[4]PPC JUL-SEP-11'!$G$248</f>
        <v>422270900</v>
      </c>
      <c r="AE43" s="414">
        <f>+'[4]PPC OCT-DIC-11'!$G$253</f>
        <v>530863202</v>
      </c>
      <c r="AF43" s="414">
        <f>SUM(AB43:AE43)</f>
        <v>1539984026.22</v>
      </c>
      <c r="AG43" s="12">
        <f t="shared" si="46"/>
        <v>0</v>
      </c>
      <c r="AH43" s="12">
        <f>+Q43-AC43</f>
        <v>0</v>
      </c>
      <c r="AI43" s="12">
        <f>+V43-AD43</f>
        <v>0</v>
      </c>
      <c r="AJ43" s="12">
        <f aca="true" t="shared" si="50" ref="AJ43:AJ60">+Z43-AE43</f>
        <v>37336112</v>
      </c>
      <c r="AK43" s="12">
        <f t="shared" si="47"/>
        <v>1577320138.22</v>
      </c>
      <c r="AL43" s="12">
        <f aca="true" t="shared" si="51" ref="AL43:AL60">+I43-AK43</f>
        <v>0.3646399974822998</v>
      </c>
      <c r="AM43" s="12">
        <f>+AK43-AF43</f>
        <v>37336112</v>
      </c>
      <c r="AN43" s="130">
        <f t="shared" si="48"/>
        <v>0.9763294010826855</v>
      </c>
      <c r="AO43" s="130">
        <f>+AB43/M43</f>
        <v>1</v>
      </c>
      <c r="AP43" s="130">
        <f t="shared" si="49"/>
        <v>1</v>
      </c>
      <c r="AQ43" s="130">
        <f>+AD43/V43</f>
        <v>1</v>
      </c>
      <c r="AR43" s="169">
        <f aca="true" t="shared" si="52" ref="AR43:AR66">+AE43/Z43</f>
        <v>0.9342904662500173</v>
      </c>
    </row>
    <row r="44" spans="1:44" ht="16.5" hidden="1" outlineLevel="1">
      <c r="A44" s="187" t="s">
        <v>161</v>
      </c>
      <c r="B44" s="209">
        <v>90875000</v>
      </c>
      <c r="C44" s="8"/>
      <c r="D44" s="8"/>
      <c r="E44" s="8"/>
      <c r="F44" s="8"/>
      <c r="G44" s="8"/>
      <c r="H44" s="427"/>
      <c r="I44" s="8">
        <f>SUM(B44:H44)</f>
        <v>90875000</v>
      </c>
      <c r="J44" s="7">
        <v>53475000</v>
      </c>
      <c r="K44" s="7"/>
      <c r="L44" s="7">
        <v>-46259</v>
      </c>
      <c r="M44" s="7">
        <f>+SUM(J44:L44)</f>
        <v>53428741</v>
      </c>
      <c r="N44" s="7">
        <v>19500000</v>
      </c>
      <c r="O44" s="8"/>
      <c r="P44" s="7">
        <f>+AC44-N44-O44</f>
        <v>-988668</v>
      </c>
      <c r="Q44" s="7">
        <f>+SUM(N44:P44)</f>
        <v>18511332</v>
      </c>
      <c r="R44" s="7">
        <f>17946259-2200000-2270900</f>
        <v>13475359</v>
      </c>
      <c r="S44" s="7"/>
      <c r="T44" s="7"/>
      <c r="U44" s="7">
        <f>-R44-S44-T44+AD44</f>
        <v>-1494351</v>
      </c>
      <c r="V44" s="7">
        <f>+SUM(R44:U44)</f>
        <v>11981008</v>
      </c>
      <c r="W44" s="7">
        <v>6953919</v>
      </c>
      <c r="X44" s="7"/>
      <c r="Y44" s="7"/>
      <c r="Z44" s="7">
        <f>+SUM(W44:Y44)</f>
        <v>6953919</v>
      </c>
      <c r="AA44" s="8">
        <f>+M44+Q44+V44+Z44</f>
        <v>90875000</v>
      </c>
      <c r="AB44" s="414">
        <f>+'[4]PPC ENE-MAR-11'!$G$269</f>
        <v>53428741</v>
      </c>
      <c r="AC44" s="414">
        <f>+'[4]PPC ABR-JUN-11'!$G$323</f>
        <v>18511332</v>
      </c>
      <c r="AD44" s="414">
        <f>+'[4]PPC JUL-SEP-11'!$G$324</f>
        <v>11981008</v>
      </c>
      <c r="AE44" s="414">
        <f>+'[4]PPC OCT-DIC-11'!$G$363</f>
        <v>6944766.68</v>
      </c>
      <c r="AF44" s="414">
        <f>SUM(AB44:AE44)</f>
        <v>90865847.68</v>
      </c>
      <c r="AG44" s="36">
        <f t="shared" si="46"/>
        <v>0</v>
      </c>
      <c r="AH44" s="36">
        <f>+AH45+SUM(AH48:AH53)</f>
        <v>0</v>
      </c>
      <c r="AI44" s="7">
        <f>+AI45+SUM(AI48:AI53)</f>
        <v>0</v>
      </c>
      <c r="AJ44" s="7">
        <f t="shared" si="50"/>
        <v>9152.320000000298</v>
      </c>
      <c r="AK44" s="7">
        <f t="shared" si="47"/>
        <v>90875000</v>
      </c>
      <c r="AL44" s="7">
        <f t="shared" si="51"/>
        <v>0</v>
      </c>
      <c r="AM44" s="7">
        <f aca="true" t="shared" si="53" ref="AM44:AM66">+AK44-AF44</f>
        <v>9152.319999992847</v>
      </c>
      <c r="AN44" s="133">
        <f t="shared" si="48"/>
        <v>0.9998992867125173</v>
      </c>
      <c r="AO44" s="133">
        <f>+AB44/M44</f>
        <v>1</v>
      </c>
      <c r="AP44" s="133">
        <f t="shared" si="49"/>
        <v>1</v>
      </c>
      <c r="AQ44" s="133">
        <f>+AD44/V44</f>
        <v>1</v>
      </c>
      <c r="AR44" s="176">
        <f t="shared" si="52"/>
        <v>0.9986838615750341</v>
      </c>
    </row>
    <row r="45" spans="1:44" ht="15" hidden="1" outlineLevel="1">
      <c r="A45" s="187" t="s">
        <v>162</v>
      </c>
      <c r="B45" s="209">
        <v>717284324.7360001</v>
      </c>
      <c r="C45" s="8"/>
      <c r="D45" s="8"/>
      <c r="E45" s="8">
        <v>-20000000</v>
      </c>
      <c r="F45" s="8">
        <v>-48079909</v>
      </c>
      <c r="G45" s="8"/>
      <c r="H45" s="427">
        <f>554723+1494886</f>
        <v>2049609</v>
      </c>
      <c r="I45" s="8">
        <f>SUM(B45:H45)</f>
        <v>651254024.7360001</v>
      </c>
      <c r="J45" s="7">
        <v>180300000</v>
      </c>
      <c r="K45" s="7"/>
      <c r="L45" s="7">
        <v>-19783451</v>
      </c>
      <c r="M45" s="7">
        <f>+SUM(J45:L45)</f>
        <v>160516549</v>
      </c>
      <c r="N45" s="7">
        <v>170000000</v>
      </c>
      <c r="O45" s="8"/>
      <c r="P45" s="7">
        <f>+AC45-N45-O45</f>
        <v>-8312133</v>
      </c>
      <c r="Q45" s="7">
        <f>+SUM(N45:P45)</f>
        <v>161687867</v>
      </c>
      <c r="R45" s="7">
        <v>180000000</v>
      </c>
      <c r="S45" s="7"/>
      <c r="T45" s="7"/>
      <c r="U45" s="7">
        <f>-R45-S45-T45+AD45</f>
        <v>-15541851</v>
      </c>
      <c r="V45" s="7">
        <f>+SUM(R45:U45)</f>
        <v>164458149</v>
      </c>
      <c r="W45" s="7">
        <f>162541851+554723+1494866</f>
        <v>164591440</v>
      </c>
      <c r="X45" s="7"/>
      <c r="Y45" s="7"/>
      <c r="Z45" s="7">
        <f>+SUM(W45:Y45)</f>
        <v>164591440</v>
      </c>
      <c r="AA45" s="8">
        <f>+M45+Q45+V45+Z45</f>
        <v>651254005</v>
      </c>
      <c r="AB45" s="414">
        <f>+'[4]PPC ENE-MAR-11'!$G$285</f>
        <v>160516549</v>
      </c>
      <c r="AC45" s="414">
        <f>+'[4]PPC ABR-JUN-11'!$G$339</f>
        <v>161687867</v>
      </c>
      <c r="AD45" s="414">
        <f>+'[4]PPC JUL-SEP-11'!$G$342</f>
        <v>164458149</v>
      </c>
      <c r="AE45" s="414">
        <f>+'[4]PPC OCT-DIC-11'!$G$375</f>
        <v>164591040</v>
      </c>
      <c r="AF45" s="414">
        <f>SUM(AB45:AE45)</f>
        <v>651253605</v>
      </c>
      <c r="AG45" s="12">
        <f t="shared" si="46"/>
        <v>0</v>
      </c>
      <c r="AH45" s="12">
        <f>+Q45-AC45</f>
        <v>0</v>
      </c>
      <c r="AI45" s="12">
        <f aca="true" t="shared" si="54" ref="AI45:AI60">+V45-AD45</f>
        <v>0</v>
      </c>
      <c r="AJ45" s="12">
        <f t="shared" si="50"/>
        <v>400</v>
      </c>
      <c r="AK45" s="12">
        <f t="shared" si="47"/>
        <v>651254005</v>
      </c>
      <c r="AL45" s="12">
        <f t="shared" si="51"/>
        <v>19.736000061035156</v>
      </c>
      <c r="AM45" s="12">
        <f t="shared" si="53"/>
        <v>400</v>
      </c>
      <c r="AN45" s="130">
        <f t="shared" si="48"/>
        <v>0.9999993554957296</v>
      </c>
      <c r="AO45" s="130">
        <f>+AB45/M45</f>
        <v>1</v>
      </c>
      <c r="AP45" s="130">
        <f t="shared" si="49"/>
        <v>1</v>
      </c>
      <c r="AQ45" s="130">
        <f>+AD45/V45</f>
        <v>1</v>
      </c>
      <c r="AR45" s="169">
        <f t="shared" si="52"/>
        <v>0.9999975697399573</v>
      </c>
    </row>
    <row r="46" spans="1:44" ht="15" hidden="1" outlineLevel="1">
      <c r="A46" s="187" t="s">
        <v>163</v>
      </c>
      <c r="B46" s="209">
        <v>361725785.68</v>
      </c>
      <c r="C46" s="8">
        <v>0</v>
      </c>
      <c r="D46" s="8"/>
      <c r="E46" s="8">
        <v>-198000000</v>
      </c>
      <c r="F46" s="8"/>
      <c r="G46" s="8"/>
      <c r="H46" s="427">
        <f>44000000-554723</f>
        <v>43445277</v>
      </c>
      <c r="I46" s="8">
        <f>SUM(B46:H46)</f>
        <v>207171062.68</v>
      </c>
      <c r="J46" s="7">
        <v>58000000</v>
      </c>
      <c r="K46" s="7"/>
      <c r="L46" s="7">
        <v>-34920259</v>
      </c>
      <c r="M46" s="7">
        <f>+SUM(J46:L46)</f>
        <v>23079741</v>
      </c>
      <c r="N46" s="7">
        <v>50000000</v>
      </c>
      <c r="O46" s="8"/>
      <c r="P46" s="7">
        <f>+AC46-N46-O46</f>
        <v>-342968</v>
      </c>
      <c r="Q46" s="7">
        <f>+SUM(N46:P46)</f>
        <v>49657032</v>
      </c>
      <c r="R46" s="7">
        <f>50000000+2200000</f>
        <v>52200000</v>
      </c>
      <c r="S46" s="7"/>
      <c r="T46" s="7"/>
      <c r="U46" s="7">
        <f>-R46-S46-T46+AD46</f>
        <v>-54680</v>
      </c>
      <c r="V46" s="7">
        <f>+SUM(R46:U46)</f>
        <v>52145320</v>
      </c>
      <c r="W46" s="7">
        <f>82843693-554723</f>
        <v>82288970</v>
      </c>
      <c r="X46" s="7"/>
      <c r="Y46" s="7"/>
      <c r="Z46" s="7">
        <f>+SUM(W46:Y46)</f>
        <v>82288970</v>
      </c>
      <c r="AA46" s="8">
        <f>+M46+Q46+V46+Z46</f>
        <v>207171063</v>
      </c>
      <c r="AB46" s="414">
        <f>+'[4]PPC ENE-MAR-11'!$G$393</f>
        <v>23079741</v>
      </c>
      <c r="AC46" s="414">
        <f>+'[4]PPC ABR-JUN-11'!$G$455</f>
        <v>49657032</v>
      </c>
      <c r="AD46" s="414">
        <f>+'[4]PPC JUL-SEP-11'!$G$455</f>
        <v>52145320</v>
      </c>
      <c r="AE46" s="414">
        <f>+'[4]PPC OCT-DIC-11'!$G$483</f>
        <v>82288970</v>
      </c>
      <c r="AF46" s="414">
        <f>SUM(AB46:AE46)</f>
        <v>207171063</v>
      </c>
      <c r="AG46" s="12">
        <f t="shared" si="46"/>
        <v>0</v>
      </c>
      <c r="AH46" s="12">
        <f>+Q46-AC46</f>
        <v>0</v>
      </c>
      <c r="AI46" s="12">
        <f t="shared" si="54"/>
        <v>0</v>
      </c>
      <c r="AJ46" s="12">
        <f t="shared" si="50"/>
        <v>0</v>
      </c>
      <c r="AK46" s="12">
        <f t="shared" si="47"/>
        <v>207171063</v>
      </c>
      <c r="AL46" s="12">
        <f t="shared" si="51"/>
        <v>-0.3199999928474426</v>
      </c>
      <c r="AM46" s="12">
        <f t="shared" si="53"/>
        <v>0</v>
      </c>
      <c r="AN46" s="130">
        <f t="shared" si="48"/>
        <v>1.0000000015446173</v>
      </c>
      <c r="AO46" s="130">
        <v>0</v>
      </c>
      <c r="AP46" s="130">
        <f t="shared" si="49"/>
        <v>1</v>
      </c>
      <c r="AQ46" s="130">
        <f>+AD46/V46</f>
        <v>1</v>
      </c>
      <c r="AR46" s="169">
        <f t="shared" si="52"/>
        <v>1</v>
      </c>
    </row>
    <row r="47" spans="1:44" ht="16.5" collapsed="1">
      <c r="A47" s="217" t="s">
        <v>164</v>
      </c>
      <c r="B47" s="208">
        <f aca="true" t="shared" si="55" ref="B47:N47">+B48+B52</f>
        <v>283325000</v>
      </c>
      <c r="C47" s="36">
        <f t="shared" si="55"/>
        <v>0</v>
      </c>
      <c r="D47" s="36">
        <f t="shared" si="55"/>
        <v>0</v>
      </c>
      <c r="E47" s="36">
        <f>+E48+E52</f>
        <v>0</v>
      </c>
      <c r="F47" s="36">
        <f>+F48+F52</f>
        <v>0</v>
      </c>
      <c r="G47" s="36">
        <f>+G48+G52</f>
        <v>0</v>
      </c>
      <c r="H47" s="430">
        <f>+H48+H52</f>
        <v>0</v>
      </c>
      <c r="I47" s="19">
        <f t="shared" si="55"/>
        <v>283325000</v>
      </c>
      <c r="J47" s="21">
        <f t="shared" si="55"/>
        <v>103913000</v>
      </c>
      <c r="K47" s="21"/>
      <c r="L47" s="21">
        <f t="shared" si="55"/>
        <v>-112644</v>
      </c>
      <c r="M47" s="21">
        <f t="shared" si="55"/>
        <v>86085623</v>
      </c>
      <c r="N47" s="21">
        <f t="shared" si="55"/>
        <v>38600000</v>
      </c>
      <c r="O47" s="21">
        <f aca="true" t="shared" si="56" ref="O47:V47">+O48+O52</f>
        <v>0</v>
      </c>
      <c r="P47" s="21">
        <f>+P48+P52</f>
        <v>-3998312</v>
      </c>
      <c r="Q47" s="21">
        <f t="shared" si="56"/>
        <v>34601688</v>
      </c>
      <c r="R47" s="21">
        <f t="shared" si="56"/>
        <v>107000000</v>
      </c>
      <c r="S47" s="21">
        <f>+S48+S52</f>
        <v>0</v>
      </c>
      <c r="T47" s="21">
        <f>+T48+T52</f>
        <v>0</v>
      </c>
      <c r="U47" s="21">
        <f>+U48+U52</f>
        <v>-11717402</v>
      </c>
      <c r="V47" s="21">
        <f t="shared" si="56"/>
        <v>95282598</v>
      </c>
      <c r="W47" s="21">
        <f aca="true" t="shared" si="57" ref="W47:AF47">+W48+W52</f>
        <v>52498153</v>
      </c>
      <c r="X47" s="21">
        <f>+X48+X52</f>
        <v>0</v>
      </c>
      <c r="Y47" s="21">
        <f t="shared" si="57"/>
        <v>0</v>
      </c>
      <c r="Z47" s="21">
        <f t="shared" si="57"/>
        <v>52498153</v>
      </c>
      <c r="AA47" s="20">
        <f t="shared" si="57"/>
        <v>268468062</v>
      </c>
      <c r="AB47" s="430">
        <f t="shared" si="57"/>
        <v>86085623</v>
      </c>
      <c r="AC47" s="464">
        <f t="shared" si="57"/>
        <v>34601688</v>
      </c>
      <c r="AD47" s="464">
        <f>+AD48+AD52</f>
        <v>95282598</v>
      </c>
      <c r="AE47" s="464">
        <f>+'[4]PPC OCT-DIC-11'!$G$543</f>
        <v>50924205</v>
      </c>
      <c r="AF47" s="464">
        <f t="shared" si="57"/>
        <v>266894114</v>
      </c>
      <c r="AG47" s="22">
        <f t="shared" si="46"/>
        <v>0</v>
      </c>
      <c r="AH47" s="22">
        <f>+Q47-AC47</f>
        <v>0</v>
      </c>
      <c r="AI47" s="21">
        <f t="shared" si="54"/>
        <v>0</v>
      </c>
      <c r="AJ47" s="21">
        <f t="shared" si="50"/>
        <v>1573948</v>
      </c>
      <c r="AK47" s="21">
        <f t="shared" si="47"/>
        <v>268468062</v>
      </c>
      <c r="AL47" s="21">
        <f t="shared" si="51"/>
        <v>14856938</v>
      </c>
      <c r="AM47" s="21">
        <f t="shared" si="53"/>
        <v>1573948</v>
      </c>
      <c r="AN47" s="133">
        <f t="shared" si="48"/>
        <v>0.9420069319685873</v>
      </c>
      <c r="AO47" s="130">
        <v>0</v>
      </c>
      <c r="AP47" s="130">
        <f t="shared" si="49"/>
        <v>1</v>
      </c>
      <c r="AQ47" s="130">
        <f>+AE47/V47</f>
        <v>0.5344544131762654</v>
      </c>
      <c r="AR47" s="169">
        <f t="shared" si="52"/>
        <v>0.9700189833345184</v>
      </c>
    </row>
    <row r="48" spans="1:44" ht="16.5" hidden="1" outlineLevel="1">
      <c r="A48" s="217" t="s">
        <v>165</v>
      </c>
      <c r="B48" s="208">
        <f>+SUM(B49:B51)</f>
        <v>212161670</v>
      </c>
      <c r="C48" s="36"/>
      <c r="D48" s="36"/>
      <c r="E48" s="208">
        <f>+SUM(E49:E51)</f>
        <v>0</v>
      </c>
      <c r="F48" s="36"/>
      <c r="G48" s="36"/>
      <c r="H48" s="430">
        <f>+SUM(H49:H51)</f>
        <v>5500000</v>
      </c>
      <c r="I48" s="19">
        <f>+SUM(I49:I51)</f>
        <v>217661670</v>
      </c>
      <c r="J48" s="21">
        <f>+SUM(J49:J51)</f>
        <v>86109670</v>
      </c>
      <c r="K48" s="21"/>
      <c r="L48" s="21">
        <f>+L49+L51</f>
        <v>-1808</v>
      </c>
      <c r="M48" s="21">
        <f>+SUM(M49:M51)</f>
        <v>68393129</v>
      </c>
      <c r="N48" s="21">
        <f>+SUM(N49:N51)</f>
        <v>20000000</v>
      </c>
      <c r="O48" s="21">
        <f aca="true" t="shared" si="58" ref="O48:V48">+SUM(O49:O51)</f>
        <v>0</v>
      </c>
      <c r="P48" s="21">
        <f>+SUM(P49:P51)</f>
        <v>-2442038</v>
      </c>
      <c r="Q48" s="21">
        <f t="shared" si="58"/>
        <v>17557962</v>
      </c>
      <c r="R48" s="21">
        <f t="shared" si="58"/>
        <v>79531145</v>
      </c>
      <c r="S48" s="21">
        <f>+SUM(S49:S51)</f>
        <v>0</v>
      </c>
      <c r="T48" s="21">
        <f>+SUM(T49:T51)</f>
        <v>0</v>
      </c>
      <c r="U48" s="21">
        <f>+SUM(U49:U51)</f>
        <v>-8648167</v>
      </c>
      <c r="V48" s="21">
        <f t="shared" si="58"/>
        <v>70882978</v>
      </c>
      <c r="W48" s="21">
        <f>+SUM(W49:W51)</f>
        <v>45970663</v>
      </c>
      <c r="X48" s="21">
        <f>+SUM(X49:X51)</f>
        <v>0</v>
      </c>
      <c r="Y48" s="21">
        <f>+SUM(Y49:Y51)</f>
        <v>0</v>
      </c>
      <c r="Z48" s="21">
        <f>+SUM(Z49:Z51)</f>
        <v>45970663</v>
      </c>
      <c r="AA48" s="20">
        <f>+SUM(AA49:AA51)</f>
        <v>202804732</v>
      </c>
      <c r="AB48" s="415">
        <f>+AB49+AB51+AB50</f>
        <v>68393129</v>
      </c>
      <c r="AC48" s="464">
        <f>SUM(AC49:AC51)</f>
        <v>17557962</v>
      </c>
      <c r="AD48" s="464">
        <f>+SUM(AD49:AD51)</f>
        <v>70882978</v>
      </c>
      <c r="AE48" s="464">
        <f>+'[4]PPC OCT-DIC-11'!$G$544</f>
        <v>44396715</v>
      </c>
      <c r="AF48" s="464">
        <f>+SUM(AF49:AF51)</f>
        <v>201230784</v>
      </c>
      <c r="AG48" s="22">
        <f t="shared" si="46"/>
        <v>0</v>
      </c>
      <c r="AH48" s="22">
        <f>+Q48-AC48</f>
        <v>0</v>
      </c>
      <c r="AI48" s="21">
        <f t="shared" si="54"/>
        <v>0</v>
      </c>
      <c r="AJ48" s="21">
        <f t="shared" si="50"/>
        <v>1573948</v>
      </c>
      <c r="AK48" s="21">
        <f t="shared" si="47"/>
        <v>202804732</v>
      </c>
      <c r="AL48" s="21">
        <f t="shared" si="51"/>
        <v>14856938</v>
      </c>
      <c r="AM48" s="21">
        <f t="shared" si="53"/>
        <v>1573948</v>
      </c>
      <c r="AN48" s="130">
        <v>0</v>
      </c>
      <c r="AO48" s="130">
        <v>0</v>
      </c>
      <c r="AP48" s="130">
        <v>0</v>
      </c>
      <c r="AQ48" s="130">
        <f aca="true" t="shared" si="59" ref="AQ48:AQ60">+AD48/V48</f>
        <v>1</v>
      </c>
      <c r="AR48" s="169">
        <f t="shared" si="52"/>
        <v>0.9657619034121827</v>
      </c>
    </row>
    <row r="49" spans="1:44" ht="16.5" hidden="1" outlineLevel="2">
      <c r="A49" s="187" t="s">
        <v>191</v>
      </c>
      <c r="B49" s="211">
        <f>22313000+1483689-203330</f>
        <v>23593359</v>
      </c>
      <c r="C49" s="8"/>
      <c r="D49" s="8"/>
      <c r="E49" s="8"/>
      <c r="F49" s="8"/>
      <c r="G49" s="8"/>
      <c r="H49" s="427"/>
      <c r="I49" s="8">
        <f>SUM(B49:H49)</f>
        <v>23593359</v>
      </c>
      <c r="J49" s="7">
        <f>22313000+1483689-203330</f>
        <v>23593359</v>
      </c>
      <c r="K49" s="7"/>
      <c r="L49" s="7">
        <v>0</v>
      </c>
      <c r="M49" s="7">
        <f aca="true" t="shared" si="60" ref="M49:M60">+SUM(J49:L49)</f>
        <v>23593359</v>
      </c>
      <c r="N49" s="7">
        <v>0</v>
      </c>
      <c r="O49" s="8"/>
      <c r="P49" s="7">
        <f>+AC49-N49-O49</f>
        <v>0</v>
      </c>
      <c r="Q49" s="7">
        <f>+SUM(N49:P49)</f>
        <v>0</v>
      </c>
      <c r="R49" s="7">
        <v>0</v>
      </c>
      <c r="S49" s="7"/>
      <c r="T49" s="7"/>
      <c r="U49" s="7">
        <f>-R49-S49-T49+AD49</f>
        <v>0</v>
      </c>
      <c r="V49" s="7">
        <f>+SUM(R49:U49)</f>
        <v>0</v>
      </c>
      <c r="W49" s="7">
        <f>+I49-M49-Q49-V49</f>
        <v>0</v>
      </c>
      <c r="X49" s="7"/>
      <c r="Y49" s="7"/>
      <c r="Z49" s="7">
        <f>+SUM(W49:Y49)</f>
        <v>0</v>
      </c>
      <c r="AA49" s="8">
        <f>+M49+Q49+V49+Z49</f>
        <v>23593359</v>
      </c>
      <c r="AB49" s="414">
        <f>+'[4]PPC ENE-MAR-11'!$G$439</f>
        <v>23593359</v>
      </c>
      <c r="AC49" s="414">
        <f>+'[4]PPC ABR-JUN-11'!$G$523</f>
        <v>0</v>
      </c>
      <c r="AD49" s="414">
        <f>+'[4]PPC JUL-SEP-11'!$G$512</f>
        <v>0</v>
      </c>
      <c r="AE49" s="414">
        <f>+'[4]PPC OCT-DIC-11'!$G$545</f>
        <v>0</v>
      </c>
      <c r="AF49" s="414">
        <f>SUM(AB49:AE49)</f>
        <v>23593359</v>
      </c>
      <c r="AG49" s="36">
        <f t="shared" si="46"/>
        <v>0</v>
      </c>
      <c r="AH49" s="36">
        <f>+AH51</f>
        <v>0</v>
      </c>
      <c r="AI49" s="7">
        <f t="shared" si="54"/>
        <v>0</v>
      </c>
      <c r="AJ49" s="7">
        <f t="shared" si="50"/>
        <v>0</v>
      </c>
      <c r="AK49" s="7">
        <f t="shared" si="47"/>
        <v>23593359</v>
      </c>
      <c r="AL49" s="7">
        <f t="shared" si="51"/>
        <v>0</v>
      </c>
      <c r="AM49" s="7">
        <f t="shared" si="53"/>
        <v>0</v>
      </c>
      <c r="AN49" s="133">
        <f aca="true" t="shared" si="61" ref="AN49:AN57">+AF49/I49</f>
        <v>1</v>
      </c>
      <c r="AO49" s="133">
        <f>+AB49/M49</f>
        <v>1</v>
      </c>
      <c r="AP49" s="130">
        <v>0</v>
      </c>
      <c r="AQ49" s="133" t="e">
        <f t="shared" si="59"/>
        <v>#DIV/0!</v>
      </c>
      <c r="AR49" s="176" t="e">
        <f t="shared" si="52"/>
        <v>#DIV/0!</v>
      </c>
    </row>
    <row r="50" spans="1:44" ht="16.5" hidden="1" outlineLevel="2">
      <c r="A50" s="187" t="s">
        <v>173</v>
      </c>
      <c r="B50" s="211">
        <f>142052000-2500000</f>
        <v>139552000</v>
      </c>
      <c r="C50" s="8"/>
      <c r="D50" s="8"/>
      <c r="E50" s="8"/>
      <c r="F50" s="8"/>
      <c r="G50" s="8"/>
      <c r="H50" s="427"/>
      <c r="I50" s="8">
        <f>SUM(B50:H50)</f>
        <v>139552000</v>
      </c>
      <c r="J50" s="7">
        <f>50000000-2500000</f>
        <v>47500000</v>
      </c>
      <c r="K50" s="7"/>
      <c r="L50" s="7">
        <v>-17714733</v>
      </c>
      <c r="M50" s="7">
        <f t="shared" si="60"/>
        <v>29785267</v>
      </c>
      <c r="N50" s="7">
        <v>20000000</v>
      </c>
      <c r="O50" s="8"/>
      <c r="P50" s="7">
        <f>+AC50-N50-O50</f>
        <v>-2442038</v>
      </c>
      <c r="Q50" s="7">
        <f>+SUM(N50:P50)</f>
        <v>17557962</v>
      </c>
      <c r="R50" s="7">
        <v>70000000</v>
      </c>
      <c r="S50" s="7"/>
      <c r="T50" s="7"/>
      <c r="U50" s="7">
        <f>-R50-S50-T50+AD50</f>
        <v>-8648167</v>
      </c>
      <c r="V50" s="7">
        <f>+SUM(R50:U50)</f>
        <v>61351833</v>
      </c>
      <c r="W50" s="7">
        <v>16000000</v>
      </c>
      <c r="X50" s="7"/>
      <c r="Y50" s="7"/>
      <c r="Z50" s="7">
        <f>+SUM(W50:Y50)</f>
        <v>16000000</v>
      </c>
      <c r="AA50" s="8">
        <f>+M50+Q50+V50+Z50</f>
        <v>124695062</v>
      </c>
      <c r="AB50" s="414">
        <f>+'[4]PPC ENE-MAR-11'!$G$459</f>
        <v>29785267</v>
      </c>
      <c r="AC50" s="414">
        <f>+'[4]PPC ABR-JUN-11'!$G$528</f>
        <v>17557962</v>
      </c>
      <c r="AD50" s="414">
        <f>+'[4]PPC JUL-SEP-11'!$G$516</f>
        <v>61351833</v>
      </c>
      <c r="AE50" s="414">
        <f>+'[4]PPC OCT-DIC-11'!$G$550</f>
        <v>14775272</v>
      </c>
      <c r="AF50" s="414">
        <f>SUM(AB50:AE50)</f>
        <v>123470334</v>
      </c>
      <c r="AG50" s="36">
        <f t="shared" si="46"/>
        <v>0</v>
      </c>
      <c r="AH50" s="36">
        <f>+AH52</f>
        <v>0</v>
      </c>
      <c r="AI50" s="7">
        <f t="shared" si="54"/>
        <v>0</v>
      </c>
      <c r="AJ50" s="7">
        <f t="shared" si="50"/>
        <v>1224728</v>
      </c>
      <c r="AK50" s="7">
        <f>+AA50</f>
        <v>124695062</v>
      </c>
      <c r="AL50" s="7">
        <f t="shared" si="51"/>
        <v>14856938</v>
      </c>
      <c r="AM50" s="7">
        <f>+AK50-AF50</f>
        <v>1224728</v>
      </c>
      <c r="AN50" s="133">
        <f t="shared" si="61"/>
        <v>0.884762196170603</v>
      </c>
      <c r="AO50" s="133">
        <f>+AB50/M50</f>
        <v>1</v>
      </c>
      <c r="AP50" s="130">
        <v>0</v>
      </c>
      <c r="AQ50" s="133">
        <f t="shared" si="59"/>
        <v>1</v>
      </c>
      <c r="AR50" s="176">
        <f>+AE50/Z50</f>
        <v>0.9234545</v>
      </c>
    </row>
    <row r="51" spans="1:44" ht="16.5" hidden="1" outlineLevel="2">
      <c r="A51" s="187" t="s">
        <v>174</v>
      </c>
      <c r="B51" s="211">
        <f>48000000+2500000-1483689</f>
        <v>49016311</v>
      </c>
      <c r="C51" s="8"/>
      <c r="D51" s="8"/>
      <c r="E51" s="8"/>
      <c r="F51" s="8"/>
      <c r="G51" s="8"/>
      <c r="H51" s="427">
        <v>5500000</v>
      </c>
      <c r="I51" s="8">
        <f>SUM(B51:H51)</f>
        <v>54516311</v>
      </c>
      <c r="J51" s="7">
        <f>13000000+2500000+1000000-1483689</f>
        <v>15016311</v>
      </c>
      <c r="K51" s="7"/>
      <c r="L51" s="7">
        <v>-1808</v>
      </c>
      <c r="M51" s="7">
        <f t="shared" si="60"/>
        <v>15014503</v>
      </c>
      <c r="N51" s="7">
        <v>0</v>
      </c>
      <c r="O51" s="8"/>
      <c r="P51" s="7">
        <f>+AC51-N51-O51</f>
        <v>0</v>
      </c>
      <c r="Q51" s="7">
        <f>+SUM(N51:P51)</f>
        <v>0</v>
      </c>
      <c r="R51" s="7">
        <f>12000000-2468855</f>
        <v>9531145</v>
      </c>
      <c r="S51" s="7"/>
      <c r="T51" s="7"/>
      <c r="U51" s="7">
        <f>-R51-S51-T51+AD51</f>
        <v>0</v>
      </c>
      <c r="V51" s="7">
        <f>+SUM(R51:U51)</f>
        <v>9531145</v>
      </c>
      <c r="W51" s="7">
        <f>24470663+5500000</f>
        <v>29970663</v>
      </c>
      <c r="X51" s="7"/>
      <c r="Y51" s="12"/>
      <c r="Z51" s="7">
        <f>+SUM(W51:Y51)</f>
        <v>29970663</v>
      </c>
      <c r="AA51" s="8">
        <f>+M51+Q51+V51+Z51</f>
        <v>54516311</v>
      </c>
      <c r="AB51" s="414">
        <f>+'[4]PPC ENE-MAR-11'!$G$479</f>
        <v>15014503</v>
      </c>
      <c r="AC51" s="414">
        <f>+'[4]PPC ABR-JUN-11'!$G$551</f>
        <v>0</v>
      </c>
      <c r="AD51" s="414">
        <f>+'[4]PPC JUL-SEP-11'!$G$560</f>
        <v>9531145</v>
      </c>
      <c r="AE51" s="414">
        <f>+'[4]PPC OCT-DIC-11'!$G$574</f>
        <v>29621443</v>
      </c>
      <c r="AF51" s="414">
        <f>SUM(AB51:AE51)</f>
        <v>54167091</v>
      </c>
      <c r="AG51" s="19">
        <f t="shared" si="46"/>
        <v>0</v>
      </c>
      <c r="AH51" s="19">
        <f>+SUM(AH52:AH53)</f>
        <v>0</v>
      </c>
      <c r="AI51" s="12">
        <f t="shared" si="54"/>
        <v>0</v>
      </c>
      <c r="AJ51" s="12">
        <f t="shared" si="50"/>
        <v>349220</v>
      </c>
      <c r="AK51" s="12">
        <f t="shared" si="47"/>
        <v>54516311</v>
      </c>
      <c r="AL51" s="12">
        <f t="shared" si="51"/>
        <v>0</v>
      </c>
      <c r="AM51" s="12">
        <f t="shared" si="53"/>
        <v>349220</v>
      </c>
      <c r="AN51" s="133">
        <f t="shared" si="61"/>
        <v>0.9935942107308031</v>
      </c>
      <c r="AO51" s="133">
        <f>+AB51/M51</f>
        <v>1</v>
      </c>
      <c r="AP51" s="130">
        <v>0</v>
      </c>
      <c r="AQ51" s="133">
        <f t="shared" si="59"/>
        <v>1</v>
      </c>
      <c r="AR51" s="176">
        <f t="shared" si="52"/>
        <v>0.9883479387826689</v>
      </c>
    </row>
    <row r="52" spans="1:44" ht="16.5" hidden="1" outlineLevel="1">
      <c r="A52" s="217" t="s">
        <v>175</v>
      </c>
      <c r="B52" s="208">
        <f aca="true" t="shared" si="62" ref="B52:Z52">+B53</f>
        <v>71163330</v>
      </c>
      <c r="C52" s="19">
        <f t="shared" si="62"/>
        <v>0</v>
      </c>
      <c r="D52" s="19">
        <f t="shared" si="62"/>
        <v>0</v>
      </c>
      <c r="E52" s="19">
        <f t="shared" si="62"/>
        <v>0</v>
      </c>
      <c r="F52" s="19">
        <f t="shared" si="62"/>
        <v>0</v>
      </c>
      <c r="G52" s="19">
        <f t="shared" si="62"/>
        <v>0</v>
      </c>
      <c r="H52" s="415">
        <f t="shared" si="62"/>
        <v>-5500000</v>
      </c>
      <c r="I52" s="19">
        <f t="shared" si="62"/>
        <v>65663330</v>
      </c>
      <c r="J52" s="21">
        <f t="shared" si="62"/>
        <v>17803330</v>
      </c>
      <c r="K52" s="21"/>
      <c r="L52" s="21">
        <f t="shared" si="62"/>
        <v>-110836</v>
      </c>
      <c r="M52" s="21">
        <f t="shared" si="62"/>
        <v>17692494</v>
      </c>
      <c r="N52" s="21">
        <f t="shared" si="62"/>
        <v>18600000</v>
      </c>
      <c r="O52" s="21">
        <f t="shared" si="62"/>
        <v>0</v>
      </c>
      <c r="P52" s="21">
        <f t="shared" si="62"/>
        <v>-1556274</v>
      </c>
      <c r="Q52" s="21">
        <f t="shared" si="62"/>
        <v>17043726</v>
      </c>
      <c r="R52" s="21">
        <f t="shared" si="62"/>
        <v>27468855</v>
      </c>
      <c r="S52" s="21">
        <f t="shared" si="62"/>
        <v>0</v>
      </c>
      <c r="T52" s="21">
        <f t="shared" si="62"/>
        <v>0</v>
      </c>
      <c r="U52" s="21">
        <f t="shared" si="62"/>
        <v>-3069235</v>
      </c>
      <c r="V52" s="21">
        <f t="shared" si="62"/>
        <v>24399620</v>
      </c>
      <c r="W52" s="21">
        <f t="shared" si="62"/>
        <v>6527490</v>
      </c>
      <c r="X52" s="21">
        <f t="shared" si="62"/>
        <v>0</v>
      </c>
      <c r="Y52" s="21">
        <f t="shared" si="62"/>
        <v>0</v>
      </c>
      <c r="Z52" s="21">
        <f t="shared" si="62"/>
        <v>6527490</v>
      </c>
      <c r="AA52" s="20">
        <f aca="true" t="shared" si="63" ref="AA52:AF52">+AA53</f>
        <v>65663330</v>
      </c>
      <c r="AB52" s="415">
        <f t="shared" si="63"/>
        <v>17692494</v>
      </c>
      <c r="AC52" s="464">
        <f t="shared" si="63"/>
        <v>17043726</v>
      </c>
      <c r="AD52" s="464">
        <f t="shared" si="63"/>
        <v>24399620</v>
      </c>
      <c r="AE52" s="464">
        <f>+'[4]PPC OCT-DIC-11'!$G$590</f>
        <v>6527490</v>
      </c>
      <c r="AF52" s="464">
        <f t="shared" si="63"/>
        <v>65663330</v>
      </c>
      <c r="AG52" s="22">
        <f t="shared" si="46"/>
        <v>0</v>
      </c>
      <c r="AH52" s="22">
        <f>+Q52-AC52</f>
        <v>0</v>
      </c>
      <c r="AI52" s="21">
        <f t="shared" si="54"/>
        <v>0</v>
      </c>
      <c r="AJ52" s="21">
        <f t="shared" si="50"/>
        <v>0</v>
      </c>
      <c r="AK52" s="21">
        <f t="shared" si="47"/>
        <v>65663330</v>
      </c>
      <c r="AL52" s="21">
        <f t="shared" si="51"/>
        <v>0</v>
      </c>
      <c r="AM52" s="21">
        <f t="shared" si="53"/>
        <v>0</v>
      </c>
      <c r="AN52" s="130">
        <f t="shared" si="61"/>
        <v>1</v>
      </c>
      <c r="AO52" s="130">
        <v>0</v>
      </c>
      <c r="AP52" s="130">
        <f>+AC52/Q52</f>
        <v>1</v>
      </c>
      <c r="AQ52" s="130">
        <f t="shared" si="59"/>
        <v>1</v>
      </c>
      <c r="AR52" s="169">
        <f t="shared" si="52"/>
        <v>1</v>
      </c>
    </row>
    <row r="53" spans="1:44" ht="15" hidden="1" outlineLevel="1">
      <c r="A53" s="187" t="s">
        <v>176</v>
      </c>
      <c r="B53" s="211">
        <f>70960000+203330</f>
        <v>71163330</v>
      </c>
      <c r="C53" s="8"/>
      <c r="D53" s="8"/>
      <c r="E53" s="8"/>
      <c r="F53" s="8"/>
      <c r="G53" s="8"/>
      <c r="H53" s="427">
        <v>-5500000</v>
      </c>
      <c r="I53" s="8">
        <f>SUM(B53:H53)</f>
        <v>65663330</v>
      </c>
      <c r="J53" s="7">
        <f>18600000-1000000+203330</f>
        <v>17803330</v>
      </c>
      <c r="K53" s="7"/>
      <c r="L53" s="7">
        <v>-110836</v>
      </c>
      <c r="M53" s="7">
        <f t="shared" si="60"/>
        <v>17692494</v>
      </c>
      <c r="N53" s="7">
        <v>18600000</v>
      </c>
      <c r="O53" s="8"/>
      <c r="P53" s="7">
        <f>+AC53-N53-O53</f>
        <v>-1556274</v>
      </c>
      <c r="Q53" s="7">
        <f>+SUM(N53:P53)</f>
        <v>17043726</v>
      </c>
      <c r="R53" s="7">
        <f>25000000+2468855</f>
        <v>27468855</v>
      </c>
      <c r="S53" s="7"/>
      <c r="T53" s="7"/>
      <c r="U53" s="7">
        <f>-R53-S53-T53+AD53</f>
        <v>-3069235</v>
      </c>
      <c r="V53" s="7">
        <f>+SUM(R53:U53)</f>
        <v>24399620</v>
      </c>
      <c r="W53" s="7">
        <f>12027490-5500000</f>
        <v>6527490</v>
      </c>
      <c r="X53" s="7"/>
      <c r="Y53" s="7"/>
      <c r="Z53" s="7">
        <f>+SUM(W53:Y53)</f>
        <v>6527490</v>
      </c>
      <c r="AA53" s="8">
        <f>+M53+Q53+V53+Z53</f>
        <v>65663330</v>
      </c>
      <c r="AB53" s="417">
        <f>+'[4]PPC ENE-MAR-11'!$G$490</f>
        <v>17692494</v>
      </c>
      <c r="AC53" s="414">
        <f>+'[4]PPC ABR-JUN-11'!$G$557</f>
        <v>17043726</v>
      </c>
      <c r="AD53" s="414">
        <f>+'[4]PPC JUL-SEP-11'!$G$569</f>
        <v>24399620</v>
      </c>
      <c r="AE53" s="414">
        <f>+'[4]PPC OCT-DIC-11'!$G$591</f>
        <v>6527490</v>
      </c>
      <c r="AF53" s="414">
        <f>SUM(AB53:AE53)</f>
        <v>65663330</v>
      </c>
      <c r="AG53" s="12">
        <f t="shared" si="46"/>
        <v>0</v>
      </c>
      <c r="AH53" s="12">
        <f>+Q53-AC53</f>
        <v>0</v>
      </c>
      <c r="AI53" s="12">
        <f t="shared" si="54"/>
        <v>0</v>
      </c>
      <c r="AJ53" s="12">
        <f t="shared" si="50"/>
        <v>0</v>
      </c>
      <c r="AK53" s="12">
        <f t="shared" si="47"/>
        <v>65663330</v>
      </c>
      <c r="AL53" s="12">
        <f t="shared" si="51"/>
        <v>0</v>
      </c>
      <c r="AM53" s="12">
        <f t="shared" si="53"/>
        <v>0</v>
      </c>
      <c r="AN53" s="130">
        <f t="shared" si="61"/>
        <v>1</v>
      </c>
      <c r="AO53" s="130">
        <f>+AB53/M53</f>
        <v>1</v>
      </c>
      <c r="AP53" s="130">
        <f>+AC53/Q53</f>
        <v>1</v>
      </c>
      <c r="AQ53" s="130">
        <f t="shared" si="59"/>
        <v>1</v>
      </c>
      <c r="AR53" s="169">
        <f t="shared" si="52"/>
        <v>1</v>
      </c>
    </row>
    <row r="54" spans="1:44" ht="18" customHeight="1" collapsed="1">
      <c r="A54" s="218" t="s">
        <v>166</v>
      </c>
      <c r="B54" s="208">
        <f aca="true" t="shared" si="64" ref="B54:Q54">SUM(B55:B58)</f>
        <v>140000000</v>
      </c>
      <c r="C54" s="21">
        <f t="shared" si="64"/>
        <v>0</v>
      </c>
      <c r="D54" s="21">
        <f t="shared" si="64"/>
        <v>0</v>
      </c>
      <c r="E54" s="21">
        <f>SUM(E55:E58)</f>
        <v>92000000</v>
      </c>
      <c r="F54" s="21">
        <f>SUM(F55:F58)</f>
        <v>-36700000</v>
      </c>
      <c r="G54" s="21">
        <f>SUM(G55:G58)</f>
        <v>0</v>
      </c>
      <c r="H54" s="634">
        <f>SUM(H55:H58)</f>
        <v>0</v>
      </c>
      <c r="I54" s="20">
        <f t="shared" si="64"/>
        <v>195300000</v>
      </c>
      <c r="J54" s="19">
        <f t="shared" si="64"/>
        <v>30000000</v>
      </c>
      <c r="K54" s="19"/>
      <c r="L54" s="19">
        <f t="shared" si="64"/>
        <v>-274.25</v>
      </c>
      <c r="M54" s="19">
        <f t="shared" si="64"/>
        <v>29999725.75</v>
      </c>
      <c r="N54" s="21">
        <f t="shared" si="64"/>
        <v>90000000</v>
      </c>
      <c r="O54" s="21">
        <f t="shared" si="64"/>
        <v>0</v>
      </c>
      <c r="P54" s="21">
        <f>SUM(P55:P58)</f>
        <v>-3017.75</v>
      </c>
      <c r="Q54" s="21">
        <f t="shared" si="64"/>
        <v>89996982.25</v>
      </c>
      <c r="R54" s="21">
        <f aca="true" t="shared" si="65" ref="R54:X54">SUM(R55:R58)</f>
        <v>112000000</v>
      </c>
      <c r="S54" s="21">
        <f t="shared" si="65"/>
        <v>-36700000</v>
      </c>
      <c r="T54" s="21">
        <f>SUM(T55:T58)</f>
        <v>0</v>
      </c>
      <c r="U54" s="21">
        <f t="shared" si="65"/>
        <v>-2053356</v>
      </c>
      <c r="V54" s="21">
        <f t="shared" si="65"/>
        <v>73246644</v>
      </c>
      <c r="W54" s="21">
        <f t="shared" si="65"/>
        <v>389630</v>
      </c>
      <c r="X54" s="21">
        <f t="shared" si="65"/>
        <v>0</v>
      </c>
      <c r="Y54" s="21">
        <f>+Y55</f>
        <v>0</v>
      </c>
      <c r="Z54" s="21">
        <f aca="true" t="shared" si="66" ref="Z54:AF54">SUM(Z55:Z58)</f>
        <v>389630</v>
      </c>
      <c r="AA54" s="20">
        <f t="shared" si="66"/>
        <v>193632982</v>
      </c>
      <c r="AB54" s="430">
        <f t="shared" si="66"/>
        <v>29999725.75</v>
      </c>
      <c r="AC54" s="464">
        <f t="shared" si="66"/>
        <v>89996982.25</v>
      </c>
      <c r="AD54" s="464">
        <f t="shared" si="66"/>
        <v>73246644</v>
      </c>
      <c r="AE54" s="464">
        <f>+'[4]PPC OCT-DIC-11'!$G$607</f>
        <v>383890</v>
      </c>
      <c r="AF54" s="464">
        <f t="shared" si="66"/>
        <v>193627242</v>
      </c>
      <c r="AG54" s="19">
        <f t="shared" si="46"/>
        <v>0</v>
      </c>
      <c r="AH54" s="19">
        <f>+AH55</f>
        <v>0</v>
      </c>
      <c r="AI54" s="20">
        <f t="shared" si="54"/>
        <v>0</v>
      </c>
      <c r="AJ54" s="20">
        <f t="shared" si="50"/>
        <v>5740</v>
      </c>
      <c r="AK54" s="20">
        <f t="shared" si="47"/>
        <v>193632982</v>
      </c>
      <c r="AL54" s="20">
        <f t="shared" si="51"/>
        <v>1667018</v>
      </c>
      <c r="AM54" s="20">
        <f t="shared" si="53"/>
        <v>5740</v>
      </c>
      <c r="AN54" s="133">
        <f t="shared" si="61"/>
        <v>0.991434930875576</v>
      </c>
      <c r="AO54" s="133">
        <v>0</v>
      </c>
      <c r="AP54" s="133">
        <v>0</v>
      </c>
      <c r="AQ54" s="133">
        <f t="shared" si="59"/>
        <v>1</v>
      </c>
      <c r="AR54" s="176">
        <f t="shared" si="52"/>
        <v>0.985268074840233</v>
      </c>
    </row>
    <row r="55" spans="1:44" ht="15" hidden="1" outlineLevel="1">
      <c r="A55" s="219" t="s">
        <v>167</v>
      </c>
      <c r="B55" s="211">
        <v>90000000</v>
      </c>
      <c r="C55" s="8"/>
      <c r="D55" s="8"/>
      <c r="E55" s="8">
        <f>52000000+40000000</f>
        <v>92000000</v>
      </c>
      <c r="F55" s="8">
        <v>-36700000</v>
      </c>
      <c r="G55" s="8"/>
      <c r="H55" s="427"/>
      <c r="I55" s="8">
        <f>SUM(B55:H55)</f>
        <v>145300000</v>
      </c>
      <c r="J55" s="7">
        <v>20000000</v>
      </c>
      <c r="K55" s="7"/>
      <c r="L55" s="7">
        <v>-0.25</v>
      </c>
      <c r="M55" s="7">
        <f t="shared" si="60"/>
        <v>19999999.75</v>
      </c>
      <c r="N55" s="7">
        <v>60000000</v>
      </c>
      <c r="O55" s="8"/>
      <c r="P55" s="7">
        <f>+AC55-N55-O55</f>
        <v>-3017.75</v>
      </c>
      <c r="Q55" s="7">
        <f>+SUM(N55:P55)</f>
        <v>59996982.25</v>
      </c>
      <c r="R55" s="7">
        <f>26000000+36000000+40000000</f>
        <v>102000000</v>
      </c>
      <c r="S55" s="7">
        <v>-36700000</v>
      </c>
      <c r="T55" s="7"/>
      <c r="U55" s="7">
        <f>-R55-S55-T55+AD55</f>
        <v>-1664000</v>
      </c>
      <c r="V55" s="7">
        <f>+SUM(R55:U55)</f>
        <v>63636000</v>
      </c>
      <c r="W55" s="7"/>
      <c r="X55" s="7"/>
      <c r="Y55" s="7"/>
      <c r="Z55" s="7">
        <f>+SUM(W55:Y55)</f>
        <v>0</v>
      </c>
      <c r="AA55" s="8">
        <f>+M55+Q55+V55+Z55</f>
        <v>143632982</v>
      </c>
      <c r="AB55" s="417">
        <f>+'[4]PPC ENE-MAR-11'!$G$505</f>
        <v>19999999.75</v>
      </c>
      <c r="AC55" s="414">
        <f>+'[4]PPC ABR-JUN-11'!$G$574</f>
        <v>59996982.25</v>
      </c>
      <c r="AD55" s="414">
        <f>+'[4]PPC JUL-SEP-11'!$G$591</f>
        <v>63636000</v>
      </c>
      <c r="AE55" s="414">
        <f>+'[4]PPC OCT-DIC-11'!$G$608</f>
        <v>0</v>
      </c>
      <c r="AF55" s="414">
        <f>SUM(AB55:AE55)</f>
        <v>143632982</v>
      </c>
      <c r="AG55" s="12">
        <f t="shared" si="46"/>
        <v>0</v>
      </c>
      <c r="AH55" s="12">
        <f>+Q55-AC55</f>
        <v>0</v>
      </c>
      <c r="AI55" s="12">
        <f t="shared" si="54"/>
        <v>0</v>
      </c>
      <c r="AJ55" s="12">
        <f t="shared" si="50"/>
        <v>0</v>
      </c>
      <c r="AK55" s="12">
        <f t="shared" si="47"/>
        <v>143632982</v>
      </c>
      <c r="AL55" s="12">
        <f t="shared" si="51"/>
        <v>1667018</v>
      </c>
      <c r="AM55" s="12">
        <f t="shared" si="53"/>
        <v>0</v>
      </c>
      <c r="AN55" s="130">
        <f t="shared" si="61"/>
        <v>0.9885270612525808</v>
      </c>
      <c r="AO55" s="130">
        <v>0</v>
      </c>
      <c r="AP55" s="130">
        <v>0</v>
      </c>
      <c r="AQ55" s="130">
        <f t="shared" si="59"/>
        <v>1</v>
      </c>
      <c r="AR55" s="169" t="e">
        <f t="shared" si="52"/>
        <v>#DIV/0!</v>
      </c>
    </row>
    <row r="56" spans="1:44" ht="15" hidden="1" outlineLevel="1">
      <c r="A56" s="219" t="s">
        <v>168</v>
      </c>
      <c r="B56" s="211">
        <v>25000000</v>
      </c>
      <c r="C56" s="8"/>
      <c r="D56" s="8"/>
      <c r="E56" s="8"/>
      <c r="F56" s="8"/>
      <c r="G56" s="8"/>
      <c r="H56" s="427"/>
      <c r="I56" s="8">
        <f>SUM(B56:H56)</f>
        <v>25000000</v>
      </c>
      <c r="J56" s="7">
        <v>5000000</v>
      </c>
      <c r="K56" s="7"/>
      <c r="L56" s="7">
        <v>0</v>
      </c>
      <c r="M56" s="7">
        <f t="shared" si="60"/>
        <v>5000000</v>
      </c>
      <c r="N56" s="7">
        <v>20000000</v>
      </c>
      <c r="O56" s="8"/>
      <c r="P56" s="7">
        <f>+AC56-N56-O56</f>
        <v>0</v>
      </c>
      <c r="Q56" s="7">
        <f>+SUM(N56:P56)</f>
        <v>20000000</v>
      </c>
      <c r="R56" s="7">
        <v>0</v>
      </c>
      <c r="S56" s="7"/>
      <c r="T56" s="7"/>
      <c r="U56" s="7">
        <f>-R56-S56-T56+AD56</f>
        <v>0</v>
      </c>
      <c r="V56" s="7">
        <f>+SUM(R56:U56)</f>
        <v>0</v>
      </c>
      <c r="W56" s="7">
        <v>0</v>
      </c>
      <c r="X56" s="7"/>
      <c r="Y56" s="7"/>
      <c r="Z56" s="7">
        <f>+SUM(W56:Y56)</f>
        <v>0</v>
      </c>
      <c r="AA56" s="8">
        <f>+M56+Q56+V56+Z56</f>
        <v>25000000</v>
      </c>
      <c r="AB56" s="417">
        <f>+'[4]PPC ENE-MAR-11'!$G$512</f>
        <v>5000000</v>
      </c>
      <c r="AC56" s="414">
        <f>+'[4]PPC ABR-JUN-11'!$G$624</f>
        <v>20000000</v>
      </c>
      <c r="AD56" s="414">
        <f>+'[4]PPC JUL-SEP-11'!$G$671</f>
        <v>0</v>
      </c>
      <c r="AE56" s="414">
        <f>+'[4]PPC OCT-DIC-11'!$G$621</f>
        <v>0</v>
      </c>
      <c r="AF56" s="414">
        <f>SUM(AB56:AE56)</f>
        <v>25000000</v>
      </c>
      <c r="AG56" s="12">
        <f t="shared" si="46"/>
        <v>0</v>
      </c>
      <c r="AH56" s="12">
        <f>SUM(AH57:AH60)</f>
        <v>0</v>
      </c>
      <c r="AI56" s="12">
        <f t="shared" si="54"/>
        <v>0</v>
      </c>
      <c r="AJ56" s="12">
        <f t="shared" si="50"/>
        <v>0</v>
      </c>
      <c r="AK56" s="12">
        <f t="shared" si="47"/>
        <v>25000000</v>
      </c>
      <c r="AL56" s="12">
        <f t="shared" si="51"/>
        <v>0</v>
      </c>
      <c r="AM56" s="12">
        <f t="shared" si="53"/>
        <v>0</v>
      </c>
      <c r="AN56" s="130">
        <f t="shared" si="61"/>
        <v>1</v>
      </c>
      <c r="AO56" s="130">
        <f>+AB56/M56</f>
        <v>1</v>
      </c>
      <c r="AP56" s="130">
        <f>+AC56/Q56</f>
        <v>1</v>
      </c>
      <c r="AQ56" s="130" t="e">
        <f t="shared" si="59"/>
        <v>#DIV/0!</v>
      </c>
      <c r="AR56" s="169" t="e">
        <f t="shared" si="52"/>
        <v>#DIV/0!</v>
      </c>
    </row>
    <row r="57" spans="1:44" ht="15" hidden="1" outlineLevel="1">
      <c r="A57" s="219" t="s">
        <v>177</v>
      </c>
      <c r="B57" s="211">
        <v>20000000</v>
      </c>
      <c r="C57" s="8"/>
      <c r="D57" s="8"/>
      <c r="E57" s="8">
        <f>40000000-40000000</f>
        <v>0</v>
      </c>
      <c r="F57" s="8"/>
      <c r="G57" s="8"/>
      <c r="H57" s="427"/>
      <c r="I57" s="8">
        <f>SUM(B57:H57)</f>
        <v>20000000</v>
      </c>
      <c r="J57" s="7">
        <v>5000000</v>
      </c>
      <c r="K57" s="7"/>
      <c r="L57" s="7">
        <v>-274</v>
      </c>
      <c r="M57" s="7">
        <f t="shared" si="60"/>
        <v>4999726</v>
      </c>
      <c r="N57" s="7">
        <v>5000000</v>
      </c>
      <c r="O57" s="8"/>
      <c r="P57" s="7">
        <f>+AC57-N57-O57</f>
        <v>0</v>
      </c>
      <c r="Q57" s="7">
        <f>+SUM(N57:P57)</f>
        <v>5000000</v>
      </c>
      <c r="R57" s="7">
        <f>50000000-40000000</f>
        <v>10000000</v>
      </c>
      <c r="S57" s="7"/>
      <c r="T57" s="7"/>
      <c r="U57" s="7">
        <f>-R57-S57-T57+AD57</f>
        <v>-389356</v>
      </c>
      <c r="V57" s="7">
        <f>+SUM(R57:U57)</f>
        <v>9610644</v>
      </c>
      <c r="W57" s="7">
        <v>389630</v>
      </c>
      <c r="X57" s="7"/>
      <c r="Y57" s="7"/>
      <c r="Z57" s="7">
        <f>+SUM(W57:Y57)</f>
        <v>389630</v>
      </c>
      <c r="AA57" s="8">
        <f>+M57+Q57+V57+Z57</f>
        <v>20000000</v>
      </c>
      <c r="AB57" s="417">
        <f>+'[4]PPC ENE-MAR-11'!$G$517</f>
        <v>4999726</v>
      </c>
      <c r="AC57" s="414">
        <f>+'[4]PPC ABR-JUN-11'!$G$630</f>
        <v>5000000</v>
      </c>
      <c r="AD57" s="414">
        <f>+'[4]PPC JUL-SEP-11'!$G$675</f>
        <v>9610644</v>
      </c>
      <c r="AE57" s="414">
        <f>+'[4]PPC OCT-DIC-11'!$G$627</f>
        <v>383890</v>
      </c>
      <c r="AF57" s="414">
        <f>SUM(AB57:AE57)</f>
        <v>19994260</v>
      </c>
      <c r="AG57" s="12">
        <f t="shared" si="46"/>
        <v>0</v>
      </c>
      <c r="AH57" s="12">
        <f>+Q57-AC57</f>
        <v>0</v>
      </c>
      <c r="AI57" s="12">
        <f t="shared" si="54"/>
        <v>0</v>
      </c>
      <c r="AJ57" s="12">
        <f t="shared" si="50"/>
        <v>5740</v>
      </c>
      <c r="AK57" s="12">
        <f t="shared" si="47"/>
        <v>20000000</v>
      </c>
      <c r="AL57" s="12">
        <f t="shared" si="51"/>
        <v>0</v>
      </c>
      <c r="AM57" s="12">
        <f t="shared" si="53"/>
        <v>5740</v>
      </c>
      <c r="AN57" s="130">
        <f t="shared" si="61"/>
        <v>0.999713</v>
      </c>
      <c r="AO57" s="130">
        <f>+AB57/M57</f>
        <v>1</v>
      </c>
      <c r="AP57" s="130">
        <f>+AC57/Q57</f>
        <v>1</v>
      </c>
      <c r="AQ57" s="130">
        <f t="shared" si="59"/>
        <v>1</v>
      </c>
      <c r="AR57" s="169">
        <f t="shared" si="52"/>
        <v>0.985268074840233</v>
      </c>
    </row>
    <row r="58" spans="1:44" ht="15" hidden="1" outlineLevel="1">
      <c r="A58" s="219" t="s">
        <v>192</v>
      </c>
      <c r="B58" s="211">
        <v>5000000</v>
      </c>
      <c r="C58" s="8"/>
      <c r="D58" s="8"/>
      <c r="E58" s="8"/>
      <c r="F58" s="8"/>
      <c r="G58" s="8"/>
      <c r="H58" s="427"/>
      <c r="I58" s="8">
        <f>SUM(B58:H58)</f>
        <v>5000000</v>
      </c>
      <c r="J58" s="7">
        <v>0</v>
      </c>
      <c r="K58" s="7"/>
      <c r="L58" s="7">
        <v>0</v>
      </c>
      <c r="M58" s="7">
        <f t="shared" si="60"/>
        <v>0</v>
      </c>
      <c r="N58" s="7">
        <v>5000000</v>
      </c>
      <c r="O58" s="8"/>
      <c r="P58" s="7">
        <f>+AC58-N58-O58</f>
        <v>0</v>
      </c>
      <c r="Q58" s="7">
        <f>+SUM(N58:P58)</f>
        <v>5000000</v>
      </c>
      <c r="R58" s="7"/>
      <c r="S58" s="7"/>
      <c r="T58" s="7"/>
      <c r="U58" s="7">
        <f>-R58-S58-T58+AD58</f>
        <v>0</v>
      </c>
      <c r="V58" s="7">
        <f>+SUM(R58:U58)</f>
        <v>0</v>
      </c>
      <c r="W58" s="7">
        <v>0</v>
      </c>
      <c r="X58" s="7"/>
      <c r="Y58" s="7"/>
      <c r="Z58" s="7">
        <f>+SUM(W58:Y58)</f>
        <v>0</v>
      </c>
      <c r="AA58" s="8">
        <f>+M58+Q58+V58+Z58</f>
        <v>5000000</v>
      </c>
      <c r="AB58" s="417">
        <f>+'[4]PPC ENE-MAR-11'!$G$523</f>
        <v>0</v>
      </c>
      <c r="AC58" s="414">
        <f>+'[4]PPC ABR-JUN-11'!$G$636</f>
        <v>5000000</v>
      </c>
      <c r="AD58" s="414">
        <f>+'[4]PPC JUL-SEP-11'!$G$682</f>
        <v>0</v>
      </c>
      <c r="AE58" s="414">
        <f>+'[4]PPC OCT-DIC-11'!$G$634</f>
        <v>0</v>
      </c>
      <c r="AF58" s="414">
        <f>SUM(AB58:AE58)</f>
        <v>5000000</v>
      </c>
      <c r="AG58" s="12">
        <f t="shared" si="46"/>
        <v>0</v>
      </c>
      <c r="AH58" s="12">
        <f>+Q58-AC58</f>
        <v>0</v>
      </c>
      <c r="AI58" s="12">
        <f t="shared" si="54"/>
        <v>0</v>
      </c>
      <c r="AJ58" s="12">
        <f t="shared" si="50"/>
        <v>0</v>
      </c>
      <c r="AK58" s="12">
        <f t="shared" si="47"/>
        <v>5000000</v>
      </c>
      <c r="AL58" s="12">
        <f t="shared" si="51"/>
        <v>0</v>
      </c>
      <c r="AM58" s="12">
        <f t="shared" si="53"/>
        <v>0</v>
      </c>
      <c r="AN58" s="130">
        <v>0</v>
      </c>
      <c r="AO58" s="130" t="e">
        <f>+AB58/M58</f>
        <v>#DIV/0!</v>
      </c>
      <c r="AP58" s="130">
        <v>0</v>
      </c>
      <c r="AQ58" s="130" t="e">
        <f t="shared" si="59"/>
        <v>#DIV/0!</v>
      </c>
      <c r="AR58" s="169" t="e">
        <f t="shared" si="52"/>
        <v>#DIV/0!</v>
      </c>
    </row>
    <row r="59" spans="1:44" ht="16.5" collapsed="1">
      <c r="A59" s="218" t="s">
        <v>169</v>
      </c>
      <c r="B59" s="109">
        <f aca="true" t="shared" si="67" ref="B59:Z59">+B60</f>
        <v>290700000</v>
      </c>
      <c r="C59" s="19">
        <f t="shared" si="67"/>
        <v>0</v>
      </c>
      <c r="D59" s="19">
        <f t="shared" si="67"/>
        <v>0</v>
      </c>
      <c r="E59" s="19">
        <f t="shared" si="67"/>
        <v>-80000000</v>
      </c>
      <c r="F59" s="19">
        <f t="shared" si="67"/>
        <v>0</v>
      </c>
      <c r="G59" s="19">
        <f t="shared" si="67"/>
        <v>0</v>
      </c>
      <c r="H59" s="415">
        <f t="shared" si="67"/>
        <v>0</v>
      </c>
      <c r="I59" s="36">
        <f t="shared" si="67"/>
        <v>210700000</v>
      </c>
      <c r="J59" s="58">
        <f t="shared" si="67"/>
        <v>106200000</v>
      </c>
      <c r="K59" s="58"/>
      <c r="L59" s="58">
        <f t="shared" si="67"/>
        <v>-94735084</v>
      </c>
      <c r="M59" s="58">
        <f t="shared" si="67"/>
        <v>11464916</v>
      </c>
      <c r="N59" s="58">
        <f t="shared" si="67"/>
        <v>67200000</v>
      </c>
      <c r="O59" s="58">
        <f t="shared" si="67"/>
        <v>0</v>
      </c>
      <c r="P59" s="58">
        <f t="shared" si="67"/>
        <v>-16783061</v>
      </c>
      <c r="Q59" s="58">
        <f t="shared" si="67"/>
        <v>50416939</v>
      </c>
      <c r="R59" s="58">
        <f t="shared" si="67"/>
        <v>70000000</v>
      </c>
      <c r="S59" s="58">
        <f t="shared" si="67"/>
        <v>0</v>
      </c>
      <c r="T59" s="58">
        <f t="shared" si="67"/>
        <v>0</v>
      </c>
      <c r="U59" s="58">
        <f t="shared" si="67"/>
        <v>-8874947</v>
      </c>
      <c r="V59" s="58">
        <f t="shared" si="67"/>
        <v>61125053</v>
      </c>
      <c r="W59" s="58">
        <f t="shared" si="67"/>
        <v>87693092</v>
      </c>
      <c r="X59" s="58">
        <f t="shared" si="67"/>
        <v>0</v>
      </c>
      <c r="Y59" s="58">
        <f t="shared" si="67"/>
        <v>0</v>
      </c>
      <c r="Z59" s="58">
        <f t="shared" si="67"/>
        <v>87693092</v>
      </c>
      <c r="AA59" s="45">
        <f aca="true" t="shared" si="68" ref="AA59:AF59">+AA60</f>
        <v>210700000</v>
      </c>
      <c r="AB59" s="430">
        <f t="shared" si="68"/>
        <v>11464916</v>
      </c>
      <c r="AC59" s="464">
        <f t="shared" si="68"/>
        <v>50416939</v>
      </c>
      <c r="AD59" s="464">
        <f t="shared" si="68"/>
        <v>61125053</v>
      </c>
      <c r="AE59" s="464">
        <f>+'[4]PPC OCT-DIC-11'!$G$639</f>
        <v>69793099</v>
      </c>
      <c r="AF59" s="464">
        <f t="shared" si="68"/>
        <v>192800007</v>
      </c>
      <c r="AG59" s="22">
        <f t="shared" si="46"/>
        <v>0</v>
      </c>
      <c r="AH59" s="22">
        <f>+Q59-AC59</f>
        <v>0</v>
      </c>
      <c r="AI59" s="21">
        <f t="shared" si="54"/>
        <v>0</v>
      </c>
      <c r="AJ59" s="21">
        <f t="shared" si="50"/>
        <v>17899993</v>
      </c>
      <c r="AK59" s="21">
        <f t="shared" si="47"/>
        <v>210700000</v>
      </c>
      <c r="AL59" s="21">
        <f t="shared" si="51"/>
        <v>0</v>
      </c>
      <c r="AM59" s="21">
        <f t="shared" si="53"/>
        <v>17899993</v>
      </c>
      <c r="AN59" s="133">
        <f aca="true" t="shared" si="69" ref="AN59:AN64">+AF59/I59</f>
        <v>0.9150451210251542</v>
      </c>
      <c r="AO59" s="130">
        <f>+AB59/M59</f>
        <v>1</v>
      </c>
      <c r="AP59" s="130">
        <f>+AC59/Q59</f>
        <v>1</v>
      </c>
      <c r="AQ59" s="130">
        <f t="shared" si="59"/>
        <v>1</v>
      </c>
      <c r="AR59" s="169">
        <f t="shared" si="52"/>
        <v>0.7958790984357126</v>
      </c>
    </row>
    <row r="60" spans="1:44" ht="15" hidden="1" outlineLevel="1">
      <c r="A60" s="219" t="s">
        <v>170</v>
      </c>
      <c r="B60" s="210">
        <v>290700000</v>
      </c>
      <c r="C60" s="8"/>
      <c r="D60" s="8"/>
      <c r="E60" s="8">
        <f>-66400000-13600000</f>
        <v>-80000000</v>
      </c>
      <c r="F60" s="8"/>
      <c r="G60" s="8"/>
      <c r="H60" s="427"/>
      <c r="I60" s="8">
        <f>SUM(B60:H60)</f>
        <v>210700000</v>
      </c>
      <c r="J60" s="7">
        <v>106200000</v>
      </c>
      <c r="K60" s="7"/>
      <c r="L60" s="7">
        <v>-94735084</v>
      </c>
      <c r="M60" s="7">
        <f t="shared" si="60"/>
        <v>11464916</v>
      </c>
      <c r="N60" s="7">
        <v>67200000</v>
      </c>
      <c r="O60" s="8"/>
      <c r="P60" s="7">
        <f>+AC60-N60-O60</f>
        <v>-16783061</v>
      </c>
      <c r="Q60" s="7">
        <f>+SUM(N60:P60)</f>
        <v>50416939</v>
      </c>
      <c r="R60" s="7">
        <v>70000000</v>
      </c>
      <c r="S60" s="7"/>
      <c r="T60" s="7"/>
      <c r="U60" s="7">
        <f>-R60-S60-T60+AD60</f>
        <v>-8874947</v>
      </c>
      <c r="V60" s="7">
        <f>+SUM(R60:U60)</f>
        <v>61125053</v>
      </c>
      <c r="W60" s="7">
        <v>87693092</v>
      </c>
      <c r="X60" s="7"/>
      <c r="Y60" s="7"/>
      <c r="Z60" s="7">
        <f>+SUM(W60:Y60)</f>
        <v>87693092</v>
      </c>
      <c r="AA60" s="8">
        <f>+M60+Q60+V60+Z60</f>
        <v>210700000</v>
      </c>
      <c r="AB60" s="417">
        <f>+'[4]PPC ENE-MAR-11'!$G$528</f>
        <v>11464916</v>
      </c>
      <c r="AC60" s="414">
        <f>+'[4]PPC ABR-JUN-11'!$G$641</f>
        <v>50416939</v>
      </c>
      <c r="AD60" s="414">
        <f>+'[4]PPC JUL-SEP-11'!$G$687</f>
        <v>61125053</v>
      </c>
      <c r="AE60" s="414">
        <f>+'[4]PPC OCT-DIC-11'!$G$640</f>
        <v>69793099</v>
      </c>
      <c r="AF60" s="414">
        <f>SUM(AB60:AE60)</f>
        <v>192800007</v>
      </c>
      <c r="AG60" s="12">
        <f t="shared" si="46"/>
        <v>0</v>
      </c>
      <c r="AH60" s="12">
        <f>+Q60-AC60</f>
        <v>0</v>
      </c>
      <c r="AI60" s="12">
        <f t="shared" si="54"/>
        <v>0</v>
      </c>
      <c r="AJ60" s="12">
        <f t="shared" si="50"/>
        <v>17899993</v>
      </c>
      <c r="AK60" s="12">
        <f t="shared" si="47"/>
        <v>210700000</v>
      </c>
      <c r="AL60" s="12">
        <f t="shared" si="51"/>
        <v>0</v>
      </c>
      <c r="AM60" s="12">
        <f t="shared" si="53"/>
        <v>17899993</v>
      </c>
      <c r="AN60" s="130">
        <f t="shared" si="69"/>
        <v>0.9150451210251542</v>
      </c>
      <c r="AO60" s="130">
        <f>+AB60/M60</f>
        <v>1</v>
      </c>
      <c r="AP60" s="130">
        <f>+AC60/Q60</f>
        <v>1</v>
      </c>
      <c r="AQ60" s="130">
        <f t="shared" si="59"/>
        <v>1</v>
      </c>
      <c r="AR60" s="169">
        <f t="shared" si="52"/>
        <v>0.7958790984357126</v>
      </c>
    </row>
    <row r="61" spans="1:44" ht="16.5" collapsed="1">
      <c r="A61" s="218" t="s">
        <v>178</v>
      </c>
      <c r="B61" s="208">
        <f>+B62+B63+B64+B65+B66</f>
        <v>1284500598.3336</v>
      </c>
      <c r="C61" s="21">
        <f aca="true" t="shared" si="70" ref="C61:AQ61">+C62+C63+C64+C65+C66</f>
        <v>0</v>
      </c>
      <c r="D61" s="21">
        <f t="shared" si="70"/>
        <v>0</v>
      </c>
      <c r="E61" s="21">
        <f t="shared" si="70"/>
        <v>211600000</v>
      </c>
      <c r="F61" s="21">
        <f t="shared" si="70"/>
        <v>-69957555</v>
      </c>
      <c r="G61" s="21">
        <f>+G62+G63+G64+G65+G66</f>
        <v>0</v>
      </c>
      <c r="H61" s="634">
        <f>+H62+H63+H64+H65+H66</f>
        <v>0</v>
      </c>
      <c r="I61" s="20">
        <f t="shared" si="70"/>
        <v>1426143043.3336</v>
      </c>
      <c r="J61" s="19">
        <f t="shared" si="70"/>
        <v>405950000</v>
      </c>
      <c r="K61" s="19"/>
      <c r="L61" s="19">
        <f t="shared" si="70"/>
        <v>-31164424</v>
      </c>
      <c r="M61" s="19">
        <f t="shared" si="70"/>
        <v>374785576</v>
      </c>
      <c r="N61" s="21">
        <f t="shared" si="70"/>
        <v>331000000</v>
      </c>
      <c r="O61" s="21">
        <f t="shared" si="70"/>
        <v>0</v>
      </c>
      <c r="P61" s="21">
        <f t="shared" si="70"/>
        <v>-41624009</v>
      </c>
      <c r="Q61" s="21">
        <f t="shared" si="70"/>
        <v>289375991</v>
      </c>
      <c r="R61" s="21">
        <f t="shared" si="70"/>
        <v>299000000</v>
      </c>
      <c r="S61" s="21">
        <f t="shared" si="70"/>
        <v>0</v>
      </c>
      <c r="T61" s="21">
        <f>+T62+T63+T64+T65+T66</f>
        <v>0</v>
      </c>
      <c r="U61" s="21">
        <f t="shared" si="70"/>
        <v>-36037061</v>
      </c>
      <c r="V61" s="21">
        <f t="shared" si="70"/>
        <v>262962939</v>
      </c>
      <c r="W61" s="21">
        <f t="shared" si="70"/>
        <v>456265461</v>
      </c>
      <c r="X61" s="21">
        <f t="shared" si="70"/>
        <v>0</v>
      </c>
      <c r="Y61" s="21">
        <f t="shared" si="70"/>
        <v>0</v>
      </c>
      <c r="Z61" s="21">
        <f t="shared" si="70"/>
        <v>456265461</v>
      </c>
      <c r="AA61" s="20">
        <f t="shared" si="70"/>
        <v>1383389967</v>
      </c>
      <c r="AB61" s="430">
        <f t="shared" si="70"/>
        <v>374785576</v>
      </c>
      <c r="AC61" s="464">
        <f t="shared" si="70"/>
        <v>289375991</v>
      </c>
      <c r="AD61" s="464">
        <f t="shared" si="70"/>
        <v>262962939</v>
      </c>
      <c r="AE61" s="464">
        <f>+'[4]PPC OCT-DIC-11'!$G$655</f>
        <v>436674568</v>
      </c>
      <c r="AF61" s="464">
        <f t="shared" si="70"/>
        <v>1363799074</v>
      </c>
      <c r="AG61" s="19">
        <f t="shared" si="70"/>
        <v>0</v>
      </c>
      <c r="AH61" s="19">
        <f t="shared" si="70"/>
        <v>0</v>
      </c>
      <c r="AI61" s="20">
        <f t="shared" si="70"/>
        <v>0</v>
      </c>
      <c r="AJ61" s="20">
        <f>+AJ62+AJ63+AJ64+AJ65+AJ66</f>
        <v>19590893</v>
      </c>
      <c r="AK61" s="20">
        <f t="shared" si="70"/>
        <v>1383389967</v>
      </c>
      <c r="AL61" s="20">
        <f t="shared" si="70"/>
        <v>42753076.33359994</v>
      </c>
      <c r="AM61" s="20">
        <f t="shared" si="70"/>
        <v>19590893</v>
      </c>
      <c r="AN61" s="133">
        <f t="shared" si="69"/>
        <v>0.9562849115135944</v>
      </c>
      <c r="AO61" s="133">
        <f t="shared" si="70"/>
        <v>3</v>
      </c>
      <c r="AP61" s="133">
        <f t="shared" si="70"/>
        <v>4</v>
      </c>
      <c r="AQ61" s="133">
        <f t="shared" si="70"/>
        <v>4</v>
      </c>
      <c r="AR61" s="176">
        <f t="shared" si="52"/>
        <v>0.9570625114663238</v>
      </c>
    </row>
    <row r="62" spans="1:44" ht="15" hidden="1" outlineLevel="1">
      <c r="A62" s="219" t="s">
        <v>171</v>
      </c>
      <c r="B62" s="102">
        <f>1124275295.8416+23400000</f>
        <v>1147675295.8416</v>
      </c>
      <c r="C62" s="23"/>
      <c r="D62" s="23"/>
      <c r="E62" s="23">
        <f>198000000+13600000</f>
        <v>211600000</v>
      </c>
      <c r="F62" s="23">
        <v>-69957555</v>
      </c>
      <c r="G62" s="23"/>
      <c r="H62" s="426">
        <v>-6533000</v>
      </c>
      <c r="I62" s="8">
        <f>SUM(B62:H62)</f>
        <v>1282784740.8416</v>
      </c>
      <c r="J62" s="7">
        <v>375000000</v>
      </c>
      <c r="K62" s="7"/>
      <c r="L62" s="7">
        <v>-29376260</v>
      </c>
      <c r="M62" s="7">
        <f>+SUM(J62:L62)</f>
        <v>345623740</v>
      </c>
      <c r="N62" s="7">
        <v>300000000</v>
      </c>
      <c r="O62" s="23"/>
      <c r="P62" s="7">
        <f>+AC62-N62-O62</f>
        <v>-41305999</v>
      </c>
      <c r="Q62" s="7">
        <f>+SUM(N62:P62)</f>
        <v>258694001</v>
      </c>
      <c r="R62" s="7">
        <v>265000000</v>
      </c>
      <c r="S62" s="7"/>
      <c r="T62" s="7"/>
      <c r="U62" s="7">
        <f>-R62-S62-T62+AD62</f>
        <v>-30194573</v>
      </c>
      <c r="V62" s="7">
        <f>+SUM(R62:U62)</f>
        <v>234805427</v>
      </c>
      <c r="W62" s="7">
        <f>420000000-6533000</f>
        <v>413467000</v>
      </c>
      <c r="X62" s="23"/>
      <c r="Y62" s="7"/>
      <c r="Z62" s="7">
        <f>+SUM(W62:Y62)</f>
        <v>413467000</v>
      </c>
      <c r="AA62" s="8">
        <f>+M62+Q62+V62+Z62</f>
        <v>1252590168</v>
      </c>
      <c r="AB62" s="12">
        <f>+'[4]PPC ENE-MAR-11'!$G$539</f>
        <v>345623740</v>
      </c>
      <c r="AC62" s="7">
        <f>+'[4]PPC ABR-JUN-11'!$G$657</f>
        <v>258694001</v>
      </c>
      <c r="AD62" s="7">
        <f>+'[4]PPC JUL-SEP-11'!$G$704</f>
        <v>234805427</v>
      </c>
      <c r="AE62" s="7">
        <f>+'[4]PPC OCT-DIC-11'!$G$656</f>
        <v>395572682</v>
      </c>
      <c r="AF62" s="7">
        <f>SUM(AB62:AE62)</f>
        <v>1234695850</v>
      </c>
      <c r="AG62" s="12">
        <f aca="true" t="shared" si="71" ref="AG62:AG70">+M62-AB62</f>
        <v>0</v>
      </c>
      <c r="AH62" s="12">
        <f>+Q62-AC62</f>
        <v>0</v>
      </c>
      <c r="AI62" s="12">
        <f aca="true" t="shared" si="72" ref="AI62:AI67">+V62-AD62</f>
        <v>0</v>
      </c>
      <c r="AJ62" s="12">
        <f>+Z62-AE62</f>
        <v>17894318</v>
      </c>
      <c r="AK62" s="12">
        <f t="shared" si="47"/>
        <v>1252590168</v>
      </c>
      <c r="AL62" s="12">
        <f>+I62-AK62</f>
        <v>30194572.84159994</v>
      </c>
      <c r="AM62" s="12">
        <f t="shared" si="53"/>
        <v>17894318</v>
      </c>
      <c r="AN62" s="130">
        <f t="shared" si="69"/>
        <v>0.962512111883986</v>
      </c>
      <c r="AO62" s="130">
        <f>+AB62/M62</f>
        <v>1</v>
      </c>
      <c r="AP62" s="130">
        <f>+AC62/Q62</f>
        <v>1</v>
      </c>
      <c r="AQ62" s="130">
        <f>+AD62/V62</f>
        <v>1</v>
      </c>
      <c r="AR62" s="169">
        <f t="shared" si="52"/>
        <v>0.9567212909373662</v>
      </c>
    </row>
    <row r="63" spans="1:44" ht="15" hidden="1" outlineLevel="1">
      <c r="A63" s="219" t="s">
        <v>43</v>
      </c>
      <c r="B63" s="102">
        <v>12000000</v>
      </c>
      <c r="C63" s="8"/>
      <c r="D63" s="8"/>
      <c r="E63" s="8"/>
      <c r="F63" s="8"/>
      <c r="G63" s="8"/>
      <c r="H63" s="427"/>
      <c r="I63" s="8">
        <f>SUM(B63:H63)</f>
        <v>12000000</v>
      </c>
      <c r="J63" s="7">
        <v>2000000</v>
      </c>
      <c r="K63" s="7"/>
      <c r="L63" s="7">
        <v>-503032</v>
      </c>
      <c r="M63" s="7">
        <f>+SUM(J63:L63)</f>
        <v>1496968</v>
      </c>
      <c r="N63" s="7">
        <f>2000000+264000</f>
        <v>2264000</v>
      </c>
      <c r="O63" s="8"/>
      <c r="P63" s="7">
        <f>+AC63-N63-O63</f>
        <v>0</v>
      </c>
      <c r="Q63" s="7">
        <f>+SUM(N63:P63)</f>
        <v>2264000</v>
      </c>
      <c r="R63" s="7">
        <v>4000000</v>
      </c>
      <c r="S63" s="7"/>
      <c r="T63" s="7"/>
      <c r="U63" s="7">
        <f>-R63-S63-T63+AD63</f>
        <v>-1327608</v>
      </c>
      <c r="V63" s="7">
        <f>+SUM(R63:U63)</f>
        <v>2672392</v>
      </c>
      <c r="W63" s="7">
        <v>3671319</v>
      </c>
      <c r="X63" s="8"/>
      <c r="Y63" s="7"/>
      <c r="Z63" s="7">
        <f>+SUM(W63:Y63)</f>
        <v>3671319</v>
      </c>
      <c r="AA63" s="8">
        <f>+M63+Q63+V63+Z63</f>
        <v>10104679</v>
      </c>
      <c r="AB63" s="12">
        <f>+'[4]PPC ENE-MAR-11'!$G$547</f>
        <v>1496968</v>
      </c>
      <c r="AC63" s="7">
        <f>+'[4]PPC ABR-JUN-11'!$G$667</f>
        <v>2264000</v>
      </c>
      <c r="AD63" s="7">
        <f>+'[4]PPC JUL-SEP-11'!$G$711</f>
        <v>2672392</v>
      </c>
      <c r="AE63" s="7">
        <f>+'[4]PPC OCT-DIC-11'!$G$663</f>
        <v>3671319</v>
      </c>
      <c r="AF63" s="7">
        <f>SUM(AB63:AE63)</f>
        <v>10104679</v>
      </c>
      <c r="AG63" s="12">
        <f t="shared" si="71"/>
        <v>0</v>
      </c>
      <c r="AH63" s="12">
        <f>+Q63-AC63</f>
        <v>0</v>
      </c>
      <c r="AI63" s="12">
        <f t="shared" si="72"/>
        <v>0</v>
      </c>
      <c r="AJ63" s="12">
        <f>+Z63-AE63</f>
        <v>0</v>
      </c>
      <c r="AK63" s="12">
        <f t="shared" si="47"/>
        <v>10104679</v>
      </c>
      <c r="AL63" s="12">
        <f>+I63-AK63</f>
        <v>1895321</v>
      </c>
      <c r="AM63" s="12">
        <f t="shared" si="53"/>
        <v>0</v>
      </c>
      <c r="AN63" s="130">
        <f t="shared" si="69"/>
        <v>0.8420565833333333</v>
      </c>
      <c r="AO63" s="130">
        <v>0</v>
      </c>
      <c r="AP63" s="130">
        <f>+AC63/Q63</f>
        <v>1</v>
      </c>
      <c r="AQ63" s="130">
        <f>+AD63/V63</f>
        <v>1</v>
      </c>
      <c r="AR63" s="169">
        <f t="shared" si="52"/>
        <v>1</v>
      </c>
    </row>
    <row r="64" spans="1:44" ht="15" hidden="1" outlineLevel="1">
      <c r="A64" s="219" t="s">
        <v>193</v>
      </c>
      <c r="B64" s="102">
        <f>104425302.492-450000-23400000</f>
        <v>80575302.492</v>
      </c>
      <c r="C64" s="23"/>
      <c r="D64" s="23"/>
      <c r="E64" s="23"/>
      <c r="F64" s="23"/>
      <c r="G64" s="23"/>
      <c r="H64" s="426">
        <f>-300000+6533000+167000+5000</f>
        <v>6405000</v>
      </c>
      <c r="I64" s="8">
        <f>SUM(B64:H64)</f>
        <v>86980302.492</v>
      </c>
      <c r="J64" s="7">
        <f>20000000-1250000</f>
        <v>18750000</v>
      </c>
      <c r="K64" s="7"/>
      <c r="L64" s="7">
        <v>-1221000</v>
      </c>
      <c r="M64" s="7">
        <f>+SUM(J64:L64)</f>
        <v>17529000</v>
      </c>
      <c r="N64" s="7">
        <f>19000000-450000</f>
        <v>18550000</v>
      </c>
      <c r="O64" s="23"/>
      <c r="P64" s="7">
        <f>+AC64-N64-O64</f>
        <v>-2000</v>
      </c>
      <c r="Q64" s="7">
        <f>+SUM(N64:P64)</f>
        <v>18548000</v>
      </c>
      <c r="R64" s="7">
        <f>19000000</f>
        <v>19000000</v>
      </c>
      <c r="S64" s="7"/>
      <c r="T64" s="7"/>
      <c r="U64" s="7">
        <f>-R64-S64-T64+AD64</f>
        <v>-2726000</v>
      </c>
      <c r="V64" s="7">
        <f>+SUM(R64:U64)</f>
        <v>16274000</v>
      </c>
      <c r="W64" s="7">
        <f>19000000-300000+6533000+167000+5000</f>
        <v>25405000</v>
      </c>
      <c r="X64" s="7"/>
      <c r="Y64" s="7"/>
      <c r="Z64" s="7">
        <f>+SUM(W64:Y64)</f>
        <v>25405000</v>
      </c>
      <c r="AA64" s="8">
        <f>+M64+Q64+V64+Z64</f>
        <v>77756000</v>
      </c>
      <c r="AB64" s="12">
        <f>+'[4]PPC ENE-MAR-11'!$G$557</f>
        <v>17529000</v>
      </c>
      <c r="AC64" s="7">
        <f>+'[4]PPC ABR-JUN-11'!$G$674</f>
        <v>18548000</v>
      </c>
      <c r="AD64" s="7">
        <f>+'[4]PPC JUL-SEP-11'!$G$720</f>
        <v>16274000</v>
      </c>
      <c r="AE64" s="7">
        <f>+'[4]PPC OCT-DIC-11'!$G$674</f>
        <v>25405000</v>
      </c>
      <c r="AF64" s="7">
        <f>SUM(AB64:AE64)</f>
        <v>77756000</v>
      </c>
      <c r="AG64" s="12">
        <f t="shared" si="71"/>
        <v>0</v>
      </c>
      <c r="AH64" s="12">
        <f>+Q64-AC64</f>
        <v>0</v>
      </c>
      <c r="AI64" s="12">
        <f t="shared" si="72"/>
        <v>0</v>
      </c>
      <c r="AJ64" s="12">
        <f>+Z64-AE64</f>
        <v>0</v>
      </c>
      <c r="AK64" s="12">
        <f t="shared" si="47"/>
        <v>77756000</v>
      </c>
      <c r="AL64" s="12">
        <f>+I64-AK64</f>
        <v>9224302.491999999</v>
      </c>
      <c r="AM64" s="12">
        <f t="shared" si="53"/>
        <v>0</v>
      </c>
      <c r="AN64" s="130">
        <f t="shared" si="69"/>
        <v>0.8939495238838885</v>
      </c>
      <c r="AO64" s="130">
        <f>+AB64/M64</f>
        <v>1</v>
      </c>
      <c r="AP64" s="130">
        <f>+AC64/Q64</f>
        <v>1</v>
      </c>
      <c r="AQ64" s="130">
        <f>+AD64/V64</f>
        <v>1</v>
      </c>
      <c r="AR64" s="169">
        <f t="shared" si="52"/>
        <v>1</v>
      </c>
    </row>
    <row r="65" spans="1:44" ht="15" hidden="1" outlineLevel="1">
      <c r="A65" s="219" t="s">
        <v>179</v>
      </c>
      <c r="B65" s="102">
        <v>36000000</v>
      </c>
      <c r="C65" s="8"/>
      <c r="D65" s="8"/>
      <c r="E65" s="8"/>
      <c r="F65" s="8"/>
      <c r="G65" s="8"/>
      <c r="H65" s="427">
        <f>-3150000-167000-300000-5000</f>
        <v>-3622000</v>
      </c>
      <c r="I65" s="8">
        <f>SUM(B65:H65)</f>
        <v>32378000</v>
      </c>
      <c r="J65" s="7">
        <f>7000000+1250000</f>
        <v>8250000</v>
      </c>
      <c r="K65" s="7"/>
      <c r="L65" s="7">
        <v>-8694</v>
      </c>
      <c r="M65" s="7">
        <f>+SUM(J65:L65)</f>
        <v>8241306</v>
      </c>
      <c r="N65" s="7">
        <f>7600000-264000</f>
        <v>7336000</v>
      </c>
      <c r="O65" s="8"/>
      <c r="P65" s="7">
        <f>+AC65-N65-O65</f>
        <v>-316010</v>
      </c>
      <c r="Q65" s="7">
        <f>+SUM(N65:P65)</f>
        <v>7019990</v>
      </c>
      <c r="R65" s="7">
        <v>9000000</v>
      </c>
      <c r="S65" s="7"/>
      <c r="T65" s="7"/>
      <c r="U65" s="7">
        <f>-R65-S65-T65+AD65</f>
        <v>-1738880</v>
      </c>
      <c r="V65" s="7">
        <f>+SUM(R65:U65)</f>
        <v>7261120</v>
      </c>
      <c r="W65" s="7">
        <f>11738704-3150000-167000-5000</f>
        <v>8416704</v>
      </c>
      <c r="X65" s="7"/>
      <c r="Y65" s="7"/>
      <c r="Z65" s="7">
        <f>+SUM(W65:Y65)</f>
        <v>8416704</v>
      </c>
      <c r="AA65" s="8">
        <f>+M65+Q65+V65+Z65</f>
        <v>30939120</v>
      </c>
      <c r="AB65" s="12">
        <f>+'[4]PPC ENE-MAR-11'!$G$586</f>
        <v>8241306</v>
      </c>
      <c r="AC65" s="7">
        <f>+'[4]PPC ABR-JUN-11'!$G$709</f>
        <v>7019990</v>
      </c>
      <c r="AD65" s="7">
        <f>+'[4]PPC JUL-SEP-11'!$G$752</f>
        <v>7261120</v>
      </c>
      <c r="AE65" s="7">
        <f>+'[4]PPC OCT-DIC-11'!$G$710</f>
        <v>8091560</v>
      </c>
      <c r="AF65" s="7">
        <f>SUM(AB65:AE65)</f>
        <v>30613976</v>
      </c>
      <c r="AG65" s="12">
        <f t="shared" si="71"/>
        <v>0</v>
      </c>
      <c r="AH65" s="12"/>
      <c r="AI65" s="12">
        <f t="shared" si="72"/>
        <v>0</v>
      </c>
      <c r="AJ65" s="12">
        <f>+Z65-AE65</f>
        <v>325144</v>
      </c>
      <c r="AK65" s="12">
        <f t="shared" si="47"/>
        <v>30939120</v>
      </c>
      <c r="AL65" s="12">
        <f>+I65-AK65</f>
        <v>1438880</v>
      </c>
      <c r="AM65" s="12">
        <f t="shared" si="53"/>
        <v>325144</v>
      </c>
      <c r="AN65" s="130"/>
      <c r="AO65" s="130"/>
      <c r="AP65" s="130"/>
      <c r="AQ65" s="130"/>
      <c r="AR65" s="169"/>
    </row>
    <row r="66" spans="1:44" ht="15" hidden="1" outlineLevel="1">
      <c r="A66" s="219" t="s">
        <v>194</v>
      </c>
      <c r="B66" s="102">
        <f>7800000+450000</f>
        <v>8250000</v>
      </c>
      <c r="C66" s="8"/>
      <c r="D66" s="8"/>
      <c r="E66" s="8"/>
      <c r="F66" s="8"/>
      <c r="G66" s="8"/>
      <c r="H66" s="427">
        <f>3150000+300000+300000</f>
        <v>3750000</v>
      </c>
      <c r="I66" s="8">
        <f>SUM(B66:H66)</f>
        <v>12000000</v>
      </c>
      <c r="J66" s="7">
        <v>1950000</v>
      </c>
      <c r="K66" s="7"/>
      <c r="L66" s="7">
        <v>-55438</v>
      </c>
      <c r="M66" s="7">
        <f>+SUM(J66:L66)</f>
        <v>1894562</v>
      </c>
      <c r="N66" s="7">
        <f>2400000+450000</f>
        <v>2850000</v>
      </c>
      <c r="O66" s="8"/>
      <c r="P66" s="7">
        <f>+AC66-N66-O66</f>
        <v>0</v>
      </c>
      <c r="Q66" s="7">
        <f>+SUM(N66:P66)</f>
        <v>2850000</v>
      </c>
      <c r="R66" s="7">
        <f>2000000</f>
        <v>2000000</v>
      </c>
      <c r="S66" s="7"/>
      <c r="T66" s="7"/>
      <c r="U66" s="7">
        <f>-R66-S66-T66+AD66</f>
        <v>-50000</v>
      </c>
      <c r="V66" s="7">
        <f>+SUM(R66:U66)</f>
        <v>1950000</v>
      </c>
      <c r="W66" s="7">
        <f>1855438+300000+3150000</f>
        <v>5305438</v>
      </c>
      <c r="X66" s="7"/>
      <c r="Y66" s="7"/>
      <c r="Z66" s="7">
        <f>+SUM(W66:Y66)</f>
        <v>5305438</v>
      </c>
      <c r="AA66" s="8">
        <f>+M66+Q66+V66+Z66</f>
        <v>12000000</v>
      </c>
      <c r="AB66" s="12">
        <f>+'[4]PPC ENE-MAR-11'!$G$609</f>
        <v>1894562</v>
      </c>
      <c r="AC66" s="7">
        <f>+'[4]PPC ABR-JUN-11'!$G$732</f>
        <v>2850000</v>
      </c>
      <c r="AD66" s="7">
        <f>+'[4]PPC JUL-SEP-11'!$G$774</f>
        <v>1950000</v>
      </c>
      <c r="AE66" s="7">
        <f>+'[4]PPC OCT-DIC-11'!$G$734</f>
        <v>3934007</v>
      </c>
      <c r="AF66" s="7">
        <f>SUM(AB66:AE66)</f>
        <v>10628569</v>
      </c>
      <c r="AG66" s="12">
        <f t="shared" si="71"/>
        <v>0</v>
      </c>
      <c r="AH66" s="12">
        <f>+Q66-AC66</f>
        <v>0</v>
      </c>
      <c r="AI66" s="12">
        <f t="shared" si="72"/>
        <v>0</v>
      </c>
      <c r="AJ66" s="12">
        <f>+Z66-AE66</f>
        <v>1371431</v>
      </c>
      <c r="AK66" s="12">
        <f t="shared" si="47"/>
        <v>12000000</v>
      </c>
      <c r="AL66" s="12">
        <f>+I66-AK66</f>
        <v>0</v>
      </c>
      <c r="AM66" s="12">
        <f t="shared" si="53"/>
        <v>1371431</v>
      </c>
      <c r="AN66" s="130">
        <f>+AF66/I66</f>
        <v>0.8857140833333333</v>
      </c>
      <c r="AO66" s="130">
        <f>+AB66/M66</f>
        <v>1</v>
      </c>
      <c r="AP66" s="130">
        <f>+AC66/Q66</f>
        <v>1</v>
      </c>
      <c r="AQ66" s="130">
        <f>+AD66/V66</f>
        <v>1</v>
      </c>
      <c r="AR66" s="169">
        <f t="shared" si="52"/>
        <v>0.7415046599357112</v>
      </c>
    </row>
    <row r="67" spans="1:44" ht="17.25" collapsed="1" thickBot="1">
      <c r="A67" s="220"/>
      <c r="B67" s="104"/>
      <c r="C67" s="221"/>
      <c r="D67" s="221"/>
      <c r="E67" s="221"/>
      <c r="F67" s="221"/>
      <c r="G67" s="221"/>
      <c r="H67" s="221"/>
      <c r="I67" s="222"/>
      <c r="J67" s="14"/>
      <c r="K67" s="14"/>
      <c r="L67" s="14"/>
      <c r="M67" s="28"/>
      <c r="N67" s="14"/>
      <c r="O67" s="221"/>
      <c r="P67" s="221"/>
      <c r="Q67" s="28"/>
      <c r="R67" s="14"/>
      <c r="S67" s="14"/>
      <c r="T67" s="14"/>
      <c r="U67" s="14"/>
      <c r="V67" s="14"/>
      <c r="W67" s="14"/>
      <c r="X67" s="14"/>
      <c r="Y67" s="14"/>
      <c r="Z67" s="14"/>
      <c r="AA67" s="556"/>
      <c r="AB67" s="28"/>
      <c r="AC67" s="14"/>
      <c r="AD67" s="14"/>
      <c r="AE67" s="14"/>
      <c r="AF67" s="14"/>
      <c r="AG67" s="14">
        <f t="shared" si="71"/>
        <v>0</v>
      </c>
      <c r="AH67" s="28"/>
      <c r="AI67" s="28">
        <f t="shared" si="72"/>
        <v>0</v>
      </c>
      <c r="AJ67" s="28"/>
      <c r="AK67" s="28"/>
      <c r="AL67" s="14"/>
      <c r="AM67" s="14"/>
      <c r="AN67" s="132"/>
      <c r="AO67" s="132"/>
      <c r="AP67" s="132"/>
      <c r="AQ67" s="132"/>
      <c r="AR67" s="169"/>
    </row>
    <row r="68" spans="1:44" ht="15" customHeight="1" thickBot="1">
      <c r="A68" s="153" t="s">
        <v>57</v>
      </c>
      <c r="B68" s="153">
        <f aca="true" t="shared" si="73" ref="B68:J68">+B40</f>
        <v>4625165946.33424</v>
      </c>
      <c r="C68" s="153">
        <f t="shared" si="73"/>
        <v>0</v>
      </c>
      <c r="D68" s="153">
        <f t="shared" si="73"/>
        <v>0</v>
      </c>
      <c r="E68" s="153">
        <f t="shared" si="73"/>
        <v>5600000</v>
      </c>
      <c r="F68" s="153">
        <f t="shared" si="73"/>
        <v>-258677677</v>
      </c>
      <c r="G68" s="153">
        <f t="shared" si="73"/>
        <v>270000000</v>
      </c>
      <c r="H68" s="153">
        <f t="shared" si="73"/>
        <v>0</v>
      </c>
      <c r="I68" s="153">
        <f t="shared" si="73"/>
        <v>4642088269.33424</v>
      </c>
      <c r="J68" s="153">
        <f t="shared" si="73"/>
        <v>1287838000</v>
      </c>
      <c r="K68" s="153"/>
      <c r="L68" s="153">
        <f aca="true" t="shared" si="74" ref="L68:AF68">+L40</f>
        <v>-298419907.83</v>
      </c>
      <c r="M68" s="153">
        <f t="shared" si="74"/>
        <v>971703359.1700001</v>
      </c>
      <c r="N68" s="153">
        <f t="shared" si="74"/>
        <v>1431000000</v>
      </c>
      <c r="O68" s="153">
        <f t="shared" si="74"/>
        <v>0</v>
      </c>
      <c r="P68" s="153">
        <f t="shared" si="74"/>
        <v>-382244731.95</v>
      </c>
      <c r="Q68" s="153">
        <f t="shared" si="74"/>
        <v>1048755268.05</v>
      </c>
      <c r="R68" s="153">
        <f t="shared" si="74"/>
        <v>1255946259</v>
      </c>
      <c r="S68" s="153">
        <f t="shared" si="74"/>
        <v>-36700000</v>
      </c>
      <c r="T68" s="153">
        <f t="shared" si="74"/>
        <v>0</v>
      </c>
      <c r="U68" s="153">
        <f t="shared" si="74"/>
        <v>-75773648</v>
      </c>
      <c r="V68" s="153">
        <f t="shared" si="74"/>
        <v>1143472611</v>
      </c>
      <c r="W68" s="153">
        <f t="shared" si="74"/>
        <v>1148879979</v>
      </c>
      <c r="X68" s="153">
        <f t="shared" si="74"/>
        <v>270000000</v>
      </c>
      <c r="Y68" s="153">
        <f t="shared" si="74"/>
        <v>0</v>
      </c>
      <c r="Z68" s="153">
        <f t="shared" si="74"/>
        <v>1418879979</v>
      </c>
      <c r="AA68" s="557">
        <f t="shared" si="74"/>
        <v>4582811217.22</v>
      </c>
      <c r="AB68" s="560">
        <f t="shared" si="74"/>
        <v>971703359.1700001</v>
      </c>
      <c r="AC68" s="153">
        <f t="shared" si="74"/>
        <v>1048755268.05</v>
      </c>
      <c r="AD68" s="153">
        <f t="shared" si="74"/>
        <v>1143472611</v>
      </c>
      <c r="AE68" s="153">
        <f t="shared" si="74"/>
        <v>1342463740.6799998</v>
      </c>
      <c r="AF68" s="153">
        <f t="shared" si="74"/>
        <v>4506394978.9</v>
      </c>
      <c r="AG68" s="153">
        <f t="shared" si="71"/>
        <v>0</v>
      </c>
      <c r="AH68" s="153">
        <f aca="true" t="shared" si="75" ref="AH68:AM68">+AH40</f>
        <v>0</v>
      </c>
      <c r="AI68" s="153">
        <f t="shared" si="75"/>
        <v>0</v>
      </c>
      <c r="AJ68" s="153">
        <f t="shared" si="75"/>
        <v>76416238.32</v>
      </c>
      <c r="AK68" s="153">
        <f t="shared" si="75"/>
        <v>4582811217.22</v>
      </c>
      <c r="AL68" s="153">
        <f t="shared" si="75"/>
        <v>59277052.114240006</v>
      </c>
      <c r="AM68" s="153">
        <f t="shared" si="75"/>
        <v>76416238.32</v>
      </c>
      <c r="AN68" s="148">
        <f>+AF68/I68</f>
        <v>0.9707689120582575</v>
      </c>
      <c r="AO68" s="148">
        <f>+AB68/M68</f>
        <v>1</v>
      </c>
      <c r="AP68" s="148">
        <f>+AC68/Q68</f>
        <v>1</v>
      </c>
      <c r="AQ68" s="148">
        <f>+AD68/V68</f>
        <v>1</v>
      </c>
      <c r="AR68" s="148">
        <f>+AE68/Z68</f>
        <v>0.9461432683165655</v>
      </c>
    </row>
    <row r="69" spans="1:44" ht="15.75" thickBot="1">
      <c r="A69" s="223"/>
      <c r="B69" s="225"/>
      <c r="C69" s="49"/>
      <c r="D69" s="49"/>
      <c r="E69" s="49"/>
      <c r="F69" s="49"/>
      <c r="G69" s="49"/>
      <c r="H69" s="49"/>
      <c r="I69" s="225"/>
      <c r="J69" s="59"/>
      <c r="K69" s="49"/>
      <c r="L69" s="49"/>
      <c r="M69" s="225"/>
      <c r="N69" s="59"/>
      <c r="O69" s="49"/>
      <c r="P69" s="59"/>
      <c r="Q69" s="225"/>
      <c r="R69" s="225"/>
      <c r="S69" s="225"/>
      <c r="T69" s="225"/>
      <c r="U69" s="225"/>
      <c r="V69" s="225"/>
      <c r="W69" s="48"/>
      <c r="X69" s="225"/>
      <c r="Y69" s="225"/>
      <c r="Z69" s="48"/>
      <c r="AA69" s="48"/>
      <c r="AB69" s="48"/>
      <c r="AC69" s="48"/>
      <c r="AD69" s="48"/>
      <c r="AE69" s="48"/>
      <c r="AF69" s="48"/>
      <c r="AG69" s="48">
        <f t="shared" si="71"/>
        <v>0</v>
      </c>
      <c r="AH69" s="48"/>
      <c r="AI69" s="48"/>
      <c r="AJ69" s="48"/>
      <c r="AK69" s="48"/>
      <c r="AL69" s="48"/>
      <c r="AM69" s="48"/>
      <c r="AN69" s="70"/>
      <c r="AO69" s="70"/>
      <c r="AP69" s="70"/>
      <c r="AQ69" s="70"/>
      <c r="AR69" s="212"/>
    </row>
    <row r="70" spans="1:44" ht="17.25" thickBot="1">
      <c r="A70" s="50" t="s">
        <v>180</v>
      </c>
      <c r="B70" s="50">
        <f aca="true" t="shared" si="76" ref="B70:J70">+B22+B37+B68</f>
        <v>5831945211.9295</v>
      </c>
      <c r="C70" s="50">
        <f t="shared" si="76"/>
        <v>0</v>
      </c>
      <c r="D70" s="50">
        <f t="shared" si="76"/>
        <v>0</v>
      </c>
      <c r="E70" s="50">
        <f t="shared" si="76"/>
        <v>5600000</v>
      </c>
      <c r="F70" s="50">
        <f t="shared" si="76"/>
        <v>-250677677</v>
      </c>
      <c r="G70" s="50">
        <f>+G22+G37+G68</f>
        <v>277000000</v>
      </c>
      <c r="H70" s="50">
        <f t="shared" si="76"/>
        <v>0</v>
      </c>
      <c r="I70" s="50">
        <f t="shared" si="76"/>
        <v>5863867534.9295</v>
      </c>
      <c r="J70" s="50">
        <f t="shared" si="76"/>
        <v>1589937864.0275002</v>
      </c>
      <c r="K70" s="50"/>
      <c r="L70" s="50">
        <f>+L68+L37+L22</f>
        <v>-337907091.60749996</v>
      </c>
      <c r="M70" s="50">
        <f aca="true" t="shared" si="77" ref="M70:AF70">+M22+M37+M68</f>
        <v>1234316039.42</v>
      </c>
      <c r="N70" s="50">
        <f t="shared" si="77"/>
        <v>1733982490.531103</v>
      </c>
      <c r="O70" s="50">
        <f t="shared" si="77"/>
        <v>0</v>
      </c>
      <c r="P70" s="50">
        <f t="shared" si="77"/>
        <v>-385676192.8511029</v>
      </c>
      <c r="Q70" s="50">
        <f t="shared" si="77"/>
        <v>1348306297.6799998</v>
      </c>
      <c r="R70" s="50">
        <f t="shared" si="77"/>
        <v>1569410560.531103</v>
      </c>
      <c r="S70" s="50">
        <f t="shared" si="77"/>
        <v>-36700000</v>
      </c>
      <c r="T70" s="50">
        <f>+T22+T37+T68</f>
        <v>0</v>
      </c>
      <c r="U70" s="50">
        <f t="shared" si="77"/>
        <v>-80337598.2611029</v>
      </c>
      <c r="V70" s="50">
        <f t="shared" si="77"/>
        <v>1452372962.27</v>
      </c>
      <c r="W70" s="50">
        <f t="shared" si="77"/>
        <v>1491894611.24526</v>
      </c>
      <c r="X70" s="50">
        <f t="shared" si="77"/>
        <v>277000000</v>
      </c>
      <c r="Y70" s="50">
        <f t="shared" si="77"/>
        <v>0</v>
      </c>
      <c r="Z70" s="50">
        <f t="shared" si="77"/>
        <v>1768894611.24526</v>
      </c>
      <c r="AA70" s="555">
        <f t="shared" si="77"/>
        <v>5803889910.61526</v>
      </c>
      <c r="AB70" s="559">
        <f t="shared" si="77"/>
        <v>1234316039.42</v>
      </c>
      <c r="AC70" s="50">
        <f t="shared" si="77"/>
        <v>1348306297.6799998</v>
      </c>
      <c r="AD70" s="50">
        <f t="shared" si="77"/>
        <v>1452372962.27</v>
      </c>
      <c r="AE70" s="50">
        <f t="shared" si="77"/>
        <v>1624416432.8999999</v>
      </c>
      <c r="AF70" s="50">
        <f t="shared" si="77"/>
        <v>5659411732.2699995</v>
      </c>
      <c r="AG70" s="50">
        <f t="shared" si="71"/>
        <v>0</v>
      </c>
      <c r="AH70" s="50">
        <f aca="true" t="shared" si="78" ref="AH70:AM70">+AH22+AH37+AH68</f>
        <v>0</v>
      </c>
      <c r="AI70" s="50">
        <f t="shared" si="78"/>
        <v>0</v>
      </c>
      <c r="AJ70" s="50">
        <f>+AJ22+AJ37+AJ68</f>
        <v>144478178.34526</v>
      </c>
      <c r="AK70" s="50">
        <f t="shared" si="78"/>
        <v>5803889910.61526</v>
      </c>
      <c r="AL70" s="50">
        <f t="shared" si="78"/>
        <v>59977624.31424001</v>
      </c>
      <c r="AM70" s="50">
        <f t="shared" si="78"/>
        <v>144478178.34526</v>
      </c>
      <c r="AN70" s="148">
        <f>+AF70/I70</f>
        <v>0.965132943157121</v>
      </c>
      <c r="AO70" s="148">
        <f>+AB70/M70</f>
        <v>1</v>
      </c>
      <c r="AP70" s="148">
        <f>+AC70/Q70</f>
        <v>1</v>
      </c>
      <c r="AQ70" s="148">
        <f>+AD70/V70</f>
        <v>1</v>
      </c>
      <c r="AR70" s="148">
        <f>+AE70/Z70</f>
        <v>0.9183229020955913</v>
      </c>
    </row>
    <row r="71" spans="1:47" ht="1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</row>
    <row r="72" spans="1:47" ht="15">
      <c r="A72" s="49"/>
      <c r="B72" s="224"/>
      <c r="C72" s="49"/>
      <c r="D72" s="49"/>
      <c r="E72" s="49"/>
      <c r="F72" s="49"/>
      <c r="G72" s="49"/>
      <c r="H72" s="49"/>
      <c r="I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</row>
    <row r="73" spans="1:47" ht="1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</row>
    <row r="74" spans="1:47" ht="15">
      <c r="A74" s="49"/>
      <c r="B74" s="49"/>
      <c r="C74" s="49"/>
      <c r="D74" s="49"/>
      <c r="E74" s="49"/>
      <c r="F74" s="49"/>
      <c r="G74" s="49"/>
      <c r="H74" s="49"/>
      <c r="I74" s="38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</row>
    <row r="75" spans="1:47" ht="1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</row>
    <row r="76" spans="1:47" ht="1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</row>
    <row r="77" spans="1:47" ht="1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</row>
    <row r="78" spans="1:47" ht="1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</row>
    <row r="79" spans="1:47" ht="1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</row>
    <row r="80" spans="1:47" ht="1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</row>
    <row r="81" spans="1:47" ht="1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 t="s">
        <v>181</v>
      </c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</row>
    <row r="82" spans="1:47" ht="1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</row>
    <row r="83" spans="1:47" ht="1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C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</row>
    <row r="84" spans="1:47" ht="1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</row>
    <row r="85" spans="1:47" ht="1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</row>
    <row r="86" spans="1:47" ht="1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</row>
    <row r="87" spans="1:47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</row>
    <row r="88" spans="1:47" ht="1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</row>
    <row r="89" spans="1:47" ht="1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</row>
    <row r="90" spans="1:47" ht="1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</row>
    <row r="91" spans="1:47" ht="1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</row>
    <row r="92" spans="1:47" ht="1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</row>
    <row r="93" spans="1:47" ht="1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</row>
    <row r="94" spans="1:47" ht="1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</row>
    <row r="95" spans="1:47" ht="1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</row>
    <row r="96" spans="1:47" ht="1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</row>
    <row r="97" spans="1:47" ht="1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</row>
    <row r="98" spans="1:47" ht="1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</row>
    <row r="99" spans="1:47" ht="1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</row>
    <row r="100" spans="1:47" ht="1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</row>
    <row r="101" spans="1:47" ht="1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</row>
    <row r="102" spans="1:47" ht="1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</row>
    <row r="103" spans="1:47" ht="1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</row>
    <row r="104" spans="1:47" ht="1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</row>
    <row r="105" spans="1:47" ht="1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</row>
    <row r="106" spans="1:47" ht="1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</row>
    <row r="107" spans="1:47" ht="1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</row>
    <row r="108" spans="1:47" ht="1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</row>
    <row r="109" spans="1:47" ht="1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</row>
    <row r="110" spans="1:47" ht="1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</row>
    <row r="111" spans="1:47" ht="1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</row>
    <row r="112" spans="1:47" ht="1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</row>
    <row r="113" spans="1:47" ht="1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</row>
    <row r="114" spans="1:47" ht="1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</row>
    <row r="115" spans="1:47" ht="1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</row>
    <row r="116" spans="1:47" ht="1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</row>
    <row r="117" spans="1:47" ht="1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</row>
    <row r="118" spans="1:47" ht="1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</row>
    <row r="119" spans="1:47" ht="1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</row>
    <row r="120" spans="1:47" ht="1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</row>
    <row r="121" spans="1:47" ht="1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</row>
    <row r="122" spans="1:47" ht="1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</row>
    <row r="123" spans="1:47" ht="1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</row>
    <row r="124" spans="1:47" ht="1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</row>
    <row r="125" spans="1:47" ht="1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</row>
    <row r="126" spans="1:47" ht="1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</row>
    <row r="127" spans="1:47" ht="1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</row>
    <row r="128" spans="1:47" ht="1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</row>
    <row r="129" spans="1:47" ht="1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</row>
    <row r="130" spans="1:47" ht="1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</row>
    <row r="131" spans="1:47" ht="1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</row>
    <row r="132" spans="1:47" ht="1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</row>
    <row r="133" spans="1:47" ht="1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</row>
    <row r="134" spans="1:47" ht="1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</row>
    <row r="135" spans="1:47" ht="1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</row>
    <row r="136" spans="1:47" ht="1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</row>
    <row r="137" spans="1:47" ht="1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</row>
    <row r="138" spans="1:47" ht="1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</row>
    <row r="139" spans="1:47" ht="1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</row>
    <row r="140" spans="1:47" ht="1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</row>
    <row r="141" spans="1:47" ht="1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</row>
    <row r="142" spans="1:47" ht="1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</row>
    <row r="143" spans="1:47" ht="1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</row>
    <row r="144" spans="1:47" ht="1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</row>
    <row r="145" spans="1:47" ht="1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</row>
    <row r="146" spans="1:47" ht="1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</row>
    <row r="147" spans="1:47" ht="1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</row>
    <row r="148" spans="1:47" ht="1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</row>
    <row r="149" spans="1:47" ht="1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</row>
    <row r="150" spans="1:47" ht="1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</row>
    <row r="151" spans="1:47" ht="1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</row>
    <row r="152" spans="1:47" ht="1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</row>
    <row r="153" spans="1:47" ht="1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</row>
    <row r="154" spans="1:47" ht="1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</row>
    <row r="155" spans="1:47" ht="1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</row>
    <row r="156" spans="1:47" ht="1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</row>
    <row r="157" spans="1:47" ht="1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</row>
    <row r="158" spans="1:47" ht="1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</row>
    <row r="159" spans="1:47" ht="1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</row>
    <row r="160" spans="1:47" ht="1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</row>
    <row r="161" spans="1:47" ht="1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</row>
    <row r="162" spans="1:47" ht="1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</row>
    <row r="163" spans="1:47" ht="1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</row>
    <row r="164" spans="1:47" ht="1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</row>
    <row r="165" spans="1:47" ht="1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</row>
    <row r="166" spans="1:47" ht="1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</row>
    <row r="167" spans="1:47" ht="1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</row>
    <row r="168" spans="1:47" ht="1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</row>
    <row r="169" spans="1:47" ht="1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</row>
    <row r="170" spans="1:47" ht="1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</row>
    <row r="171" spans="1:47" ht="1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</row>
    <row r="172" spans="1:47" ht="1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</row>
    <row r="173" spans="1:47" ht="1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</row>
    <row r="174" spans="1:47" ht="1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</row>
    <row r="175" spans="1:47" ht="1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</row>
    <row r="176" spans="1:47" ht="1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</row>
    <row r="177" spans="1:47" ht="1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</row>
    <row r="178" spans="1:47" ht="1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</row>
    <row r="179" spans="1:47" ht="1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</row>
    <row r="180" spans="1:47" ht="1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</row>
    <row r="181" spans="1:47" ht="1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</row>
    <row r="182" spans="1:47" ht="1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</row>
    <row r="183" spans="1:47" ht="1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</row>
    <row r="184" spans="1:47" ht="1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</row>
    <row r="185" spans="1:47" ht="1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</row>
    <row r="186" spans="1:47" ht="1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</row>
    <row r="187" spans="1:47" ht="1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</row>
    <row r="188" spans="1:47" ht="1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</row>
    <row r="189" spans="1:47" ht="1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</row>
    <row r="190" spans="1:47" ht="1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</row>
    <row r="191" spans="1:47" ht="1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</row>
    <row r="192" spans="1:47" ht="1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</row>
    <row r="193" spans="1:47" ht="1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</row>
    <row r="194" spans="1:47" ht="1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</row>
    <row r="195" spans="1:47" ht="1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</row>
    <row r="196" spans="1:47" ht="1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</row>
    <row r="197" spans="1:47" ht="1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</row>
    <row r="198" spans="1:47" ht="1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</row>
    <row r="199" spans="1:47" ht="1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</row>
    <row r="200" spans="1:47" ht="1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</row>
    <row r="201" spans="1:47" ht="1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</row>
    <row r="202" spans="1:47" ht="1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</row>
    <row r="203" spans="1:47" ht="1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</row>
    <row r="204" spans="1:47" ht="1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</row>
    <row r="205" spans="1:47" ht="1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</row>
    <row r="206" spans="1:47" ht="1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</row>
    <row r="207" spans="1:47" ht="1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</row>
    <row r="208" spans="1:47" ht="1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</row>
    <row r="209" spans="1:47" ht="1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</row>
    <row r="210" spans="1:47" ht="1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</row>
    <row r="211" spans="1:47" ht="1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</row>
    <row r="212" spans="1:47" ht="1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</row>
    <row r="213" spans="1:47" ht="1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</row>
    <row r="214" spans="1:47" ht="1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</row>
    <row r="215" spans="1:47" ht="1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</row>
    <row r="216" spans="1:47" ht="1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</row>
    <row r="217" spans="1:47" ht="1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</row>
    <row r="218" spans="1:47" ht="1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</row>
    <row r="219" spans="1:47" ht="1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</row>
    <row r="220" spans="1:47" ht="1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</row>
    <row r="221" spans="1:47" ht="1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</row>
    <row r="222" spans="1:47" ht="1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</row>
    <row r="223" spans="1:47" ht="1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</row>
    <row r="224" spans="1:47" ht="1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</row>
    <row r="225" spans="1:47" ht="1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</row>
    <row r="226" spans="1:47" ht="1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</row>
    <row r="227" spans="1:47" ht="1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</row>
    <row r="228" spans="1:47" ht="1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</row>
    <row r="229" spans="1:47" ht="1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</row>
    <row r="230" spans="1:47" ht="1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</row>
    <row r="231" spans="1:47" ht="1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</row>
    <row r="232" spans="1:47" ht="1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</row>
    <row r="233" spans="1:47" ht="1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</row>
    <row r="234" spans="1:47" ht="1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</row>
    <row r="235" spans="1:47" ht="1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</row>
    <row r="236" spans="1:47" ht="1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</row>
    <row r="237" spans="1:47" ht="1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</row>
    <row r="238" spans="1:47" ht="1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</row>
    <row r="239" spans="1:47" ht="1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</row>
    <row r="240" spans="1:47" ht="1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</row>
    <row r="241" spans="1:47" ht="1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</row>
    <row r="242" spans="1:47" ht="1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</row>
    <row r="243" spans="1:47" ht="1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</row>
    <row r="244" spans="1:47" ht="1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</row>
    <row r="245" spans="1:47" ht="1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</row>
    <row r="246" spans="1:47" ht="1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</row>
    <row r="247" spans="1:47" ht="1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</row>
    <row r="248" spans="1:47" ht="1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</row>
    <row r="249" spans="1:47" ht="1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</row>
    <row r="250" spans="1:47" ht="1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</row>
    <row r="251" spans="1:47" ht="1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</row>
    <row r="252" spans="1:47" ht="1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</row>
    <row r="253" spans="1:47" ht="1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</row>
    <row r="254" spans="1:47" ht="1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</row>
    <row r="255" spans="1:47" ht="1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</row>
    <row r="256" spans="1:47" ht="1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</row>
    <row r="257" spans="1:47" ht="1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</row>
    <row r="258" spans="1:47" ht="1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</row>
    <row r="259" spans="1:47" ht="1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</row>
    <row r="260" spans="1:47" ht="1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</row>
    <row r="261" spans="1:47" ht="1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</row>
    <row r="262" spans="1:47" ht="1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</row>
    <row r="263" spans="1:47" ht="1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</row>
    <row r="264" spans="1:47" ht="1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</row>
    <row r="265" spans="1:47" ht="1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</row>
    <row r="266" spans="1:47" ht="1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</row>
    <row r="267" spans="1:47" ht="1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</row>
    <row r="268" spans="1:47" ht="1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</row>
    <row r="269" spans="1:47" ht="1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</row>
    <row r="270" spans="1:47" ht="1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</row>
    <row r="271" spans="1:47" ht="1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</row>
    <row r="272" spans="1:47" ht="1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</row>
    <row r="273" spans="1:47" ht="1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</row>
    <row r="274" spans="1:47" ht="1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</row>
    <row r="275" spans="1:47" ht="1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</row>
    <row r="276" spans="1:47" ht="1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</row>
    <row r="277" spans="1:47" ht="1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</row>
    <row r="278" spans="1:47" ht="1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</row>
    <row r="279" spans="1:47" ht="1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</row>
    <row r="280" spans="1:47" ht="1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</row>
    <row r="281" spans="1:47" ht="1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</row>
    <row r="282" spans="1:47" ht="1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</row>
    <row r="283" spans="1:47" ht="1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</row>
    <row r="284" spans="1:47" ht="1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</row>
    <row r="285" spans="1:47" ht="1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</row>
    <row r="286" spans="1:47" ht="1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</row>
    <row r="287" spans="1:47" ht="1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</row>
    <row r="288" spans="1:47" ht="1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</row>
    <row r="289" spans="1:47" ht="1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</row>
    <row r="290" spans="1:47" ht="1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</row>
    <row r="291" spans="1:47" ht="1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</row>
    <row r="292" spans="1:47" ht="1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</row>
    <row r="293" spans="1:47" ht="1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</row>
    <row r="294" spans="1:47" ht="1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</row>
    <row r="295" spans="1:47" ht="1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</row>
    <row r="296" spans="1:47" ht="1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</row>
    <row r="297" spans="1:47" ht="1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</row>
    <row r="298" spans="1:47" ht="1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</row>
    <row r="299" spans="1:47" ht="1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</row>
    <row r="300" spans="1:47" ht="1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</row>
    <row r="301" spans="1:47" ht="1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</row>
    <row r="302" spans="1:47" ht="1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</row>
    <row r="303" spans="1:47" ht="1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</row>
    <row r="304" spans="1:47" ht="1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</row>
    <row r="305" spans="1:47" ht="1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</row>
    <row r="306" spans="1:47" ht="1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</row>
    <row r="307" spans="1:47" ht="1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</row>
    <row r="308" spans="1:47" ht="1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</row>
    <row r="309" spans="1:47" ht="1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</row>
    <row r="310" spans="1:47" ht="1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</row>
    <row r="311" spans="1:47" ht="1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</row>
    <row r="312" spans="1:47" ht="1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</row>
    <row r="313" spans="1:47" ht="1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</row>
    <row r="314" spans="1:47" ht="1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</row>
    <row r="315" spans="1:47" ht="1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</row>
    <row r="316" spans="1:47" ht="1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</row>
    <row r="317" spans="1:47" ht="1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</row>
    <row r="318" spans="1:47" ht="1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</row>
    <row r="319" spans="1:47" ht="1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</row>
    <row r="320" spans="1:47" ht="1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</row>
    <row r="321" spans="1:47" ht="1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</row>
    <row r="322" spans="1:47" ht="1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</row>
    <row r="323" spans="1:47" ht="1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</row>
    <row r="324" spans="1:47" ht="1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</row>
    <row r="325" spans="1:47" ht="1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</row>
    <row r="326" spans="1:47" ht="1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</row>
    <row r="327" spans="1:47" ht="1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</row>
    <row r="328" spans="1:47" ht="1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</row>
    <row r="329" spans="1:47" ht="1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</row>
    <row r="330" spans="1:47" ht="1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</row>
    <row r="331" spans="1:47" ht="1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</row>
    <row r="332" spans="1:47" ht="1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</row>
    <row r="333" spans="1:47" ht="1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</row>
    <row r="334" spans="1:47" ht="1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</row>
    <row r="335" spans="1:47" ht="1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</row>
    <row r="336" spans="1:47" ht="1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</row>
    <row r="337" spans="1:47" ht="1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</row>
    <row r="338" spans="1:47" ht="1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</row>
    <row r="339" spans="1:47" ht="1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</row>
    <row r="340" spans="1:47" ht="1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</row>
    <row r="341" spans="1:47" ht="1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</row>
    <row r="342" spans="1:47" ht="1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</row>
    <row r="343" spans="1:47" ht="1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</row>
    <row r="344" spans="1:47" ht="1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</row>
    <row r="345" spans="1:47" ht="1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</row>
    <row r="346" spans="1:47" ht="1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</row>
    <row r="347" spans="1:47" ht="1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</row>
    <row r="348" spans="1:47" ht="1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</row>
    <row r="349" spans="1:47" ht="1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</row>
    <row r="350" spans="1:47" ht="15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</row>
    <row r="351" spans="1:47" ht="1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</row>
    <row r="352" spans="1:47" ht="1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</row>
    <row r="353" spans="1:47" ht="1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</row>
    <row r="354" spans="1:47" ht="1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</row>
    <row r="355" spans="1:47" ht="1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</row>
    <row r="356" spans="1:47" ht="1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</row>
    <row r="357" spans="1:47" ht="1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</row>
    <row r="358" spans="1:47" ht="1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</row>
    <row r="359" spans="1:47" ht="1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</row>
    <row r="360" spans="1:47" ht="1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</row>
    <row r="361" spans="1:47" ht="1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</row>
    <row r="362" spans="1:47" ht="15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</row>
    <row r="363" spans="1:47" ht="15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</row>
    <row r="364" spans="1:47" ht="15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</row>
    <row r="365" spans="1:47" ht="1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</row>
    <row r="366" spans="1:47" ht="15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</row>
    <row r="367" spans="1:47" ht="1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</row>
    <row r="368" spans="1:47" ht="15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</row>
    <row r="369" spans="1:47" ht="15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</row>
    <row r="370" spans="1:47" ht="15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</row>
    <row r="371" spans="1:47" ht="15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</row>
    <row r="372" spans="1:47" ht="1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</row>
    <row r="373" spans="1:47" ht="15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</row>
    <row r="374" spans="1:47" ht="15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</row>
    <row r="375" spans="1:47" ht="1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</row>
    <row r="376" spans="1:47" ht="15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</row>
    <row r="377" spans="1:47" ht="1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</row>
    <row r="378" spans="1:47" ht="15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</row>
    <row r="379" spans="1:47" ht="15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</row>
    <row r="380" spans="1:47" ht="15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</row>
    <row r="381" spans="1:47" ht="15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</row>
    <row r="382" spans="1:47" ht="15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</row>
    <row r="383" spans="1:47" ht="15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</row>
    <row r="384" spans="1:47" ht="15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</row>
    <row r="385" spans="1:47" ht="1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</row>
    <row r="386" spans="1:47" ht="15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</row>
    <row r="387" spans="1:47" ht="15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</row>
    <row r="388" spans="1:47" ht="15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</row>
    <row r="389" spans="1:47" ht="15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</row>
    <row r="390" spans="1:47" ht="15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</row>
    <row r="391" spans="1:47" ht="15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</row>
    <row r="392" spans="1:47" ht="15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</row>
    <row r="393" spans="1:47" ht="15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</row>
    <row r="394" spans="1:47" ht="15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</row>
    <row r="395" spans="1:47" ht="1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</row>
    <row r="396" spans="1:47" ht="15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</row>
    <row r="397" spans="1:47" ht="15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</row>
    <row r="398" spans="1:47" ht="15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</row>
    <row r="399" spans="1:47" ht="15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</row>
    <row r="400" spans="1:47" ht="15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</row>
    <row r="401" spans="1:47" ht="15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</row>
    <row r="402" spans="1:47" ht="15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</row>
    <row r="403" spans="1:47" ht="1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</row>
    <row r="404" spans="1:47" ht="15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</row>
    <row r="405" spans="1:47" ht="1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</row>
    <row r="406" spans="1:47" ht="1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</row>
    <row r="407" spans="1:47" ht="15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</row>
    <row r="408" spans="1:47" ht="15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</row>
    <row r="409" spans="1:47" ht="15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</row>
    <row r="410" spans="1:47" ht="15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</row>
    <row r="411" spans="1:47" ht="1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</row>
    <row r="412" spans="1:47" ht="15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</row>
    <row r="413" spans="1:47" ht="15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</row>
    <row r="414" spans="1:47" ht="15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</row>
    <row r="415" spans="1:47" ht="1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</row>
    <row r="416" spans="1:47" ht="15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</row>
    <row r="417" spans="1:47" ht="15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</row>
    <row r="418" spans="1:47" ht="15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</row>
    <row r="419" spans="1:47" ht="15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</row>
    <row r="420" spans="1:47" ht="15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</row>
    <row r="421" spans="1:47" ht="15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</row>
    <row r="422" spans="1:47" ht="15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</row>
    <row r="423" spans="1:47" ht="15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</row>
    <row r="424" spans="1:47" ht="15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</row>
    <row r="425" spans="1:47" ht="1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</row>
    <row r="426" spans="1:47" ht="15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</row>
    <row r="427" spans="1:47" ht="15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</row>
    <row r="428" spans="1:47" ht="15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</row>
    <row r="429" spans="1:47" ht="15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</row>
    <row r="430" spans="1:47" ht="15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</row>
    <row r="431" spans="1:47" ht="15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</row>
    <row r="432" spans="1:47" ht="1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</row>
    <row r="433" spans="1:47" ht="1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</row>
    <row r="434" spans="1:47" ht="1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</row>
    <row r="435" spans="1:47" ht="1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</row>
    <row r="436" spans="1:47" ht="1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</row>
    <row r="437" spans="1:47" ht="1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</row>
    <row r="438" spans="1:47" ht="1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</row>
    <row r="439" spans="1:47" ht="1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</row>
    <row r="440" spans="1:47" ht="1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</row>
    <row r="441" spans="1:47" ht="1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</row>
    <row r="442" spans="1:47" ht="1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</row>
    <row r="443" spans="1:47" ht="1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</row>
    <row r="444" spans="1:47" ht="1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</row>
    <row r="445" spans="1:47" ht="1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</row>
    <row r="446" spans="1:47" ht="1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</row>
    <row r="447" spans="1:47" ht="1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</row>
    <row r="448" spans="1:47" ht="1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</row>
    <row r="449" spans="1:47" ht="1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</row>
    <row r="450" spans="1:47" ht="1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</row>
    <row r="451" spans="1:47" ht="1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</row>
    <row r="452" spans="1:47" ht="1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</row>
    <row r="453" spans="1:47" ht="1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</row>
    <row r="454" spans="1:47" ht="1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</row>
    <row r="455" spans="1:47" ht="1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</row>
    <row r="456" spans="1:47" ht="1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</row>
    <row r="457" spans="1:47" ht="1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</row>
    <row r="458" spans="1:47" ht="1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</row>
    <row r="459" spans="1:47" ht="1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</row>
    <row r="460" spans="1:47" ht="1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</row>
    <row r="461" spans="1:47" ht="1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</row>
    <row r="462" spans="1:47" ht="1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</row>
    <row r="463" spans="1:47" ht="1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</row>
    <row r="464" spans="1:47" ht="1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</row>
    <row r="465" spans="1:47" ht="1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</row>
    <row r="466" spans="1:47" ht="1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</row>
    <row r="467" spans="1:47" ht="1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</row>
    <row r="468" spans="1:47" ht="1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</row>
    <row r="469" spans="1:47" ht="1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</row>
    <row r="470" spans="1:47" ht="1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</row>
    <row r="471" spans="1:47" ht="1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</row>
    <row r="472" spans="1:47" ht="1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</row>
    <row r="473" spans="1:47" ht="1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</row>
    <row r="474" spans="1:47" ht="1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</row>
    <row r="475" spans="1:47" ht="1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</row>
    <row r="476" spans="1:47" ht="1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</row>
    <row r="477" spans="1:47" ht="1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</row>
    <row r="478" spans="1:47" ht="1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</row>
    <row r="479" spans="1:47" ht="1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</row>
    <row r="480" spans="1:47" ht="1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</row>
    <row r="481" spans="1:47" ht="1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</row>
    <row r="482" spans="1:47" ht="1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</row>
    <row r="483" spans="1:47" ht="1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</row>
    <row r="484" spans="1:47" ht="1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9"/>
    </row>
    <row r="485" spans="1:47" ht="1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</row>
    <row r="486" spans="1:47" ht="1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</row>
    <row r="487" spans="1:47" ht="1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</row>
    <row r="488" spans="1:47" ht="1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</row>
    <row r="489" spans="1:47" ht="1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</row>
    <row r="490" spans="1:47" ht="1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49"/>
      <c r="AS490" s="49"/>
      <c r="AT490" s="49"/>
      <c r="AU490" s="49"/>
    </row>
    <row r="491" spans="1:47" ht="1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49"/>
      <c r="AS491" s="49"/>
      <c r="AT491" s="49"/>
      <c r="AU491" s="49"/>
    </row>
    <row r="492" spans="1:47" ht="1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9"/>
    </row>
    <row r="493" spans="1:47" ht="1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9"/>
    </row>
    <row r="494" spans="1:47" ht="1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9"/>
    </row>
    <row r="495" spans="1:47" ht="1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9"/>
    </row>
    <row r="496" spans="1:47" ht="1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49"/>
      <c r="AS496" s="49"/>
      <c r="AT496" s="49"/>
      <c r="AU496" s="49"/>
    </row>
    <row r="497" spans="1:47" ht="1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49"/>
      <c r="AS497" s="49"/>
      <c r="AT497" s="49"/>
      <c r="AU497" s="49"/>
    </row>
    <row r="498" spans="1:47" ht="15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9"/>
    </row>
    <row r="499" spans="1:47" ht="15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9"/>
    </row>
    <row r="500" spans="1:47" ht="1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9"/>
    </row>
    <row r="501" spans="1:47" ht="15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9"/>
    </row>
    <row r="502" spans="1:47" ht="15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</row>
    <row r="503" spans="1:47" ht="15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9"/>
    </row>
    <row r="504" spans="1:47" ht="15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</row>
    <row r="505" spans="1:47" ht="1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9"/>
    </row>
    <row r="506" spans="1:47" ht="15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9"/>
    </row>
    <row r="507" spans="1:47" ht="15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9"/>
    </row>
    <row r="508" spans="1:47" ht="15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9"/>
    </row>
    <row r="509" spans="1:47" ht="15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49"/>
      <c r="AS509" s="49"/>
      <c r="AT509" s="49"/>
      <c r="AU509" s="49"/>
    </row>
    <row r="510" spans="1:47" ht="15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49"/>
      <c r="AS510" s="49"/>
      <c r="AT510" s="49"/>
      <c r="AU510" s="49"/>
    </row>
    <row r="511" spans="1:47" ht="15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49"/>
      <c r="AS511" s="49"/>
      <c r="AT511" s="49"/>
      <c r="AU511" s="49"/>
    </row>
    <row r="512" spans="1:47" ht="15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49"/>
      <c r="AS512" s="49"/>
      <c r="AT512" s="49"/>
      <c r="AU512" s="49"/>
    </row>
    <row r="513" spans="1:47" ht="15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9"/>
    </row>
    <row r="514" spans="1:47" ht="15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49"/>
      <c r="AS514" s="49"/>
      <c r="AT514" s="49"/>
      <c r="AU514" s="49"/>
    </row>
    <row r="515" spans="1:47" ht="1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</row>
    <row r="516" spans="1:47" ht="15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9"/>
    </row>
    <row r="517" spans="1:47" ht="15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49"/>
      <c r="AS517" s="49"/>
      <c r="AT517" s="49"/>
      <c r="AU517" s="49"/>
    </row>
    <row r="518" spans="1:47" ht="15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9"/>
    </row>
    <row r="519" spans="1:47" ht="15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9"/>
    </row>
    <row r="520" spans="1:47" ht="15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  <c r="AS520" s="49"/>
      <c r="AT520" s="49"/>
      <c r="AU520" s="49"/>
    </row>
    <row r="521" spans="1:47" ht="15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49"/>
      <c r="AS521" s="49"/>
      <c r="AT521" s="49"/>
      <c r="AU521" s="49"/>
    </row>
    <row r="522" spans="1:47" ht="15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9"/>
    </row>
    <row r="523" spans="1:47" ht="15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49"/>
      <c r="AS523" s="49"/>
      <c r="AT523" s="49"/>
      <c r="AU523" s="49"/>
    </row>
    <row r="524" spans="1:47" ht="15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49"/>
      <c r="AS524" s="49"/>
      <c r="AT524" s="49"/>
      <c r="AU524" s="49"/>
    </row>
    <row r="525" spans="1:47" ht="1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49"/>
      <c r="AS525" s="49"/>
      <c r="AT525" s="49"/>
      <c r="AU525" s="49"/>
    </row>
    <row r="526" spans="1:47" ht="15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49"/>
      <c r="AS526" s="49"/>
      <c r="AT526" s="49"/>
      <c r="AU526" s="49"/>
    </row>
    <row r="527" spans="1:47" ht="15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49"/>
      <c r="AS527" s="49"/>
      <c r="AT527" s="49"/>
      <c r="AU527" s="49"/>
    </row>
    <row r="528" spans="1:47" ht="15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9"/>
    </row>
    <row r="529" spans="1:47" ht="15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49"/>
      <c r="AS529" s="49"/>
      <c r="AT529" s="49"/>
      <c r="AU529" s="49"/>
    </row>
    <row r="530" spans="1:47" ht="15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49"/>
      <c r="AS530" s="49"/>
      <c r="AT530" s="49"/>
      <c r="AU530" s="49"/>
    </row>
    <row r="531" spans="1:47" ht="15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49"/>
      <c r="AS531" s="49"/>
      <c r="AT531" s="49"/>
      <c r="AU531" s="49"/>
    </row>
    <row r="532" spans="1:47" ht="15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9"/>
    </row>
    <row r="533" spans="1:47" ht="15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9"/>
    </row>
    <row r="534" spans="1:47" ht="15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9"/>
    </row>
    <row r="535" spans="1:47" ht="1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9"/>
    </row>
    <row r="536" spans="1:47" ht="15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9"/>
    </row>
    <row r="537" spans="1:47" ht="15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</row>
    <row r="538" spans="1:47" ht="15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9"/>
    </row>
    <row r="539" spans="1:47" ht="15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9"/>
    </row>
    <row r="540" spans="1:47" ht="15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9"/>
    </row>
    <row r="541" spans="1:47" ht="15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9"/>
    </row>
    <row r="542" spans="1:47" ht="15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9"/>
    </row>
    <row r="543" spans="1:47" ht="15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</row>
    <row r="544" spans="1:47" ht="15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9"/>
    </row>
    <row r="545" spans="1:47" ht="1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9"/>
    </row>
    <row r="546" spans="1:47" ht="15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9"/>
    </row>
    <row r="547" spans="1:47" ht="15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9"/>
    </row>
    <row r="548" spans="1:47" ht="15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1:47" ht="15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1:47" ht="15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1:47" ht="15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</row>
    <row r="552" spans="1:47" ht="15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49"/>
      <c r="AS552" s="49"/>
      <c r="AT552" s="49"/>
      <c r="AU552" s="49"/>
    </row>
    <row r="553" spans="1:47" ht="15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49"/>
      <c r="AS553" s="49"/>
      <c r="AT553" s="49"/>
      <c r="AU553" s="49"/>
    </row>
    <row r="554" spans="1:47" ht="15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49"/>
      <c r="AS554" s="49"/>
      <c r="AT554" s="49"/>
      <c r="AU554" s="49"/>
    </row>
    <row r="555" spans="1:47" ht="1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49"/>
      <c r="AS555" s="49"/>
      <c r="AT555" s="49"/>
      <c r="AU555" s="49"/>
    </row>
    <row r="556" spans="1:47" ht="15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49"/>
      <c r="AS556" s="49"/>
      <c r="AT556" s="49"/>
      <c r="AU556" s="49"/>
    </row>
    <row r="557" spans="1:47" ht="15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49"/>
      <c r="AS557" s="49"/>
      <c r="AT557" s="49"/>
      <c r="AU557" s="49"/>
    </row>
    <row r="558" spans="1:47" ht="15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49"/>
      <c r="AS558" s="49"/>
      <c r="AT558" s="49"/>
      <c r="AU558" s="49"/>
    </row>
    <row r="559" spans="1:47" ht="15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9"/>
    </row>
    <row r="560" spans="1:47" ht="15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49"/>
      <c r="AS560" s="49"/>
      <c r="AT560" s="49"/>
      <c r="AU560" s="49"/>
    </row>
    <row r="561" spans="1:47" ht="15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49"/>
      <c r="AS561" s="49"/>
      <c r="AT561" s="49"/>
      <c r="AU561" s="49"/>
    </row>
    <row r="562" spans="1:47" ht="15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9"/>
    </row>
    <row r="563" spans="1:47" ht="15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49"/>
      <c r="AS563" s="49"/>
      <c r="AT563" s="49"/>
      <c r="AU563" s="49"/>
    </row>
    <row r="564" spans="1:47" ht="15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49"/>
      <c r="AS564" s="49"/>
      <c r="AT564" s="49"/>
      <c r="AU564" s="49"/>
    </row>
    <row r="565" spans="1:47" ht="15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49"/>
      <c r="AS565" s="49"/>
      <c r="AT565" s="49"/>
      <c r="AU565" s="49"/>
    </row>
    <row r="566" spans="1:47" ht="15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49"/>
      <c r="AS566" s="49"/>
      <c r="AT566" s="49"/>
      <c r="AU566" s="49"/>
    </row>
    <row r="567" spans="1:47" ht="15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9"/>
    </row>
    <row r="568" spans="1:47" ht="15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9"/>
    </row>
    <row r="569" spans="1:47" ht="15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9"/>
    </row>
    <row r="570" spans="1:47" ht="15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9"/>
    </row>
    <row r="571" spans="1:47" ht="15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9"/>
    </row>
    <row r="572" spans="1:47" ht="15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9"/>
    </row>
    <row r="573" spans="1:47" ht="15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9"/>
    </row>
    <row r="574" spans="1:47" ht="15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9"/>
    </row>
    <row r="575" spans="1:47" ht="15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49"/>
      <c r="AS575" s="49"/>
      <c r="AT575" s="49"/>
      <c r="AU575" s="49"/>
    </row>
    <row r="576" spans="1:47" ht="15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49"/>
      <c r="AS576" s="49"/>
      <c r="AT576" s="49"/>
      <c r="AU576" s="49"/>
    </row>
    <row r="577" spans="1:47" ht="15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</row>
    <row r="578" spans="1:47" ht="15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</row>
    <row r="579" spans="1:47" ht="15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9"/>
    </row>
    <row r="580" spans="1:47" ht="15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</row>
    <row r="581" spans="1:47" ht="15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49"/>
      <c r="AS581" s="49"/>
      <c r="AT581" s="49"/>
      <c r="AU581" s="49"/>
    </row>
    <row r="582" spans="1:47" ht="15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49"/>
      <c r="AS582" s="49"/>
      <c r="AT582" s="49"/>
      <c r="AU582" s="49"/>
    </row>
    <row r="583" spans="1:47" ht="15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9"/>
    </row>
    <row r="584" spans="1:47" ht="15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9"/>
    </row>
    <row r="585" spans="1:47" ht="15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9"/>
    </row>
    <row r="586" spans="1:47" ht="15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9"/>
    </row>
    <row r="587" spans="1:47" ht="15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9"/>
    </row>
    <row r="588" spans="1:47" ht="15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49"/>
      <c r="AS588" s="49"/>
      <c r="AT588" s="49"/>
      <c r="AU588" s="49"/>
    </row>
    <row r="589" spans="1:47" ht="15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9"/>
    </row>
    <row r="590" spans="1:47" ht="15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49"/>
      <c r="AS590" s="49"/>
      <c r="AT590" s="49"/>
      <c r="AU590" s="49"/>
    </row>
    <row r="591" spans="1:47" ht="15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9"/>
    </row>
    <row r="592" spans="1:47" ht="15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9"/>
    </row>
    <row r="593" spans="1:47" ht="15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9"/>
    </row>
    <row r="594" spans="1:47" ht="15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</row>
    <row r="595" spans="1:47" ht="1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</row>
    <row r="596" spans="1:47" ht="15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9"/>
    </row>
    <row r="597" spans="1:47" ht="15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9"/>
    </row>
    <row r="598" spans="1:47" ht="15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9"/>
    </row>
    <row r="599" spans="1:47" ht="15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9"/>
    </row>
    <row r="600" spans="1:47" ht="15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</row>
    <row r="601" spans="1:47" ht="15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</row>
    <row r="602" spans="1:47" ht="15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9"/>
    </row>
    <row r="603" spans="1:47" ht="15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</row>
    <row r="604" spans="1:47" ht="15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9"/>
    </row>
    <row r="605" spans="1:47" ht="15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9"/>
    </row>
    <row r="606" spans="1:47" ht="15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9"/>
    </row>
    <row r="607" spans="1:47" ht="15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</row>
    <row r="608" spans="1:47" ht="15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9"/>
    </row>
    <row r="609" spans="1:47" ht="15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9"/>
    </row>
    <row r="610" spans="1:47" ht="15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</row>
    <row r="611" spans="1:47" ht="15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9"/>
    </row>
    <row r="612" spans="1:47" ht="15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9"/>
    </row>
    <row r="613" spans="1:47" ht="15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9"/>
    </row>
    <row r="614" spans="1:47" ht="15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9"/>
    </row>
    <row r="615" spans="1:47" ht="15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9"/>
    </row>
    <row r="616" spans="1:47" ht="15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</row>
    <row r="617" spans="1:47" ht="15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9"/>
    </row>
    <row r="618" spans="1:47" ht="15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9"/>
    </row>
    <row r="619" spans="1:47" ht="15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9"/>
    </row>
    <row r="620" spans="1:47" ht="15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9"/>
    </row>
    <row r="621" spans="1:47" ht="15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9"/>
    </row>
    <row r="622" spans="1:47" ht="15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9"/>
    </row>
    <row r="623" spans="1:47" ht="15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9"/>
    </row>
    <row r="624" spans="1:47" ht="15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9"/>
    </row>
    <row r="625" spans="1:47" ht="1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</row>
    <row r="626" spans="1:47" ht="15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9"/>
    </row>
    <row r="627" spans="1:47" ht="15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9"/>
    </row>
    <row r="628" spans="1:47" ht="15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</row>
    <row r="629" spans="1:47" ht="15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49"/>
      <c r="AS629" s="49"/>
      <c r="AT629" s="49"/>
      <c r="AU629" s="49"/>
    </row>
    <row r="630" spans="1:47" ht="15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49"/>
      <c r="AS630" s="49"/>
      <c r="AT630" s="49"/>
      <c r="AU630" s="49"/>
    </row>
    <row r="631" spans="1:47" ht="15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9"/>
    </row>
    <row r="632" spans="1:47" ht="15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9"/>
    </row>
    <row r="633" spans="1:47" ht="15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49"/>
      <c r="AS633" s="49"/>
      <c r="AT633" s="49"/>
      <c r="AU633" s="49"/>
    </row>
    <row r="634" spans="1:47" ht="15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49"/>
      <c r="AS634" s="49"/>
      <c r="AT634" s="49"/>
      <c r="AU634" s="49"/>
    </row>
    <row r="635" spans="1:47" ht="15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49"/>
      <c r="AS635" s="49"/>
      <c r="AT635" s="49"/>
      <c r="AU635" s="49"/>
    </row>
    <row r="636" spans="1:47" ht="15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49"/>
      <c r="AS636" s="49"/>
      <c r="AT636" s="49"/>
      <c r="AU636" s="49"/>
    </row>
    <row r="637" spans="1:47" ht="15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9"/>
    </row>
    <row r="638" spans="1:47" ht="15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49"/>
      <c r="AS638" s="49"/>
      <c r="AT638" s="49"/>
      <c r="AU638" s="49"/>
    </row>
    <row r="639" spans="1:47" ht="15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49"/>
      <c r="AS639" s="49"/>
      <c r="AT639" s="49"/>
      <c r="AU639" s="49"/>
    </row>
    <row r="640" spans="1:47" ht="15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49"/>
      <c r="AS640" s="49"/>
      <c r="AT640" s="49"/>
      <c r="AU640" s="49"/>
    </row>
    <row r="641" spans="1:47" ht="15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49"/>
      <c r="AS641" s="49"/>
      <c r="AT641" s="49"/>
      <c r="AU641" s="49"/>
    </row>
    <row r="642" spans="1:47" ht="15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  <c r="AS642" s="49"/>
      <c r="AT642" s="49"/>
      <c r="AU642" s="49"/>
    </row>
    <row r="643" spans="1:47" ht="15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49"/>
      <c r="AS643" s="49"/>
      <c r="AT643" s="49"/>
      <c r="AU643" s="49"/>
    </row>
    <row r="644" spans="1:47" ht="15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49"/>
      <c r="AS644" s="49"/>
      <c r="AT644" s="49"/>
      <c r="AU644" s="49"/>
    </row>
    <row r="645" spans="1:47" ht="1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49"/>
      <c r="AS645" s="49"/>
      <c r="AT645" s="49"/>
      <c r="AU645" s="49"/>
    </row>
    <row r="646" spans="1:47" ht="15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49"/>
      <c r="AS646" s="49"/>
      <c r="AT646" s="49"/>
      <c r="AU646" s="49"/>
    </row>
    <row r="647" spans="1:47" ht="15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49"/>
      <c r="AS647" s="49"/>
      <c r="AT647" s="49"/>
      <c r="AU647" s="49"/>
    </row>
    <row r="648" spans="1:47" ht="15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49"/>
      <c r="AS648" s="49"/>
      <c r="AT648" s="49"/>
      <c r="AU648" s="49"/>
    </row>
    <row r="649" spans="1:47" ht="15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49"/>
      <c r="AS649" s="49"/>
      <c r="AT649" s="49"/>
      <c r="AU649" s="49"/>
    </row>
    <row r="650" spans="1:47" ht="15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49"/>
      <c r="AS650" s="49"/>
      <c r="AT650" s="49"/>
      <c r="AU650" s="49"/>
    </row>
    <row r="651" spans="1:47" ht="15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49"/>
      <c r="AS651" s="49"/>
      <c r="AT651" s="49"/>
      <c r="AU651" s="49"/>
    </row>
    <row r="652" spans="1:47" ht="15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49"/>
      <c r="AS652" s="49"/>
      <c r="AT652" s="49"/>
      <c r="AU652" s="49"/>
    </row>
    <row r="653" spans="1:47" ht="15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49"/>
      <c r="AS653" s="49"/>
      <c r="AT653" s="49"/>
      <c r="AU653" s="49"/>
    </row>
    <row r="654" spans="1:47" ht="15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9"/>
    </row>
    <row r="655" spans="1:47" ht="1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9"/>
    </row>
    <row r="656" spans="1:47" ht="15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49"/>
      <c r="AS656" s="49"/>
      <c r="AT656" s="49"/>
      <c r="AU656" s="49"/>
    </row>
    <row r="657" spans="1:47" ht="15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9"/>
    </row>
    <row r="658" spans="1:47" ht="15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9"/>
    </row>
    <row r="659" spans="1:47" ht="15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/>
      <c r="AS659" s="49"/>
      <c r="AT659" s="49"/>
      <c r="AU659" s="49"/>
    </row>
    <row r="660" spans="1:47" ht="15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9"/>
    </row>
    <row r="661" spans="1:47" ht="15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49"/>
      <c r="AS661" s="49"/>
      <c r="AT661" s="49"/>
      <c r="AU661" s="49"/>
    </row>
    <row r="662" spans="1:47" ht="15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49"/>
      <c r="AS662" s="49"/>
      <c r="AT662" s="49"/>
      <c r="AU662" s="49"/>
    </row>
    <row r="663" spans="1:47" ht="15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49"/>
      <c r="AS663" s="49"/>
      <c r="AT663" s="49"/>
      <c r="AU663" s="49"/>
    </row>
    <row r="664" spans="1:47" ht="15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  <c r="AR664" s="49"/>
      <c r="AS664" s="49"/>
      <c r="AT664" s="49"/>
      <c r="AU664" s="49"/>
    </row>
    <row r="665" spans="1:47" ht="1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49"/>
      <c r="AS665" s="49"/>
      <c r="AT665" s="49"/>
      <c r="AU665" s="49"/>
    </row>
    <row r="666" spans="1:47" ht="15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49"/>
      <c r="AS666" s="49"/>
      <c r="AT666" s="49"/>
      <c r="AU666" s="49"/>
    </row>
    <row r="667" spans="1:47" ht="15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49"/>
      <c r="AS667" s="49"/>
      <c r="AT667" s="49"/>
      <c r="AU667" s="49"/>
    </row>
    <row r="668" spans="1:47" ht="15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49"/>
      <c r="AS668" s="49"/>
      <c r="AT668" s="49"/>
      <c r="AU668" s="49"/>
    </row>
    <row r="669" spans="1:47" ht="15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49"/>
      <c r="AS669" s="49"/>
      <c r="AT669" s="49"/>
      <c r="AU669" s="49"/>
    </row>
    <row r="670" spans="1:47" ht="15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9"/>
    </row>
    <row r="671" spans="1:47" ht="15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49"/>
      <c r="AS671" s="49"/>
      <c r="AT671" s="49"/>
      <c r="AU671" s="49"/>
    </row>
    <row r="672" spans="1:47" ht="15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49"/>
      <c r="AS672" s="49"/>
      <c r="AT672" s="49"/>
      <c r="AU672" s="49"/>
    </row>
    <row r="673" spans="1:47" ht="15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9"/>
    </row>
    <row r="674" spans="1:47" ht="15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9"/>
    </row>
    <row r="675" spans="1:47" ht="1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49"/>
      <c r="AS675" s="49"/>
      <c r="AT675" s="49"/>
      <c r="AU675" s="49"/>
    </row>
    <row r="676" spans="1:47" ht="15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49"/>
      <c r="AS676" s="49"/>
      <c r="AT676" s="49"/>
      <c r="AU676" s="49"/>
    </row>
    <row r="677" spans="1:47" ht="15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49"/>
      <c r="AS677" s="49"/>
      <c r="AT677" s="49"/>
      <c r="AU677" s="49"/>
    </row>
    <row r="678" spans="1:47" ht="15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49"/>
      <c r="AS678" s="49"/>
      <c r="AT678" s="49"/>
      <c r="AU678" s="49"/>
    </row>
    <row r="679" spans="1:47" ht="15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9"/>
    </row>
    <row r="680" spans="1:47" ht="15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49"/>
      <c r="AS680" s="49"/>
      <c r="AT680" s="49"/>
      <c r="AU680" s="49"/>
    </row>
    <row r="681" spans="1:47" ht="15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49"/>
      <c r="AS681" s="49"/>
      <c r="AT681" s="49"/>
      <c r="AU681" s="49"/>
    </row>
    <row r="682" spans="1:47" ht="15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9"/>
    </row>
    <row r="683" spans="1:47" ht="15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49"/>
      <c r="AS683" s="49"/>
      <c r="AT683" s="49"/>
      <c r="AU683" s="49"/>
    </row>
    <row r="684" spans="1:47" ht="15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49"/>
      <c r="AS684" s="49"/>
      <c r="AT684" s="49"/>
      <c r="AU684" s="49"/>
    </row>
    <row r="685" spans="1:47" ht="1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49"/>
      <c r="AS685" s="49"/>
      <c r="AT685" s="49"/>
      <c r="AU685" s="49"/>
    </row>
    <row r="686" spans="1:47" ht="15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49"/>
      <c r="AS686" s="49"/>
      <c r="AT686" s="49"/>
      <c r="AU686" s="49"/>
    </row>
    <row r="687" spans="1:47" ht="15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49"/>
      <c r="AS687" s="49"/>
      <c r="AT687" s="49"/>
      <c r="AU687" s="49"/>
    </row>
    <row r="688" spans="1:47" ht="15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9"/>
    </row>
    <row r="689" spans="1:47" ht="15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49"/>
      <c r="AS689" s="49"/>
      <c r="AT689" s="49"/>
      <c r="AU689" s="49"/>
    </row>
    <row r="690" spans="1:47" ht="15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49"/>
      <c r="AS690" s="49"/>
      <c r="AT690" s="49"/>
      <c r="AU690" s="49"/>
    </row>
    <row r="691" spans="1:47" ht="15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  <c r="AR691" s="49"/>
      <c r="AS691" s="49"/>
      <c r="AT691" s="49"/>
      <c r="AU691" s="49"/>
    </row>
    <row r="692" spans="1:47" ht="15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  <c r="AR692" s="49"/>
      <c r="AS692" s="49"/>
      <c r="AT692" s="49"/>
      <c r="AU692" s="49"/>
    </row>
    <row r="693" spans="1:47" ht="15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  <c r="AR693" s="49"/>
      <c r="AS693" s="49"/>
      <c r="AT693" s="49"/>
      <c r="AU693" s="49"/>
    </row>
    <row r="694" spans="1:47" ht="15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  <c r="AR694" s="49"/>
      <c r="AS694" s="49"/>
      <c r="AT694" s="49"/>
      <c r="AU694" s="49"/>
    </row>
    <row r="695" spans="1:47" ht="1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49"/>
      <c r="AS695" s="49"/>
      <c r="AT695" s="49"/>
      <c r="AU695" s="49"/>
    </row>
    <row r="696" spans="1:47" ht="15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  <c r="AR696" s="49"/>
      <c r="AS696" s="49"/>
      <c r="AT696" s="49"/>
      <c r="AU696" s="49"/>
    </row>
    <row r="697" spans="1:47" ht="15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49"/>
      <c r="AS697" s="49"/>
      <c r="AT697" s="49"/>
      <c r="AU697" s="49"/>
    </row>
    <row r="698" spans="1:47" ht="15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49"/>
      <c r="AS698" s="49"/>
      <c r="AT698" s="49"/>
      <c r="AU698" s="49"/>
    </row>
    <row r="699" spans="1:47" ht="15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  <c r="AK699" s="49"/>
      <c r="AL699" s="49"/>
      <c r="AM699" s="49"/>
      <c r="AN699" s="49"/>
      <c r="AO699" s="49"/>
      <c r="AP699" s="49"/>
      <c r="AQ699" s="49"/>
      <c r="AR699" s="49"/>
      <c r="AS699" s="49"/>
      <c r="AT699" s="49"/>
      <c r="AU699" s="49"/>
    </row>
    <row r="700" spans="1:47" ht="15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49"/>
      <c r="AS700" s="49"/>
      <c r="AT700" s="49"/>
      <c r="AU700" s="49"/>
    </row>
    <row r="701" spans="1:47" ht="15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49"/>
      <c r="AS701" s="49"/>
      <c r="AT701" s="49"/>
      <c r="AU701" s="49"/>
    </row>
    <row r="702" spans="1:47" ht="15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49"/>
      <c r="AS702" s="49"/>
      <c r="AT702" s="49"/>
      <c r="AU702" s="49"/>
    </row>
    <row r="703" spans="1:47" ht="15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49"/>
      <c r="AS703" s="49"/>
      <c r="AT703" s="49"/>
      <c r="AU703" s="49"/>
    </row>
    <row r="704" spans="1:47" ht="15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  <c r="AR704" s="49"/>
      <c r="AS704" s="49"/>
      <c r="AT704" s="49"/>
      <c r="AU704" s="49"/>
    </row>
    <row r="705" spans="1:47" ht="1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  <c r="AR705" s="49"/>
      <c r="AS705" s="49"/>
      <c r="AT705" s="49"/>
      <c r="AU705" s="49"/>
    </row>
    <row r="706" spans="1:47" ht="15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  <c r="AR706" s="49"/>
      <c r="AS706" s="49"/>
      <c r="AT706" s="49"/>
      <c r="AU706" s="49"/>
    </row>
    <row r="707" spans="1:47" ht="15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49"/>
      <c r="AS707" s="49"/>
      <c r="AT707" s="49"/>
      <c r="AU707" s="49"/>
    </row>
    <row r="708" spans="1:47" ht="15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49"/>
      <c r="AS708" s="49"/>
      <c r="AT708" s="49"/>
      <c r="AU708" s="49"/>
    </row>
    <row r="709" spans="1:47" ht="15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49"/>
      <c r="AS709" s="49"/>
      <c r="AT709" s="49"/>
      <c r="AU709" s="49"/>
    </row>
    <row r="710" spans="1:47" ht="15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/>
      <c r="AR710" s="49"/>
      <c r="AS710" s="49"/>
      <c r="AT710" s="49"/>
      <c r="AU710" s="49"/>
    </row>
    <row r="711" spans="1:47" ht="15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49"/>
      <c r="AS711" s="49"/>
      <c r="AT711" s="49"/>
      <c r="AU711" s="49"/>
    </row>
    <row r="712" spans="1:47" ht="15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49"/>
      <c r="AS712" s="49"/>
      <c r="AT712" s="49"/>
      <c r="AU712" s="49"/>
    </row>
    <row r="713" spans="1:47" ht="15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49"/>
      <c r="AS713" s="49"/>
      <c r="AT713" s="49"/>
      <c r="AU713" s="49"/>
    </row>
    <row r="714" spans="1:47" ht="15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  <c r="AR714" s="49"/>
      <c r="AS714" s="49"/>
      <c r="AT714" s="49"/>
      <c r="AU714" s="49"/>
    </row>
    <row r="715" spans="1:47" ht="1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49"/>
      <c r="AS715" s="49"/>
      <c r="AT715" s="49"/>
      <c r="AU715" s="49"/>
    </row>
    <row r="716" spans="1:47" ht="15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49"/>
      <c r="AS716" s="49"/>
      <c r="AT716" s="49"/>
      <c r="AU716" s="49"/>
    </row>
    <row r="717" spans="1:47" ht="15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49"/>
      <c r="AS717" s="49"/>
      <c r="AT717" s="49"/>
      <c r="AU717" s="49"/>
    </row>
    <row r="718" spans="1:47" ht="15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49"/>
      <c r="AS718" s="49"/>
      <c r="AT718" s="49"/>
      <c r="AU718" s="49"/>
    </row>
    <row r="719" spans="1:47" ht="15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  <c r="AR719" s="49"/>
      <c r="AS719" s="49"/>
      <c r="AT719" s="49"/>
      <c r="AU719" s="49"/>
    </row>
    <row r="720" spans="1:47" ht="15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49"/>
      <c r="AS720" s="49"/>
      <c r="AT720" s="49"/>
      <c r="AU720" s="49"/>
    </row>
    <row r="721" spans="1:47" ht="15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49"/>
      <c r="AS721" s="49"/>
      <c r="AT721" s="49"/>
      <c r="AU721" s="49"/>
    </row>
    <row r="722" spans="1:47" ht="15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9"/>
      <c r="AM722" s="49"/>
      <c r="AN722" s="49"/>
      <c r="AO722" s="49"/>
      <c r="AP722" s="49"/>
      <c r="AQ722" s="49"/>
      <c r="AR722" s="49"/>
      <c r="AS722" s="49"/>
      <c r="AT722" s="49"/>
      <c r="AU722" s="49"/>
    </row>
    <row r="723" spans="1:47" ht="15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9"/>
      <c r="AM723" s="49"/>
      <c r="AN723" s="49"/>
      <c r="AO723" s="49"/>
      <c r="AP723" s="49"/>
      <c r="AQ723" s="49"/>
      <c r="AR723" s="49"/>
      <c r="AS723" s="49"/>
      <c r="AT723" s="49"/>
      <c r="AU723" s="49"/>
    </row>
    <row r="724" spans="1:47" ht="15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  <c r="AR724" s="49"/>
      <c r="AS724" s="49"/>
      <c r="AT724" s="49"/>
      <c r="AU724" s="49"/>
    </row>
    <row r="725" spans="1:47" ht="1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49"/>
      <c r="AS725" s="49"/>
      <c r="AT725" s="49"/>
      <c r="AU725" s="49"/>
    </row>
    <row r="726" spans="1:47" ht="15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9"/>
      <c r="AM726" s="49"/>
      <c r="AN726" s="49"/>
      <c r="AO726" s="49"/>
      <c r="AP726" s="49"/>
      <c r="AQ726" s="49"/>
      <c r="AR726" s="49"/>
      <c r="AS726" s="49"/>
      <c r="AT726" s="49"/>
      <c r="AU726" s="49"/>
    </row>
    <row r="727" spans="1:47" ht="15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  <c r="AR727" s="49"/>
      <c r="AS727" s="49"/>
      <c r="AT727" s="49"/>
      <c r="AU727" s="49"/>
    </row>
    <row r="728" spans="1:47" ht="15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  <c r="AR728" s="49"/>
      <c r="AS728" s="49"/>
      <c r="AT728" s="49"/>
      <c r="AU728" s="49"/>
    </row>
    <row r="729" spans="1:47" ht="15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49"/>
      <c r="AS729" s="49"/>
      <c r="AT729" s="49"/>
      <c r="AU729" s="49"/>
    </row>
    <row r="730" spans="1:47" ht="15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  <c r="AR730" s="49"/>
      <c r="AS730" s="49"/>
      <c r="AT730" s="49"/>
      <c r="AU730" s="49"/>
    </row>
    <row r="731" spans="1:47" ht="15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49"/>
      <c r="AS731" s="49"/>
      <c r="AT731" s="49"/>
      <c r="AU731" s="49"/>
    </row>
    <row r="732" spans="1:47" ht="15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49"/>
      <c r="AS732" s="49"/>
      <c r="AT732" s="49"/>
      <c r="AU732" s="49"/>
    </row>
    <row r="733" spans="1:47" ht="15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  <c r="AR733" s="49"/>
      <c r="AS733" s="49"/>
      <c r="AT733" s="49"/>
      <c r="AU733" s="49"/>
    </row>
    <row r="734" spans="1:47" ht="15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  <c r="AR734" s="49"/>
      <c r="AS734" s="49"/>
      <c r="AT734" s="49"/>
      <c r="AU734" s="49"/>
    </row>
    <row r="735" spans="1:47" ht="1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  <c r="AR735" s="49"/>
      <c r="AS735" s="49"/>
      <c r="AT735" s="49"/>
      <c r="AU735" s="49"/>
    </row>
    <row r="736" spans="1:47" ht="15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49"/>
      <c r="AS736" s="49"/>
      <c r="AT736" s="49"/>
      <c r="AU736" s="49"/>
    </row>
    <row r="737" spans="1:47" ht="15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49"/>
      <c r="AS737" s="49"/>
      <c r="AT737" s="49"/>
      <c r="AU737" s="49"/>
    </row>
    <row r="738" spans="1:47" ht="15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49"/>
      <c r="AS738" s="49"/>
      <c r="AT738" s="49"/>
      <c r="AU738" s="49"/>
    </row>
    <row r="739" spans="1:47" ht="15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49"/>
      <c r="AS739" s="49"/>
      <c r="AT739" s="49"/>
      <c r="AU739" s="49"/>
    </row>
    <row r="740" spans="1:47" ht="15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  <c r="AJ740" s="49"/>
      <c r="AK740" s="49"/>
      <c r="AL740" s="49"/>
      <c r="AM740" s="49"/>
      <c r="AN740" s="49"/>
      <c r="AO740" s="49"/>
      <c r="AP740" s="49"/>
      <c r="AQ740" s="49"/>
      <c r="AR740" s="49"/>
      <c r="AS740" s="49"/>
      <c r="AT740" s="49"/>
      <c r="AU740" s="49"/>
    </row>
    <row r="741" spans="1:47" ht="15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49"/>
      <c r="AS741" s="49"/>
      <c r="AT741" s="49"/>
      <c r="AU741" s="49"/>
    </row>
    <row r="742" spans="1:47" ht="15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49"/>
      <c r="AS742" s="49"/>
      <c r="AT742" s="49"/>
      <c r="AU742" s="49"/>
    </row>
    <row r="743" spans="1:47" ht="15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49"/>
      <c r="AS743" s="49"/>
      <c r="AT743" s="49"/>
      <c r="AU743" s="49"/>
    </row>
    <row r="744" spans="1:47" ht="15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49"/>
      <c r="AS744" s="49"/>
      <c r="AT744" s="49"/>
      <c r="AU744" s="49"/>
    </row>
    <row r="745" spans="1:47" ht="1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49"/>
      <c r="AS745" s="49"/>
      <c r="AT745" s="49"/>
      <c r="AU745" s="49"/>
    </row>
    <row r="746" spans="1:47" ht="15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49"/>
      <c r="AS746" s="49"/>
      <c r="AT746" s="49"/>
      <c r="AU746" s="49"/>
    </row>
    <row r="747" spans="1:47" ht="15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49"/>
      <c r="AS747" s="49"/>
      <c r="AT747" s="49"/>
      <c r="AU747" s="49"/>
    </row>
    <row r="748" spans="1:47" ht="15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49"/>
      <c r="AS748" s="49"/>
      <c r="AT748" s="49"/>
      <c r="AU748" s="49"/>
    </row>
    <row r="749" spans="1:47" ht="15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49"/>
      <c r="AS749" s="49"/>
      <c r="AT749" s="49"/>
      <c r="AU749" s="49"/>
    </row>
    <row r="750" spans="1:47" ht="15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49"/>
      <c r="AS750" s="49"/>
      <c r="AT750" s="49"/>
      <c r="AU750" s="49"/>
    </row>
    <row r="751" spans="1:47" ht="15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49"/>
      <c r="AS751" s="49"/>
      <c r="AT751" s="49"/>
      <c r="AU751" s="49"/>
    </row>
    <row r="752" spans="1:47" ht="15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49"/>
      <c r="AS752" s="49"/>
      <c r="AT752" s="49"/>
      <c r="AU752" s="49"/>
    </row>
    <row r="753" spans="1:47" ht="15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49"/>
      <c r="AS753" s="49"/>
      <c r="AT753" s="49"/>
      <c r="AU753" s="49"/>
    </row>
    <row r="754" spans="1:47" ht="15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49"/>
      <c r="AS754" s="49"/>
      <c r="AT754" s="49"/>
      <c r="AU754" s="49"/>
    </row>
    <row r="755" spans="1:47" ht="15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49"/>
      <c r="AS755" s="49"/>
      <c r="AT755" s="49"/>
      <c r="AU755" s="49"/>
    </row>
    <row r="756" spans="1:47" ht="15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49"/>
      <c r="AS756" s="49"/>
      <c r="AT756" s="49"/>
      <c r="AU756" s="49"/>
    </row>
    <row r="757" spans="1:47" ht="15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49"/>
      <c r="AS757" s="49"/>
      <c r="AT757" s="49"/>
      <c r="AU757" s="49"/>
    </row>
    <row r="758" spans="1:47" ht="15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49"/>
      <c r="AS758" s="49"/>
      <c r="AT758" s="49"/>
      <c r="AU758" s="49"/>
    </row>
    <row r="759" spans="1:47" ht="15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  <c r="AK759" s="49"/>
      <c r="AL759" s="49"/>
      <c r="AM759" s="49"/>
      <c r="AN759" s="49"/>
      <c r="AO759" s="49"/>
      <c r="AP759" s="49"/>
      <c r="AQ759" s="49"/>
      <c r="AR759" s="49"/>
      <c r="AS759" s="49"/>
      <c r="AT759" s="49"/>
      <c r="AU759" s="49"/>
    </row>
    <row r="760" spans="1:47" ht="15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  <c r="AR760" s="49"/>
      <c r="AS760" s="49"/>
      <c r="AT760" s="49"/>
      <c r="AU760" s="49"/>
    </row>
    <row r="761" spans="1:47" ht="15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49"/>
      <c r="AS761" s="49"/>
      <c r="AT761" s="49"/>
      <c r="AU761" s="49"/>
    </row>
    <row r="762" spans="1:47" ht="15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49"/>
      <c r="AS762" s="49"/>
      <c r="AT762" s="49"/>
      <c r="AU762" s="49"/>
    </row>
    <row r="763" spans="1:47" ht="15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49"/>
      <c r="AS763" s="49"/>
      <c r="AT763" s="49"/>
      <c r="AU763" s="49"/>
    </row>
    <row r="764" spans="1:47" ht="15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49"/>
      <c r="AS764" s="49"/>
      <c r="AT764" s="49"/>
      <c r="AU764" s="49"/>
    </row>
    <row r="765" spans="1:47" ht="15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49"/>
      <c r="AS765" s="49"/>
      <c r="AT765" s="49"/>
      <c r="AU765" s="49"/>
    </row>
    <row r="766" spans="1:47" ht="15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49"/>
      <c r="AS766" s="49"/>
      <c r="AT766" s="49"/>
      <c r="AU766" s="49"/>
    </row>
    <row r="767" spans="1:47" ht="15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49"/>
      <c r="AS767" s="49"/>
      <c r="AT767" s="49"/>
      <c r="AU767" s="49"/>
    </row>
    <row r="768" spans="1:47" ht="15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49"/>
      <c r="AS768" s="49"/>
      <c r="AT768" s="49"/>
      <c r="AU768" s="49"/>
    </row>
    <row r="769" spans="1:47" ht="15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49"/>
      <c r="AS769" s="49"/>
      <c r="AT769" s="49"/>
      <c r="AU769" s="49"/>
    </row>
    <row r="770" spans="1:47" ht="15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49"/>
      <c r="AS770" s="49"/>
      <c r="AT770" s="49"/>
      <c r="AU770" s="49"/>
    </row>
    <row r="771" spans="1:47" ht="15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49"/>
      <c r="AS771" s="49"/>
      <c r="AT771" s="49"/>
      <c r="AU771" s="49"/>
    </row>
    <row r="772" spans="1:47" ht="15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49"/>
      <c r="AS772" s="49"/>
      <c r="AT772" s="49"/>
      <c r="AU772" s="49"/>
    </row>
    <row r="773" spans="1:47" ht="15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49"/>
      <c r="AS773" s="49"/>
      <c r="AT773" s="49"/>
      <c r="AU773" s="49"/>
    </row>
    <row r="774" spans="1:47" ht="15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49"/>
      <c r="AS774" s="49"/>
      <c r="AT774" s="49"/>
      <c r="AU774" s="49"/>
    </row>
    <row r="775" spans="1:47" ht="15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49"/>
      <c r="AS775" s="49"/>
      <c r="AT775" s="49"/>
      <c r="AU775" s="49"/>
    </row>
    <row r="776" spans="1:47" ht="15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49"/>
      <c r="AS776" s="49"/>
      <c r="AT776" s="49"/>
      <c r="AU776" s="49"/>
    </row>
    <row r="777" spans="1:47" ht="15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49"/>
      <c r="AS777" s="49"/>
      <c r="AT777" s="49"/>
      <c r="AU777" s="49"/>
    </row>
    <row r="778" spans="1:47" ht="15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49"/>
      <c r="AS778" s="49"/>
      <c r="AT778" s="49"/>
      <c r="AU778" s="49"/>
    </row>
    <row r="779" spans="1:47" ht="15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49"/>
      <c r="AS779" s="49"/>
      <c r="AT779" s="49"/>
      <c r="AU779" s="49"/>
    </row>
    <row r="780" spans="1:47" ht="15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49"/>
      <c r="AS780" s="49"/>
      <c r="AT780" s="49"/>
      <c r="AU780" s="49"/>
    </row>
    <row r="781" spans="1:47" ht="15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49"/>
      <c r="AS781" s="49"/>
      <c r="AT781" s="49"/>
      <c r="AU781" s="49"/>
    </row>
    <row r="782" spans="1:47" ht="15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49"/>
      <c r="AS782" s="49"/>
      <c r="AT782" s="49"/>
      <c r="AU782" s="49"/>
    </row>
    <row r="783" spans="1:47" ht="15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49"/>
      <c r="AS783" s="49"/>
      <c r="AT783" s="49"/>
      <c r="AU783" s="49"/>
    </row>
    <row r="784" spans="1:47" ht="15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49"/>
      <c r="AS784" s="49"/>
      <c r="AT784" s="49"/>
      <c r="AU784" s="49"/>
    </row>
    <row r="785" spans="1:47" ht="15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49"/>
      <c r="AS785" s="49"/>
      <c r="AT785" s="49"/>
      <c r="AU785" s="49"/>
    </row>
    <row r="786" spans="1:47" ht="15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49"/>
      <c r="AS786" s="49"/>
      <c r="AT786" s="49"/>
      <c r="AU786" s="49"/>
    </row>
    <row r="787" spans="1:47" ht="15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  <c r="AR787" s="49"/>
      <c r="AS787" s="49"/>
      <c r="AT787" s="49"/>
      <c r="AU787" s="49"/>
    </row>
    <row r="788" spans="1:47" ht="15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49"/>
      <c r="AS788" s="49"/>
      <c r="AT788" s="49"/>
      <c r="AU788" s="49"/>
    </row>
    <row r="789" spans="1:47" ht="15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49"/>
      <c r="AS789" s="49"/>
      <c r="AT789" s="49"/>
      <c r="AU789" s="49"/>
    </row>
    <row r="790" spans="1:47" ht="15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49"/>
      <c r="AS790" s="49"/>
      <c r="AT790" s="49"/>
      <c r="AU790" s="49"/>
    </row>
    <row r="791" spans="1:47" ht="15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49"/>
      <c r="AS791" s="49"/>
      <c r="AT791" s="49"/>
      <c r="AU791" s="49"/>
    </row>
    <row r="792" spans="1:47" ht="15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49"/>
      <c r="AS792" s="49"/>
      <c r="AT792" s="49"/>
      <c r="AU792" s="49"/>
    </row>
    <row r="793" spans="1:47" ht="15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49"/>
      <c r="AS793" s="49"/>
      <c r="AT793" s="49"/>
      <c r="AU793" s="49"/>
    </row>
    <row r="794" spans="1:47" ht="15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49"/>
      <c r="AS794" s="49"/>
      <c r="AT794" s="49"/>
      <c r="AU794" s="49"/>
    </row>
    <row r="795" spans="27:30" ht="15">
      <c r="AA795" s="49"/>
      <c r="AB795" s="49"/>
      <c r="AC795" s="49"/>
      <c r="AD795" s="49"/>
    </row>
    <row r="796" ht="15">
      <c r="AC796" s="49"/>
    </row>
  </sheetData>
  <sheetProtection/>
  <mergeCells count="10">
    <mergeCell ref="R7:V7"/>
    <mergeCell ref="W7:Z7"/>
    <mergeCell ref="A7:A8"/>
    <mergeCell ref="C7:C8"/>
    <mergeCell ref="J7:M7"/>
    <mergeCell ref="N7:Q7"/>
    <mergeCell ref="D7:D8"/>
    <mergeCell ref="E7:E8"/>
    <mergeCell ref="F7:F8"/>
    <mergeCell ref="G7:G8"/>
  </mergeCells>
  <printOptions/>
  <pageMargins left="0.7480314960629921" right="0.28" top="0.55" bottom="0.24" header="0" footer="0"/>
  <pageSetup horizontalDpi="600" verticalDpi="600" orientation="landscape" scale="70" r:id="rId3"/>
  <colBreaks count="1" manualBreakCount="1">
    <brk id="4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Fondo Nal. de la Porcicultura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LuisRicardoPaez</dc:creator>
  <cp:keywords/>
  <dc:description/>
  <cp:lastModifiedBy>Sandra Gonzalez</cp:lastModifiedBy>
  <cp:lastPrinted>2012-09-04T15:13:02Z</cp:lastPrinted>
  <dcterms:created xsi:type="dcterms:W3CDTF">2009-01-06T14:02:35Z</dcterms:created>
  <dcterms:modified xsi:type="dcterms:W3CDTF">2019-11-18T19:58:02Z</dcterms:modified>
  <cp:category/>
  <cp:version/>
  <cp:contentType/>
  <cp:contentStatus/>
</cp:coreProperties>
</file>