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125" windowWidth="7065" windowHeight="8430" firstSheet="2" activeTab="2"/>
  </bookViews>
  <sheets>
    <sheet name="Presupuesto general" sheetId="1" state="hidden" r:id="rId1"/>
    <sheet name="2004VS2005" sheetId="2" state="hidden" r:id="rId2"/>
    <sheet name="INGRESOS" sheetId="3" r:id="rId3"/>
    <sheet name="Inversión total en programas" sheetId="4" state="hidden" r:id="rId4"/>
    <sheet name="MODELO CONTRATISTAS" sheetId="5" state="hidden" r:id="rId5"/>
    <sheet name="Servicios personal 2005" sheetId="6" state="hidden" r:id="rId6"/>
    <sheet name="Nómina 2004" sheetId="7" state="hidden" r:id="rId7"/>
  </sheets>
  <externalReferences>
    <externalReference r:id="rId10"/>
    <externalReference r:id="rId11"/>
    <externalReference r:id="rId12"/>
    <externalReference r:id="rId13"/>
    <externalReference r:id="rId14"/>
  </externalReferences>
  <definedNames>
    <definedName name="_xlnm._FilterDatabase" hidden="1">'MODELO CONTRATISTAS'!$A$4:$J$40</definedName>
    <definedName name="_xlnm.Print_Area" localSheetId="2">'INGRESOS'!$A$1:$G$39</definedName>
    <definedName name="_xlnm.Print_Area" localSheetId="3">'Inversión total en programas'!$A$6:$D$106</definedName>
    <definedName name="_xlnm.Print_Area" localSheetId="0">'Presupuesto general'!$A$1:$F$63</definedName>
    <definedName name="ASISCALLCENTER">#REF!</definedName>
    <definedName name="ASISCONTABPPC">#REF!</definedName>
    <definedName name="ASISDESPACHOS">#REF!</definedName>
    <definedName name="ASISICA">#REF!</definedName>
    <definedName name="AUXBODEGA">#REF!</definedName>
    <definedName name="CABEZAS_PROYEC" localSheetId="2">'INGRESOS'!$C$46</definedName>
    <definedName name="CABEZAS_PROYEC">#REF!</definedName>
    <definedName name="CUOTAPPC2005" localSheetId="2">'INGRESOS'!$D$15</definedName>
    <definedName name="CUOTAPPC2005">#REF!</definedName>
    <definedName name="DIAG_PPC">'Inversión total en programas'!$B$86</definedName>
    <definedName name="eeeee" localSheetId="2">'[4]Ejecución ingresos 2009'!#REF!</definedName>
    <definedName name="eeeee">#REF!</definedName>
    <definedName name="EPPC" localSheetId="2">'INGRESOS'!$C$54</definedName>
    <definedName name="EPPC">#REF!</definedName>
    <definedName name="FDGFDG" localSheetId="2">#REF!</definedName>
    <definedName name="FDGFDG">#REF!</definedName>
    <definedName name="FOMENTO" localSheetId="2">'INGRESOS'!$C$53</definedName>
    <definedName name="FOMENTO">#REF!</definedName>
    <definedName name="FOMENTOS">'[1]Anexo 1 Minagricultura'!$C$51</definedName>
    <definedName name="fondo">#REF!</definedName>
    <definedName name="GTOSEPPC">'Inversión total en programas'!$C$35</definedName>
    <definedName name="HONORAUDI_JURIDIC">#REF!</definedName>
    <definedName name="HONTOTAL">#REF!</definedName>
    <definedName name="ojo">#REF!</definedName>
    <definedName name="RESERV_FUTU">#REF!</definedName>
    <definedName name="saldo" localSheetId="2">'[4]Ejecución ingresos 2009'!#REF!</definedName>
    <definedName name="saldo">#REF!</definedName>
    <definedName name="saldos" localSheetId="2">'[4]Ejecución ingresos 2009'!#REF!</definedName>
    <definedName name="saldos">#REF!</definedName>
    <definedName name="SUPERA2004" localSheetId="2">'INGRESOS'!$B$21</definedName>
    <definedName name="SUPERA2004">#REF!</definedName>
    <definedName name="SUPERA2005" localSheetId="2">'INGRESOS'!$C$21</definedName>
    <definedName name="SUPERA2005">#REF!</definedName>
    <definedName name="SUPERAVIT">#REF!</definedName>
    <definedName name="SUPERAVIT2005_FNP">#REF!</definedName>
    <definedName name="SUPERAVITPPC_2005">#REF!</definedName>
    <definedName name="_xlnm.Print_Titles" localSheetId="2">'INGRESOS'!$1:$5</definedName>
    <definedName name="_xlnm.Print_Titles" localSheetId="3">'Inversión total en programas'!$1:$5</definedName>
    <definedName name="VTAS2005" localSheetId="2">'INGRESOS'!$D$32</definedName>
    <definedName name="VTAS2005">#REF!</definedName>
    <definedName name="xx">'[2]Ingresos'!$C$19</definedName>
    <definedName name="Z_4099E833_BB74_4680_85C9_A6CF399D1CE2_.wvu.Cols" localSheetId="2" hidden="1">'[4]Nómina 2004'!$C:$E,'[4]Nómina 2004'!$H:$I,'[4]Nómina 2004'!$L:$P,'[4]Nómina 2004'!$AF:$AH</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2" hidden="1">'INGRESOS'!$A$1:$D$39</definedName>
    <definedName name="Z_4099E833_BB74_4680_85C9_A6CF399D1CE2_.wvu.PrintArea" localSheetId="3" hidden="1">'Inversión total en programas'!$A$6:$D$106</definedName>
    <definedName name="Z_4099E833_BB74_4680_85C9_A6CF399D1CE2_.wvu.PrintArea" localSheetId="0" hidden="1">'Presupuesto general'!$A$1:$F$63</definedName>
    <definedName name="Z_4099E833_BB74_4680_85C9_A6CF399D1CE2_.wvu.PrintTitles" hidden="1">'Inversión total en programas'!$1:$5</definedName>
    <definedName name="Z_4099E833_BB74_4680_85C9_A6CF399D1CE2_.wvu.Rows" localSheetId="2" hidden="1">'[4]Inversión total en programas'!$50:$50,'[4]Inversión total en programas'!$60:$63</definedName>
    <definedName name="Z_4099E833_BB74_4680_85C9_A6CF399D1CE2_.wvu.Rows" hidden="1">'Inversión total en programas'!$50:$50,'Inversión total en programas'!$60:$63</definedName>
  </definedNames>
  <calcPr fullCalcOnLoad="1"/>
</workbook>
</file>

<file path=xl/comments3.xml><?xml version="1.0" encoding="utf-8"?>
<comments xmlns="http://schemas.openxmlformats.org/spreadsheetml/2006/main">
  <authors>
    <author>martinezp</author>
  </authors>
  <commentList>
    <comment ref="C10" authorId="0">
      <text>
        <r>
          <rPr>
            <b/>
            <sz val="8"/>
            <rFont val="Tahoma"/>
            <family val="2"/>
          </rPr>
          <t xml:space="preserve">INCLUIDO ACUERDO 13/09 SEPTIEMBRE </t>
        </r>
      </text>
    </comment>
    <comment ref="C69" authorId="0">
      <text>
        <r>
          <rPr>
            <sz val="8"/>
            <rFont val="Tahoma"/>
            <family val="2"/>
          </rPr>
          <t>intereses de mora promedio vig 2009 (7 meses) e intereses de cuentas ahorro promedio vig 2009 (7 meses)</t>
        </r>
        <r>
          <rPr>
            <sz val="8"/>
            <rFont val="Tahoma"/>
            <family val="2"/>
          </rPr>
          <t xml:space="preserve">
</t>
        </r>
      </text>
    </comment>
    <comment ref="C64" authorId="0">
      <text>
        <r>
          <rPr>
            <sz val="8"/>
            <rFont val="Tahoma"/>
            <family val="2"/>
          </rPr>
          <t xml:space="preserve">por mantener en 2010 inversiones por $1.000.000, rendimientos a una tasa del 27.98% efectiva anual
</t>
        </r>
      </text>
    </comment>
    <comment ref="C68" authorId="0">
      <text>
        <r>
          <rPr>
            <sz val="8"/>
            <rFont val="Tahoma"/>
            <family val="2"/>
          </rPr>
          <t>intereses de cuentas ahorro promedio vig 2009 (7 meses)</t>
        </r>
        <r>
          <rPr>
            <sz val="8"/>
            <rFont val="Tahoma"/>
            <family val="2"/>
          </rPr>
          <t xml:space="preserve">
</t>
        </r>
      </text>
    </comment>
  </commentList>
</comments>
</file>

<file path=xl/comments4.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sharedStrings.xml><?xml version="1.0" encoding="utf-8"?>
<sst xmlns="http://schemas.openxmlformats.org/spreadsheetml/2006/main" count="481" uniqueCount="268">
  <si>
    <t>ANEXO 1</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</si>
  <si>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</si>
  <si>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</si>
  <si>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</si>
  <si>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</si>
  <si>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</si>
  <si>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</si>
  <si>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</si>
  <si>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</si>
  <si>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</si>
  <si>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</si>
  <si>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</si>
  <si>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</si>
  <si>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</si>
  <si>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</si>
  <si>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</si>
  <si>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</si>
  <si>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</si>
  <si>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</si>
  <si>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</si>
  <si>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</si>
  <si>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</si>
  <si>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</si>
  <si>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</si>
  <si>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</si>
  <si>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</si>
  <si>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</si>
  <si>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</si>
  <si>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</si>
  <si>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</si>
  <si>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</si>
  <si>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</si>
  <si>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</si>
  <si>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</si>
  <si>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</si>
  <si>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</si>
  <si>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</si>
  <si>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</si>
  <si>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</si>
  <si>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</si>
  <si>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</si>
  <si>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</si>
  <si>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</si>
  <si>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</si>
  <si>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</si>
  <si>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</si>
  <si>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</si>
  <si>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</si>
  <si>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</si>
  <si>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</si>
  <si>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</si>
  <si>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</si>
  <si>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</si>
  <si>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</si>
  <si>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</si>
  <si>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</si>
  <si>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</si>
  <si>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</si>
  <si>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</si>
  <si>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</si>
  <si>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</si>
  <si>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</si>
  <si>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</si>
  <si>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</si>
  <si>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</si>
  <si>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</si>
  <si>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</si>
  <si>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</si>
  <si>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</si>
  <si>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</si>
  <si>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</si>
  <si>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</si>
  <si>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</si>
  <si>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</si>
  <si>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</si>
  <si>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</si>
  <si>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</si>
  <si>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</si>
  <si>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</si>
  <si>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</si>
  <si>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</si>
  <si>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</si>
  <si>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</si>
  <si>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</si>
  <si>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</si>
  <si>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</si>
  <si>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</si>
  <si>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</si>
  <si>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</si>
  <si>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</si>
  <si>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</si>
  <si>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</si>
  <si>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</si>
  <si>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</si>
  <si>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</si>
  <si>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</si>
  <si>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</si>
  <si>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</si>
  <si>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</si>
  <si>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</si>
  <si>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</si>
  <si>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</si>
  <si>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</si>
  <si>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</si>
  <si>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</si>
  <si>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</si>
  <si>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</si>
  <si>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</si>
  <si>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</si>
  <si>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</si>
  <si>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</si>
  <si>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</si>
  <si>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</si>
  <si>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</si>
  <si>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</si>
  <si>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</si>
  <si>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</si>
  <si>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</si>
  <si>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</si>
  <si>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</si>
  <si>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</si>
  <si>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</si>
  <si>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</si>
  <si>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</si>
  <si>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</si>
  <si>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</si>
  <si>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</si>
  <si>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</si>
  <si>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</si>
  <si>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</si>
  <si>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</si>
  <si>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</si>
  <si>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</si>
  <si>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</si>
  <si>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</si>
  <si>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</si>
  <si>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</si>
  <si>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</si>
  <si>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</si>
  <si>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</si>
  <si>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</si>
  <si>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</si>
  <si>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</si>
  <si>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INGRESOS FINANCIEROS</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</si>
  <si>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</si>
  <si>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</si>
  <si>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</si>
  <si>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</si>
  <si>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</si>
  <si>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</si>
  <si>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</si>
  <si>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</si>
  <si>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</si>
  <si>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</si>
  <si>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</si>
  <si>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</si>
  <si>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</si>
  <si>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</si>
  <si>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</si>
  <si>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</si>
  <si>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</si>
  <si>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</si>
  <si>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</si>
  <si>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</si>
  <si>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</si>
  <si>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</si>
  <si>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</si>
  <si>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</si>
  <si>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</si>
  <si>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</si>
  <si>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</si>
  <si>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</si>
  <si>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</si>
  <si>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</si>
  <si>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</si>
  <si>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</si>
  <si>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</si>
  <si>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</si>
  <si>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</si>
  <si>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</si>
  <si>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</si>
  <si>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</si>
  <si>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</si>
  <si>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</si>
  <si>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</si>
  <si>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</si>
  <si>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</si>
  <si>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</si>
  <si>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</si>
  <si>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</si>
  <si>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</si>
  <si>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</si>
  <si>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</si>
  <si>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</si>
  <si>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</si>
  <si>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</si>
  <si>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</si>
  <si>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</si>
  <si>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</si>
  <si>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</si>
  <si>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</si>
  <si>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</si>
  <si>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</si>
  <si>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</si>
  <si>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</si>
  <si>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</si>
  <si>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</si>
  <si>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</si>
  <si>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</si>
  <si>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</si>
  <si>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</si>
  <si>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</si>
  <si>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</si>
  <si>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</si>
  <si>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</si>
  <si>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INGRESOS PRESUPUESTADOS</t>
  </si>
  <si>
    <t>Comunicaciones</t>
  </si>
  <si>
    <t>Conceptualización gráfica</t>
  </si>
  <si>
    <t>COMPARATIVO</t>
  </si>
  <si>
    <t>PRESUPUESTO AÑO 2004 VS 2005</t>
  </si>
  <si>
    <t>(1) Bacteriologa</t>
  </si>
  <si>
    <t>ACUERDO 4/10</t>
  </si>
  <si>
    <t>INICIAL</t>
  </si>
  <si>
    <t>DEFINITIVO</t>
  </si>
  <si>
    <t>AÑO 2009</t>
  </si>
  <si>
    <t>INGRESOS OPERACIONALES</t>
  </si>
  <si>
    <t xml:space="preserve">CUOTA DE FOMENTO PORCÍCOLA </t>
  </si>
  <si>
    <t>Cuota de Fomento</t>
  </si>
  <si>
    <t>Cuota de Erradicación Peste Porcina Clásica</t>
  </si>
  <si>
    <t>CUOTA VIGENCIAS ANTERIORES</t>
  </si>
  <si>
    <t>SUPERÁVIT VIGENCIAS ANTERIORES</t>
  </si>
  <si>
    <t>INGRESOS NO OPERACIONALES</t>
  </si>
  <si>
    <t>Rendimientos Financieros FNP</t>
  </si>
  <si>
    <t>Rendimientos Financieros PPC</t>
  </si>
  <si>
    <t>OTROS INGRESOS</t>
  </si>
  <si>
    <t>Ventas Programa PPC</t>
  </si>
  <si>
    <t>Financieros FNP</t>
  </si>
  <si>
    <t>Financieros PPC</t>
  </si>
  <si>
    <t>Extraordinarios FNP</t>
  </si>
  <si>
    <t>Programas y proyectos FNP</t>
  </si>
  <si>
    <t>Programas y proyectos PPC</t>
  </si>
  <si>
    <t>Incremento presupuestado</t>
  </si>
  <si>
    <t>TOTAL S.M.M.L.V MAS INCREMENTO</t>
  </si>
  <si>
    <t>TOTAL CUOTA</t>
  </si>
  <si>
    <t>TENAZAS</t>
  </si>
  <si>
    <t>UNIDADES</t>
  </si>
  <si>
    <t>BULONES</t>
  </si>
  <si>
    <t>BIOLÓGICO</t>
  </si>
  <si>
    <t>OPCION 1</t>
  </si>
  <si>
    <t>CHAPETAS</t>
  </si>
  <si>
    <t>TOTAL VENTAS PPC</t>
  </si>
  <si>
    <t>RENDIMIENTOS FINANCIEROS</t>
  </si>
  <si>
    <t>INGRESOS EXTRAORDINARIOS FNP</t>
  </si>
  <si>
    <t>OTROS INGRESOS FINANCIEROS</t>
  </si>
  <si>
    <t>PRECIO</t>
  </si>
  <si>
    <t>PRESUPUESTO DE INGRESOS VIGENCIA  2.010</t>
  </si>
  <si>
    <t>AÑO 2010</t>
  </si>
  <si>
    <t>VARIABLES DE INGRESOS VIGENCIA 2010</t>
  </si>
  <si>
    <t>INGRESOS TOTALES 2010</t>
  </si>
  <si>
    <t>INGRESOS FNP</t>
  </si>
  <si>
    <t>INGRESOS PPC</t>
  </si>
  <si>
    <t>CABEZAS ESTIMADAS AÑO 2009</t>
  </si>
  <si>
    <t>TOTAL CABEZAS MAS INCREMENTO PARA 2010</t>
  </si>
  <si>
    <t>SALARIO MÍNIMO MENSUAL LEGAL VIGENTE AÑO 2009</t>
  </si>
  <si>
    <t>Salario diario legal vigente estimado año 2010</t>
  </si>
  <si>
    <t>CUOTA FOMENTO PORCICOLA ESTIMADA AÑO 2010</t>
  </si>
  <si>
    <t>CUOTA EPPC ESTIMADA AÑO 2010</t>
  </si>
  <si>
    <t>ACUERDO 7/10</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</si>
</sst>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 #,##0_ ;_ * \-#,##0_ ;_ * &quot;-&quot;??_ ;_ @_ "/>
    <numFmt numFmtId="181" formatCode="0.0%"/>
    <numFmt numFmtId="182" formatCode="_(* #,##0_);_(* \(#,##0\);_(* &quot;-&quot;??_);_(@_)"/>
    <numFmt numFmtId="183" formatCode="_(* #,##0.000_);_(* \(#,##0.000\);_(* &quot;-&quot;??_);_(@_)"/>
    <numFmt numFmtId="184" formatCode="#,##0;[Red]#,##0"/>
    <numFmt numFmtId="185" formatCode="0.000%"/>
    <numFmt numFmtId="186" formatCode="_-* #,##0\ _€_-;\-* #,##0\ _€_-;_-* &quot;-&quot;??\ _€_-;_-@_-"/>
    <numFmt numFmtId="187" formatCode="_ &quot;$&quot;\ * #,##0_ ;_ &quot;$&quot;\ * \-#,##0_ ;_ &quot;$&quot;\ * &quot;-&quot;??_ ;_ @_ "/>
    <numFmt numFmtId="188" formatCode="_ [$€-2]\ * #,##0.00_ ;_ [$€-2]\ * \-#,##0.00_ ;_ [$€-2]\ * &quot;-&quot;??_ "/>
    <numFmt numFmtId="189" formatCode="_ * #,##0.0_ ;_ * \-#,##0.0_ ;_ * &quot;-&quot;??_ ;_ @_ "/>
    <numFmt numFmtId="190" formatCode="_(&quot;$&quot;\ * #,##0.00_);_(&quot;$&quot;\ * \(#,##0.00\);_(&quot;$&quot;\ * &quot;-&quot;??_);_(@_)"/>
    <numFmt numFmtId="191" formatCode="_-* #,##0.00\ _€_-;\-* #,##0.00\ _€_-;_-* &quot;-&quot;??\ _€_-;_-@_-"/>
    <numFmt numFmtId="192" formatCode="&quot;$&quot;\ #,##0"/>
    <numFmt numFmtId="193" formatCode="[$$-240A]\ #,##0.00"/>
    <numFmt numFmtId="194" formatCode="0.0"/>
    <numFmt numFmtId="195" formatCode="[$$-240A]\ #,##0.0"/>
    <numFmt numFmtId="196" formatCode="0.0000"/>
    <numFmt numFmtId="197" formatCode="#,##0.00000"/>
    <numFmt numFmtId="198" formatCode="_-* #,##0_-;\-* #,##0_-;_-* &quot;-&quot;??_-;_-@_-"/>
    <numFmt numFmtId="199" formatCode="0.0000%"/>
    <numFmt numFmtId="200" formatCode="[$$-240A]\ #,##0.000"/>
    <numFmt numFmtId="201" formatCode="[$$-240A]\ #,##0"/>
    <numFmt numFmtId="202" formatCode="[$$-240A]\ #,##0.0000"/>
    <numFmt numFmtId="203" formatCode="_ * #,##0.000_ ;_ * \-#,##0.000_ ;_ * &quot;-&quot;??_ ;_ @_ "/>
    <numFmt numFmtId="204" formatCode="_ * #,##0.0000_ ;_ * \-#,##0.0000_ ;_ * &quot;-&quot;??_ ;_ @_ "/>
    <numFmt numFmtId="205" formatCode="_-* #,##0.0_-;\-* #,##0.0_-;_-* &quot;-&quot;?_-;_-@_-"/>
    <numFmt numFmtId="206" formatCode="#,##0.000000"/>
    <numFmt numFmtId="207" formatCode="#,##0.0000000"/>
    <numFmt numFmtId="208" formatCode="#,##0.0000"/>
    <numFmt numFmtId="209" formatCode="#,##0.000"/>
    <numFmt numFmtId="210" formatCode="#,##0.0"/>
    <numFmt numFmtId="211" formatCode="_-* #,##0_-;\-* #,##0_-;_-* &quot;-&quot;?_-;_-@_-"/>
    <numFmt numFmtId="212" formatCode="#,##0.00000000"/>
  </numFmts>
  <fonts count="64">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sz val="8"/>
      <name val="Tahoma"/>
      <family val="2"/>
    </font>
    <font>
      <sz val="7"/>
      <name val="Arial"/>
      <family val="2"/>
    </font>
    <font>
      <sz val="10"/>
      <name val="Times New Roman"/>
      <family val="1"/>
    </font>
    <font>
      <b/>
      <sz val="11"/>
      <name val="Arial"/>
      <family val="2"/>
    </font>
    <font>
      <sz val="11"/>
      <color indexed="8"/>
      <name val="Calibri"/>
      <family val="2"/>
    </font>
    <font>
      <sz val="10"/>
      <color indexed="9"/>
      <name val="Comic Sans MS"/>
      <family val="4"/>
    </font>
    <font>
      <b/>
      <sz val="11"/>
      <color indexed="9"/>
      <name val="Arial"/>
      <family val="2"/>
    </font>
    <font>
      <b/>
      <sz val="10"/>
      <name val="Comic Sans MS"/>
      <family val="4"/>
    </font>
    <font>
      <sz val="11"/>
      <name val="Comic Sans MS"/>
      <family val="4"/>
    </font>
    <font>
      <sz val="11"/>
      <color indexed="10"/>
      <name val="Arial"/>
      <family val="2"/>
    </font>
    <font>
      <sz val="11"/>
      <color indexed="9"/>
      <name val="Arial"/>
      <family val="2"/>
    </font>
    <font>
      <sz val="10"/>
      <color indexed="10"/>
      <name val="Comic Sans MS"/>
      <family val="4"/>
    </font>
    <font>
      <b/>
      <sz val="11"/>
      <color indexed="10"/>
      <name val="Arial"/>
      <family val="2"/>
    </font>
    <font>
      <sz val="10"/>
      <color indexed="9"/>
      <name val="Arial"/>
      <family val="2"/>
    </font>
    <font>
      <b/>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style="medium"/>
      <right style="thin"/>
      <top style="medium"/>
      <bottom>
        <color indexed="63"/>
      </bottom>
    </border>
    <border>
      <left style="thin"/>
      <right>
        <color indexed="63"/>
      </right>
      <top>
        <color indexed="63"/>
      </top>
      <bottom style="medium"/>
    </border>
    <border>
      <left style="thin"/>
      <right style="medium"/>
      <top style="medium"/>
      <bottom>
        <color indexed="63"/>
      </bottom>
    </border>
    <border>
      <left style="thin"/>
      <right>
        <color indexed="63"/>
      </right>
      <top style="thin">
        <color indexed="55"/>
      </top>
      <bottom style="thin">
        <color indexed="55"/>
      </bottom>
    </border>
    <border>
      <left style="medium"/>
      <right style="medium"/>
      <top style="thin">
        <color indexed="55"/>
      </top>
      <bottom style="thin">
        <color indexed="55"/>
      </bottom>
    </border>
    <border>
      <left style="thin"/>
      <right>
        <color indexed="63"/>
      </right>
      <top>
        <color indexed="63"/>
      </top>
      <bottom style="thin">
        <color indexed="55"/>
      </bottom>
    </border>
    <border>
      <left style="medium"/>
      <right style="medium"/>
      <top>
        <color indexed="63"/>
      </top>
      <bottom style="thin">
        <color indexed="55"/>
      </bottom>
    </border>
    <border>
      <left style="thin"/>
      <right>
        <color indexed="63"/>
      </right>
      <top style="thin">
        <color indexed="55"/>
      </top>
      <bottom>
        <color indexed="63"/>
      </bottom>
    </border>
    <border>
      <left style="medium"/>
      <right style="medium"/>
      <top style="thin">
        <color indexed="55"/>
      </top>
      <bottom>
        <color indexed="63"/>
      </bottom>
    </border>
    <border>
      <left style="thin"/>
      <right>
        <color indexed="63"/>
      </right>
      <top style="medium"/>
      <bottom style="medium"/>
    </border>
    <border>
      <left>
        <color indexed="63"/>
      </left>
      <right style="medium"/>
      <top style="thin">
        <color indexed="55"/>
      </top>
      <bottom style="thin">
        <color indexed="55"/>
      </bottom>
    </border>
    <border>
      <left>
        <color indexed="63"/>
      </left>
      <right style="medium"/>
      <top style="thin">
        <color indexed="55"/>
      </top>
      <bottom>
        <color indexed="63"/>
      </bottom>
    </border>
    <border>
      <left>
        <color indexed="63"/>
      </left>
      <right style="medium"/>
      <top>
        <color indexed="63"/>
      </top>
      <bottom style="thin">
        <color indexed="55"/>
      </bottom>
    </border>
    <border>
      <left style="medium"/>
      <right style="medium"/>
      <top style="hair"/>
      <bottom style="hair"/>
    </border>
    <border>
      <left>
        <color indexed="63"/>
      </left>
      <right>
        <color indexed="63"/>
      </right>
      <top>
        <color indexed="63"/>
      </top>
      <bottom style="double"/>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20" fillId="10"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21"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5" fillId="28" borderId="1" applyNumberFormat="0" applyAlignment="0" applyProtection="0"/>
    <xf numFmtId="188"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6"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2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7"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20"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500">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2" fontId="5" fillId="0" borderId="11" xfId="0" applyNumberFormat="1" applyFont="1" applyBorder="1" applyAlignment="1">
      <alignment/>
    </xf>
    <xf numFmtId="3" fontId="6" fillId="0" borderId="10" xfId="0" applyNumberFormat="1" applyFont="1" applyFill="1" applyBorder="1" applyAlignment="1">
      <alignment/>
    </xf>
    <xf numFmtId="3" fontId="6" fillId="0" borderId="10" xfId="0" applyNumberFormat="1" applyFont="1" applyBorder="1" applyAlignment="1">
      <alignment/>
    </xf>
    <xf numFmtId="2" fontId="6" fillId="0" borderId="11"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0" xfId="0" applyFont="1" applyFill="1" applyBorder="1" applyAlignment="1">
      <alignment/>
    </xf>
    <xf numFmtId="181" fontId="6" fillId="0" borderId="10" xfId="71" applyNumberFormat="1" applyFont="1" applyBorder="1" applyAlignment="1">
      <alignment/>
    </xf>
    <xf numFmtId="0" fontId="5" fillId="32" borderId="10" xfId="0" applyFont="1" applyFill="1" applyBorder="1" applyAlignment="1">
      <alignment/>
    </xf>
    <xf numFmtId="3" fontId="5" fillId="32" borderId="10" xfId="0" applyNumberFormat="1" applyFont="1" applyFill="1" applyBorder="1" applyAlignment="1">
      <alignment/>
    </xf>
    <xf numFmtId="2" fontId="5" fillId="32" borderId="11" xfId="0" applyNumberFormat="1" applyFont="1" applyFill="1" applyBorder="1" applyAlignment="1">
      <alignment/>
    </xf>
    <xf numFmtId="180" fontId="6" fillId="0" borderId="10" xfId="51" applyNumberFormat="1" applyFont="1" applyBorder="1" applyAlignment="1">
      <alignment/>
    </xf>
    <xf numFmtId="4" fontId="6" fillId="0" borderId="11" xfId="0"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0" fontId="6" fillId="0" borderId="14" xfId="0" applyFont="1" applyBorder="1" applyAlignment="1">
      <alignment/>
    </xf>
    <xf numFmtId="0" fontId="6" fillId="0" borderId="15" xfId="0" applyFont="1" applyBorder="1" applyAlignment="1">
      <alignment/>
    </xf>
    <xf numFmtId="3" fontId="6" fillId="0" borderId="16" xfId="0" applyNumberFormat="1" applyFont="1" applyBorder="1" applyAlignment="1">
      <alignment/>
    </xf>
    <xf numFmtId="37" fontId="5" fillId="0" borderId="10" xfId="0" applyNumberFormat="1" applyFont="1" applyFill="1" applyBorder="1" applyAlignment="1">
      <alignment vertical="top" wrapText="1"/>
    </xf>
    <xf numFmtId="37" fontId="5" fillId="0" borderId="10" xfId="0" applyNumberFormat="1" applyFont="1" applyFill="1" applyBorder="1" applyAlignment="1">
      <alignment/>
    </xf>
    <xf numFmtId="3" fontId="5" fillId="0" borderId="10" xfId="0" applyNumberFormat="1" applyFont="1" applyFill="1" applyBorder="1" applyAlignment="1">
      <alignment vertical="top" wrapText="1"/>
    </xf>
    <xf numFmtId="37" fontId="6" fillId="0" borderId="10" xfId="0" applyNumberFormat="1" applyFont="1" applyFill="1" applyBorder="1" applyAlignment="1">
      <alignment/>
    </xf>
    <xf numFmtId="37" fontId="6" fillId="0" borderId="10" xfId="0" applyNumberFormat="1" applyFont="1" applyFill="1" applyBorder="1" applyAlignment="1">
      <alignment vertical="top" wrapText="1"/>
    </xf>
    <xf numFmtId="3" fontId="6" fillId="0" borderId="10" xfId="0" applyNumberFormat="1" applyFont="1" applyFill="1" applyBorder="1" applyAlignment="1">
      <alignment vertical="top" wrapText="1"/>
    </xf>
    <xf numFmtId="3"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xf>
    <xf numFmtId="0" fontId="5" fillId="0" borderId="0" xfId="0" applyFont="1" applyAlignment="1">
      <alignment horizontal="center"/>
    </xf>
    <xf numFmtId="0" fontId="6" fillId="0" borderId="0" xfId="0" applyFont="1" applyAlignment="1">
      <alignment/>
    </xf>
    <xf numFmtId="180" fontId="6" fillId="0" borderId="10" xfId="51"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21" xfId="0" applyFont="1" applyBorder="1" applyAlignment="1">
      <alignment horizontal="center"/>
    </xf>
    <xf numFmtId="182" fontId="13" fillId="0" borderId="0" xfId="63" applyNumberFormat="1" applyFont="1" applyAlignment="1">
      <alignment/>
    </xf>
    <xf numFmtId="15" fontId="13" fillId="0" borderId="0" xfId="63" applyNumberFormat="1" applyFont="1" applyAlignment="1">
      <alignment/>
    </xf>
    <xf numFmtId="182" fontId="12" fillId="0" borderId="0" xfId="63" applyNumberFormat="1" applyFont="1" applyAlignment="1">
      <alignment/>
    </xf>
    <xf numFmtId="179" fontId="13" fillId="0" borderId="0" xfId="63" applyFont="1" applyAlignment="1">
      <alignment/>
    </xf>
    <xf numFmtId="179" fontId="13" fillId="0" borderId="0" xfId="0" applyNumberFormat="1" applyFont="1" applyAlignment="1">
      <alignment/>
    </xf>
    <xf numFmtId="183" fontId="13" fillId="0" borderId="0" xfId="0" applyNumberFormat="1" applyFont="1" applyAlignment="1">
      <alignment/>
    </xf>
    <xf numFmtId="182" fontId="13" fillId="0" borderId="0" xfId="0" applyNumberFormat="1" applyFont="1" applyAlignment="1">
      <alignment/>
    </xf>
    <xf numFmtId="15" fontId="13" fillId="0" borderId="0" xfId="0" applyNumberFormat="1" applyFont="1" applyAlignment="1">
      <alignment/>
    </xf>
    <xf numFmtId="0" fontId="5" fillId="0" borderId="22" xfId="0" applyFont="1" applyBorder="1" applyAlignment="1">
      <alignment horizontal="center"/>
    </xf>
    <xf numFmtId="0" fontId="0" fillId="0" borderId="0" xfId="0" applyAlignment="1">
      <alignment/>
    </xf>
    <xf numFmtId="0" fontId="6" fillId="0" borderId="23" xfId="0" applyFont="1" applyBorder="1" applyAlignment="1">
      <alignment/>
    </xf>
    <xf numFmtId="0" fontId="6" fillId="0" borderId="24" xfId="0" applyFont="1" applyBorder="1" applyAlignment="1">
      <alignment/>
    </xf>
    <xf numFmtId="0" fontId="14" fillId="0" borderId="19" xfId="0" applyFont="1" applyBorder="1" applyAlignment="1">
      <alignment horizontal="center"/>
    </xf>
    <xf numFmtId="0" fontId="12" fillId="0" borderId="0" xfId="0" applyFont="1" applyAlignment="1">
      <alignment/>
    </xf>
    <xf numFmtId="0" fontId="5" fillId="0" borderId="20" xfId="0" applyFont="1" applyBorder="1" applyAlignment="1">
      <alignment/>
    </xf>
    <xf numFmtId="0" fontId="14" fillId="0" borderId="20" xfId="0" applyFont="1" applyBorder="1" applyAlignment="1">
      <alignment horizontal="center"/>
    </xf>
    <xf numFmtId="0" fontId="5" fillId="32" borderId="25" xfId="0" applyFont="1" applyFill="1" applyBorder="1" applyAlignment="1">
      <alignment horizontal="center"/>
    </xf>
    <xf numFmtId="182" fontId="6" fillId="32" borderId="26" xfId="0" applyNumberFormat="1" applyFont="1" applyFill="1" applyBorder="1" applyAlignment="1">
      <alignment/>
    </xf>
    <xf numFmtId="182" fontId="6" fillId="32" borderId="27" xfId="0" applyNumberFormat="1" applyFont="1" applyFill="1" applyBorder="1" applyAlignment="1">
      <alignment horizontal="center"/>
    </xf>
    <xf numFmtId="182" fontId="6" fillId="32" borderId="25" xfId="0" applyNumberFormat="1" applyFont="1" applyFill="1" applyBorder="1" applyAlignment="1">
      <alignment horizontal="center"/>
    </xf>
    <xf numFmtId="182" fontId="6" fillId="32" borderId="19" xfId="0" applyNumberFormat="1" applyFont="1" applyFill="1" applyBorder="1" applyAlignment="1">
      <alignment/>
    </xf>
    <xf numFmtId="182" fontId="12" fillId="0" borderId="0" xfId="0" applyNumberFormat="1" applyFont="1" applyAlignment="1">
      <alignment/>
    </xf>
    <xf numFmtId="182" fontId="6" fillId="0" borderId="28" xfId="0" applyNumberFormat="1" applyFont="1" applyBorder="1" applyAlignment="1">
      <alignment/>
    </xf>
    <xf numFmtId="182" fontId="6" fillId="0" borderId="28" xfId="63" applyNumberFormat="1" applyFont="1" applyBorder="1" applyAlignment="1">
      <alignment/>
    </xf>
    <xf numFmtId="182" fontId="6" fillId="0" borderId="29" xfId="0" applyNumberFormat="1" applyFont="1" applyBorder="1" applyAlignment="1">
      <alignment/>
    </xf>
    <xf numFmtId="182" fontId="6" fillId="0" borderId="19" xfId="63" applyNumberFormat="1" applyFont="1" applyBorder="1" applyAlignment="1">
      <alignment/>
    </xf>
    <xf numFmtId="182" fontId="6" fillId="0" borderId="20" xfId="63" applyNumberFormat="1" applyFont="1" applyBorder="1" applyAlignment="1">
      <alignment/>
    </xf>
    <xf numFmtId="0" fontId="13" fillId="0" borderId="0" xfId="0" applyFont="1" applyAlignment="1">
      <alignment/>
    </xf>
    <xf numFmtId="182" fontId="5" fillId="32" borderId="25" xfId="63" applyNumberFormat="1" applyFont="1" applyFill="1" applyBorder="1" applyAlignment="1">
      <alignment horizontal="center"/>
    </xf>
    <xf numFmtId="182" fontId="6" fillId="32" borderId="27" xfId="63" applyNumberFormat="1" applyFont="1" applyFill="1" applyBorder="1" applyAlignment="1">
      <alignment horizontal="center"/>
    </xf>
    <xf numFmtId="182" fontId="6" fillId="32" borderId="25" xfId="63" applyNumberFormat="1" applyFont="1" applyFill="1" applyBorder="1" applyAlignment="1">
      <alignment horizontal="center"/>
    </xf>
    <xf numFmtId="182" fontId="6" fillId="0" borderId="26" xfId="63" applyNumberFormat="1" applyFont="1" applyBorder="1" applyAlignment="1">
      <alignment/>
    </xf>
    <xf numFmtId="182" fontId="6" fillId="0" borderId="26" xfId="0" applyNumberFormat="1" applyFont="1" applyBorder="1" applyAlignment="1">
      <alignment/>
    </xf>
    <xf numFmtId="182" fontId="6" fillId="0" borderId="25" xfId="0" applyNumberFormat="1" applyFont="1" applyBorder="1" applyAlignment="1">
      <alignment/>
    </xf>
    <xf numFmtId="182" fontId="6" fillId="0" borderId="19" xfId="0" applyNumberFormat="1" applyFont="1" applyBorder="1" applyAlignment="1">
      <alignment/>
    </xf>
    <xf numFmtId="182" fontId="6" fillId="0" borderId="30" xfId="0" applyNumberFormat="1" applyFont="1" applyBorder="1" applyAlignment="1">
      <alignment/>
    </xf>
    <xf numFmtId="182" fontId="6" fillId="0" borderId="20" xfId="0" applyNumberFormat="1" applyFont="1" applyBorder="1" applyAlignment="1">
      <alignment/>
    </xf>
    <xf numFmtId="182" fontId="6" fillId="0" borderId="23" xfId="0" applyNumberFormat="1" applyFont="1" applyBorder="1" applyAlignment="1">
      <alignment/>
    </xf>
    <xf numFmtId="182" fontId="5" fillId="32" borderId="31" xfId="63" applyNumberFormat="1" applyFont="1" applyFill="1" applyBorder="1" applyAlignment="1">
      <alignment horizontal="left"/>
    </xf>
    <xf numFmtId="182" fontId="5" fillId="32" borderId="32" xfId="63" applyNumberFormat="1" applyFont="1" applyFill="1" applyBorder="1" applyAlignment="1">
      <alignment/>
    </xf>
    <xf numFmtId="182" fontId="5" fillId="32" borderId="26" xfId="0" applyNumberFormat="1" applyFont="1" applyFill="1" applyBorder="1" applyAlignment="1">
      <alignment/>
    </xf>
    <xf numFmtId="182" fontId="5" fillId="32" borderId="25" xfId="0" applyNumberFormat="1" applyFont="1" applyFill="1" applyBorder="1" applyAlignment="1">
      <alignment/>
    </xf>
    <xf numFmtId="182" fontId="13" fillId="0" borderId="0" xfId="63" applyNumberFormat="1" applyFont="1" applyAlignment="1">
      <alignment/>
    </xf>
    <xf numFmtId="182" fontId="13" fillId="0" borderId="0" xfId="0" applyNumberFormat="1" applyFont="1" applyAlignment="1">
      <alignment/>
    </xf>
    <xf numFmtId="0" fontId="5" fillId="0" borderId="19" xfId="0" applyFont="1" applyBorder="1" applyAlignment="1">
      <alignment/>
    </xf>
    <xf numFmtId="182" fontId="6" fillId="0" borderId="19"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79" fontId="6" fillId="0" borderId="0" xfId="63" applyFont="1" applyAlignment="1">
      <alignment/>
    </xf>
    <xf numFmtId="0" fontId="5" fillId="0" borderId="33" xfId="0" applyFont="1" applyBorder="1" applyAlignment="1">
      <alignment horizontal="center"/>
    </xf>
    <xf numFmtId="0" fontId="5" fillId="0" borderId="34" xfId="0" applyFont="1" applyBorder="1" applyAlignment="1">
      <alignment horizontal="center"/>
    </xf>
    <xf numFmtId="15" fontId="5" fillId="0" borderId="34" xfId="0" applyNumberFormat="1" applyFont="1" applyBorder="1" applyAlignment="1">
      <alignment horizontal="center"/>
    </xf>
    <xf numFmtId="15" fontId="5" fillId="0" borderId="33" xfId="0" applyNumberFormat="1"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xf>
    <xf numFmtId="179" fontId="5" fillId="0" borderId="22" xfId="63" applyFont="1" applyBorder="1" applyAlignment="1">
      <alignment horizontal="center"/>
    </xf>
    <xf numFmtId="0" fontId="5" fillId="0" borderId="36" xfId="0" applyFont="1" applyBorder="1" applyAlignment="1">
      <alignment/>
    </xf>
    <xf numFmtId="0" fontId="5" fillId="0" borderId="0" xfId="0" applyFont="1" applyAlignment="1">
      <alignment/>
    </xf>
    <xf numFmtId="0" fontId="5" fillId="0" borderId="24" xfId="0" applyFont="1" applyBorder="1" applyAlignment="1">
      <alignment horizontal="center"/>
    </xf>
    <xf numFmtId="15" fontId="5" fillId="0" borderId="37" xfId="0" applyNumberFormat="1" applyFont="1" applyBorder="1" applyAlignment="1">
      <alignment horizontal="center"/>
    </xf>
    <xf numFmtId="0" fontId="5" fillId="0" borderId="21" xfId="0" applyFont="1" applyBorder="1" applyAlignment="1">
      <alignment/>
    </xf>
    <xf numFmtId="0" fontId="5" fillId="0" borderId="38" xfId="0" applyFont="1" applyBorder="1" applyAlignment="1">
      <alignment horizontal="center"/>
    </xf>
    <xf numFmtId="0" fontId="5" fillId="0" borderId="28" xfId="0" applyFont="1" applyBorder="1" applyAlignment="1">
      <alignment horizontal="left"/>
    </xf>
    <xf numFmtId="0" fontId="5" fillId="0" borderId="39" xfId="0" applyFont="1" applyBorder="1" applyAlignment="1">
      <alignment horizontal="center"/>
    </xf>
    <xf numFmtId="15" fontId="5" fillId="0" borderId="40" xfId="0" applyNumberFormat="1" applyFont="1" applyBorder="1" applyAlignment="1">
      <alignment horizontal="center"/>
    </xf>
    <xf numFmtId="0" fontId="5" fillId="0" borderId="40" xfId="0" applyFont="1" applyBorder="1" applyAlignment="1">
      <alignment horizontal="center"/>
    </xf>
    <xf numFmtId="0" fontId="5" fillId="0" borderId="40" xfId="0" applyFont="1" applyBorder="1" applyAlignment="1">
      <alignment/>
    </xf>
    <xf numFmtId="182" fontId="6" fillId="0" borderId="0" xfId="0" applyNumberFormat="1" applyFont="1" applyAlignment="1">
      <alignment/>
    </xf>
    <xf numFmtId="182" fontId="6" fillId="0" borderId="41" xfId="63" applyNumberFormat="1" applyFont="1" applyBorder="1" applyAlignment="1">
      <alignment horizontal="left"/>
    </xf>
    <xf numFmtId="182" fontId="6" fillId="0" borderId="42" xfId="63" applyNumberFormat="1" applyFont="1" applyBorder="1" applyAlignment="1">
      <alignment/>
    </xf>
    <xf numFmtId="9" fontId="6" fillId="0" borderId="43" xfId="63" applyNumberFormat="1" applyFont="1" applyBorder="1" applyAlignment="1">
      <alignment/>
    </xf>
    <xf numFmtId="15" fontId="5" fillId="0" borderId="10" xfId="63" applyNumberFormat="1" applyFont="1" applyBorder="1" applyAlignment="1">
      <alignment/>
    </xf>
    <xf numFmtId="182" fontId="6" fillId="0" borderId="10" xfId="63" applyNumberFormat="1" applyFont="1" applyBorder="1" applyAlignment="1">
      <alignment/>
    </xf>
    <xf numFmtId="182" fontId="6" fillId="0" borderId="41" xfId="0" applyNumberFormat="1" applyFont="1" applyBorder="1" applyAlignment="1">
      <alignment/>
    </xf>
    <xf numFmtId="182" fontId="6" fillId="0" borderId="43" xfId="0" applyNumberFormat="1" applyFont="1" applyBorder="1" applyAlignment="1">
      <alignment/>
    </xf>
    <xf numFmtId="182" fontId="6" fillId="0" borderId="10" xfId="0" applyNumberFormat="1" applyFont="1" applyBorder="1" applyAlignment="1">
      <alignment/>
    </xf>
    <xf numFmtId="182" fontId="6" fillId="0" borderId="44" xfId="0" applyNumberFormat="1" applyFont="1" applyBorder="1" applyAlignment="1">
      <alignment/>
    </xf>
    <xf numFmtId="182" fontId="5" fillId="0" borderId="45" xfId="63" applyNumberFormat="1" applyFont="1" applyBorder="1" applyAlignment="1">
      <alignment horizontal="left"/>
    </xf>
    <xf numFmtId="182" fontId="5" fillId="0" borderId="46" xfId="63" applyNumberFormat="1" applyFont="1" applyBorder="1" applyAlignment="1">
      <alignment/>
    </xf>
    <xf numFmtId="9" fontId="5" fillId="0" borderId="47" xfId="63" applyNumberFormat="1" applyFont="1" applyBorder="1" applyAlignment="1">
      <alignment/>
    </xf>
    <xf numFmtId="15" fontId="6" fillId="0" borderId="48" xfId="63" applyNumberFormat="1" applyFont="1" applyBorder="1" applyAlignment="1">
      <alignment/>
    </xf>
    <xf numFmtId="182" fontId="5" fillId="0" borderId="48" xfId="63" applyNumberFormat="1" applyFont="1" applyBorder="1" applyAlignment="1">
      <alignment/>
    </xf>
    <xf numFmtId="182" fontId="5" fillId="0" borderId="49" xfId="63" applyNumberFormat="1" applyFont="1" applyBorder="1" applyAlignment="1">
      <alignment/>
    </xf>
    <xf numFmtId="182" fontId="5" fillId="0" borderId="20" xfId="63" applyNumberFormat="1" applyFont="1" applyBorder="1" applyAlignment="1">
      <alignment/>
    </xf>
    <xf numFmtId="182" fontId="5" fillId="0" borderId="20" xfId="0" applyNumberFormat="1" applyFont="1" applyBorder="1" applyAlignment="1">
      <alignment/>
    </xf>
    <xf numFmtId="182" fontId="5" fillId="0" borderId="0" xfId="0" applyNumberFormat="1" applyFont="1" applyAlignment="1">
      <alignment/>
    </xf>
    <xf numFmtId="182" fontId="5" fillId="0" borderId="28" xfId="63" applyNumberFormat="1" applyFont="1" applyBorder="1" applyAlignment="1">
      <alignment horizontal="left"/>
    </xf>
    <xf numFmtId="182" fontId="6" fillId="0" borderId="50" xfId="63" applyNumberFormat="1" applyFont="1" applyBorder="1" applyAlignment="1">
      <alignment/>
    </xf>
    <xf numFmtId="9" fontId="6" fillId="0" borderId="51" xfId="63" applyNumberFormat="1" applyFont="1" applyBorder="1" applyAlignment="1">
      <alignment/>
    </xf>
    <xf numFmtId="15" fontId="6" fillId="0" borderId="17" xfId="63" applyNumberFormat="1" applyFont="1" applyBorder="1" applyAlignment="1">
      <alignment/>
    </xf>
    <xf numFmtId="182" fontId="6" fillId="0" borderId="17" xfId="63" applyNumberFormat="1" applyFont="1" applyBorder="1" applyAlignment="1">
      <alignment/>
    </xf>
    <xf numFmtId="182" fontId="6" fillId="0" borderId="52" xfId="63" applyNumberFormat="1" applyFont="1" applyBorder="1" applyAlignment="1">
      <alignment/>
    </xf>
    <xf numFmtId="182" fontId="6" fillId="0" borderId="44" xfId="63" applyNumberFormat="1" applyFont="1" applyBorder="1" applyAlignment="1">
      <alignment/>
    </xf>
    <xf numFmtId="182" fontId="5" fillId="0" borderId="53" xfId="63" applyNumberFormat="1" applyFont="1" applyBorder="1" applyAlignment="1">
      <alignment horizontal="left"/>
    </xf>
    <xf numFmtId="182" fontId="5" fillId="0" borderId="54" xfId="63" applyNumberFormat="1" applyFont="1" applyBorder="1" applyAlignment="1">
      <alignment/>
    </xf>
    <xf numFmtId="9" fontId="5" fillId="0" borderId="55" xfId="63" applyNumberFormat="1" applyFont="1" applyBorder="1" applyAlignment="1">
      <alignment/>
    </xf>
    <xf numFmtId="15" fontId="6" fillId="0" borderId="56" xfId="63" applyNumberFormat="1" applyFont="1" applyBorder="1" applyAlignment="1">
      <alignment/>
    </xf>
    <xf numFmtId="182" fontId="5" fillId="0" borderId="56" xfId="63" applyNumberFormat="1" applyFont="1" applyBorder="1" applyAlignment="1">
      <alignment/>
    </xf>
    <xf numFmtId="182" fontId="5" fillId="0" borderId="57" xfId="63" applyNumberFormat="1" applyFont="1" applyBorder="1" applyAlignment="1">
      <alignment/>
    </xf>
    <xf numFmtId="182" fontId="5" fillId="0" borderId="23" xfId="63" applyNumberFormat="1" applyFont="1" applyBorder="1" applyAlignment="1">
      <alignment/>
    </xf>
    <xf numFmtId="182" fontId="5" fillId="0" borderId="0" xfId="0" applyNumberFormat="1" applyFont="1" applyBorder="1" applyAlignment="1">
      <alignment/>
    </xf>
    <xf numFmtId="182" fontId="5" fillId="0" borderId="58" xfId="63" applyNumberFormat="1" applyFont="1" applyBorder="1" applyAlignment="1">
      <alignment horizontal="left"/>
    </xf>
    <xf numFmtId="182" fontId="6" fillId="0" borderId="59" xfId="63" applyNumberFormat="1" applyFont="1" applyBorder="1" applyAlignment="1">
      <alignment/>
    </xf>
    <xf numFmtId="9" fontId="6" fillId="0" borderId="60" xfId="63" applyNumberFormat="1" applyFont="1" applyBorder="1" applyAlignment="1">
      <alignment/>
    </xf>
    <xf numFmtId="15" fontId="6" fillId="0" borderId="61" xfId="63" applyNumberFormat="1" applyFont="1" applyBorder="1" applyAlignment="1">
      <alignment/>
    </xf>
    <xf numFmtId="182" fontId="6" fillId="0" borderId="61" xfId="63" applyNumberFormat="1" applyFont="1" applyBorder="1" applyAlignment="1">
      <alignment/>
    </xf>
    <xf numFmtId="182" fontId="6" fillId="0" borderId="62" xfId="63" applyNumberFormat="1" applyFont="1" applyBorder="1" applyAlignment="1">
      <alignment/>
    </xf>
    <xf numFmtId="15" fontId="6" fillId="0" borderId="10" xfId="63" applyNumberFormat="1" applyFont="1" applyBorder="1" applyAlignment="1">
      <alignment/>
    </xf>
    <xf numFmtId="182" fontId="6" fillId="0" borderId="53" xfId="63" applyNumberFormat="1" applyFont="1" applyBorder="1" applyAlignment="1">
      <alignment horizontal="left"/>
    </xf>
    <xf numFmtId="182" fontId="6" fillId="0" borderId="54" xfId="63" applyNumberFormat="1" applyFont="1" applyBorder="1" applyAlignment="1">
      <alignment/>
    </xf>
    <xf numFmtId="9" fontId="6" fillId="0" borderId="55" xfId="63" applyNumberFormat="1" applyFont="1" applyBorder="1" applyAlignment="1">
      <alignment/>
    </xf>
    <xf numFmtId="15" fontId="5" fillId="0" borderId="56" xfId="63" applyNumberFormat="1" applyFont="1" applyBorder="1" applyAlignment="1">
      <alignment/>
    </xf>
    <xf numFmtId="182" fontId="6" fillId="0" borderId="56" xfId="63" applyNumberFormat="1" applyFont="1" applyBorder="1" applyAlignment="1">
      <alignment/>
    </xf>
    <xf numFmtId="182" fontId="6" fillId="0" borderId="57" xfId="63" applyNumberFormat="1" applyFont="1" applyBorder="1" applyAlignment="1">
      <alignment/>
    </xf>
    <xf numFmtId="182" fontId="6" fillId="0" borderId="45" xfId="63" applyNumberFormat="1" applyFont="1" applyBorder="1" applyAlignment="1">
      <alignment horizontal="left"/>
    </xf>
    <xf numFmtId="182" fontId="6" fillId="0" borderId="46" xfId="63" applyNumberFormat="1" applyFont="1" applyBorder="1" applyAlignment="1">
      <alignment/>
    </xf>
    <xf numFmtId="9" fontId="6" fillId="0" borderId="47" xfId="63" applyNumberFormat="1" applyFont="1" applyBorder="1" applyAlignment="1">
      <alignment/>
    </xf>
    <xf numFmtId="15" fontId="5" fillId="0" borderId="48" xfId="63" applyNumberFormat="1" applyFont="1" applyBorder="1" applyAlignment="1">
      <alignment/>
    </xf>
    <xf numFmtId="182" fontId="6" fillId="0" borderId="48" xfId="63" applyNumberFormat="1" applyFont="1" applyBorder="1" applyAlignment="1">
      <alignment/>
    </xf>
    <xf numFmtId="182" fontId="6" fillId="0" borderId="49" xfId="63" applyNumberFormat="1" applyFont="1" applyBorder="1" applyAlignment="1">
      <alignment/>
    </xf>
    <xf numFmtId="182" fontId="6" fillId="0" borderId="45" xfId="0" applyNumberFormat="1" applyFont="1" applyBorder="1" applyAlignment="1">
      <alignment/>
    </xf>
    <xf numFmtId="182" fontId="5" fillId="0" borderId="20" xfId="63" applyNumberFormat="1" applyFont="1" applyBorder="1" applyAlignment="1">
      <alignment horizontal="left"/>
    </xf>
    <xf numFmtId="182" fontId="5" fillId="0" borderId="0" xfId="63" applyNumberFormat="1" applyFont="1" applyBorder="1" applyAlignment="1">
      <alignment/>
    </xf>
    <xf numFmtId="182" fontId="5" fillId="0" borderId="39" xfId="63" applyNumberFormat="1" applyFont="1" applyBorder="1" applyAlignment="1">
      <alignment/>
    </xf>
    <xf numFmtId="15" fontId="6" fillId="0" borderId="40" xfId="63" applyNumberFormat="1" applyFont="1" applyBorder="1" applyAlignment="1">
      <alignment/>
    </xf>
    <xf numFmtId="182" fontId="5" fillId="0" borderId="40" xfId="63" applyNumberFormat="1" applyFont="1" applyBorder="1" applyAlignment="1">
      <alignment/>
    </xf>
    <xf numFmtId="182" fontId="5" fillId="0" borderId="63" xfId="63" applyNumberFormat="1" applyFont="1" applyBorder="1" applyAlignment="1">
      <alignment/>
    </xf>
    <xf numFmtId="182" fontId="5" fillId="0" borderId="26" xfId="63" applyNumberFormat="1" applyFont="1" applyBorder="1" applyAlignment="1">
      <alignment/>
    </xf>
    <xf numFmtId="182" fontId="5" fillId="0" borderId="32" xfId="63" applyNumberFormat="1" applyFont="1" applyBorder="1" applyAlignment="1">
      <alignment/>
    </xf>
    <xf numFmtId="0" fontId="5" fillId="0" borderId="24" xfId="0" applyFont="1" applyBorder="1" applyAlignment="1">
      <alignment/>
    </xf>
    <xf numFmtId="182" fontId="5" fillId="0" borderId="25" xfId="63" applyNumberFormat="1" applyFont="1" applyBorder="1" applyAlignment="1">
      <alignment/>
    </xf>
    <xf numFmtId="182" fontId="5" fillId="0" borderId="27" xfId="63" applyNumberFormat="1" applyFont="1" applyBorder="1" applyAlignment="1">
      <alignment/>
    </xf>
    <xf numFmtId="15" fontId="5" fillId="0" borderId="27" xfId="63" applyNumberFormat="1" applyFont="1" applyBorder="1" applyAlignment="1">
      <alignment/>
    </xf>
    <xf numFmtId="182" fontId="5" fillId="0" borderId="64" xfId="63" applyNumberFormat="1" applyFont="1" applyBorder="1" applyAlignment="1">
      <alignment/>
    </xf>
    <xf numFmtId="182" fontId="5" fillId="0" borderId="26" xfId="0" applyNumberFormat="1" applyFont="1" applyBorder="1" applyAlignment="1">
      <alignment/>
    </xf>
    <xf numFmtId="0" fontId="4" fillId="0" borderId="0" xfId="0" applyFont="1" applyAlignment="1">
      <alignment horizontal="centerContinuous"/>
    </xf>
    <xf numFmtId="0" fontId="7" fillId="0" borderId="65" xfId="0" applyFont="1" applyBorder="1" applyAlignment="1">
      <alignment horizontal="center" vertical="center"/>
    </xf>
    <xf numFmtId="182" fontId="6" fillId="0" borderId="23" xfId="63" applyNumberFormat="1" applyFont="1" applyFill="1" applyBorder="1" applyAlignment="1">
      <alignment horizontal="left"/>
    </xf>
    <xf numFmtId="182" fontId="6" fillId="0" borderId="24" xfId="63" applyNumberFormat="1" applyFont="1" applyFill="1" applyBorder="1" applyAlignment="1">
      <alignment/>
    </xf>
    <xf numFmtId="0" fontId="5" fillId="0" borderId="36" xfId="0" applyFont="1" applyBorder="1" applyAlignment="1">
      <alignment horizontal="center"/>
    </xf>
    <xf numFmtId="0" fontId="5" fillId="0" borderId="38" xfId="0" applyFont="1" applyBorder="1" applyAlignment="1">
      <alignment/>
    </xf>
    <xf numFmtId="182" fontId="6" fillId="0" borderId="66" xfId="63" applyNumberFormat="1" applyFont="1" applyFill="1" applyBorder="1" applyAlignment="1">
      <alignment/>
    </xf>
    <xf numFmtId="182" fontId="6" fillId="0" borderId="36" xfId="63" applyNumberFormat="1" applyFont="1" applyFill="1" applyBorder="1" applyAlignment="1">
      <alignment/>
    </xf>
    <xf numFmtId="182" fontId="6" fillId="0" borderId="38" xfId="63" applyNumberFormat="1" applyFont="1" applyFill="1" applyBorder="1" applyAlignment="1">
      <alignment/>
    </xf>
    <xf numFmtId="182" fontId="6" fillId="0" borderId="64" xfId="63" applyNumberFormat="1" applyFont="1" applyFill="1" applyBorder="1" applyAlignment="1">
      <alignment/>
    </xf>
    <xf numFmtId="182" fontId="6" fillId="0" borderId="0" xfId="63" applyNumberFormat="1" applyFont="1" applyFill="1" applyBorder="1" applyAlignment="1">
      <alignment/>
    </xf>
    <xf numFmtId="182" fontId="5" fillId="32" borderId="64" xfId="63" applyNumberFormat="1" applyFont="1" applyFill="1" applyBorder="1" applyAlignment="1">
      <alignment/>
    </xf>
    <xf numFmtId="3" fontId="6" fillId="0" borderId="66" xfId="0" applyNumberFormat="1" applyFont="1" applyFill="1" applyBorder="1" applyAlignment="1">
      <alignment horizontal="right"/>
    </xf>
    <xf numFmtId="3" fontId="6" fillId="0" borderId="66" xfId="63" applyNumberFormat="1" applyFont="1" applyFill="1" applyBorder="1" applyAlignment="1">
      <alignment horizontal="right"/>
    </xf>
    <xf numFmtId="3" fontId="6" fillId="0" borderId="66" xfId="51" applyNumberFormat="1" applyFont="1" applyFill="1" applyBorder="1" applyAlignment="1">
      <alignment horizontal="right"/>
    </xf>
    <xf numFmtId="182" fontId="6" fillId="32" borderId="27" xfId="0" applyNumberFormat="1" applyFont="1" applyFill="1" applyBorder="1" applyAlignment="1">
      <alignment/>
    </xf>
    <xf numFmtId="182" fontId="6" fillId="0" borderId="19" xfId="63" applyNumberFormat="1" applyFont="1" applyFill="1" applyBorder="1" applyAlignment="1">
      <alignment/>
    </xf>
    <xf numFmtId="182" fontId="6" fillId="0" borderId="20" xfId="63" applyNumberFormat="1" applyFont="1" applyFill="1" applyBorder="1" applyAlignment="1">
      <alignment/>
    </xf>
    <xf numFmtId="182" fontId="6" fillId="0" borderId="67" xfId="63" applyNumberFormat="1" applyFont="1" applyFill="1" applyBorder="1" applyAlignment="1">
      <alignment horizontal="left"/>
    </xf>
    <xf numFmtId="0" fontId="5" fillId="0" borderId="30" xfId="0" applyFont="1" applyBorder="1" applyAlignment="1">
      <alignment horizontal="center"/>
    </xf>
    <xf numFmtId="0" fontId="6" fillId="0" borderId="68" xfId="0" applyFont="1" applyFill="1" applyBorder="1" applyAlignment="1">
      <alignment horizontal="left"/>
    </xf>
    <xf numFmtId="0" fontId="6" fillId="0" borderId="69" xfId="0" applyFont="1" applyFill="1" applyBorder="1" applyAlignment="1">
      <alignment horizontal="left"/>
    </xf>
    <xf numFmtId="182" fontId="6" fillId="0" borderId="70" xfId="63" applyNumberFormat="1" applyFont="1" applyFill="1" applyBorder="1" applyAlignment="1">
      <alignment horizontal="left"/>
    </xf>
    <xf numFmtId="182" fontId="6" fillId="0" borderId="69" xfId="63" applyNumberFormat="1" applyFont="1" applyFill="1" applyBorder="1" applyAlignment="1">
      <alignment horizontal="left"/>
    </xf>
    <xf numFmtId="182" fontId="6" fillId="0" borderId="68" xfId="63" applyNumberFormat="1" applyFont="1" applyFill="1" applyBorder="1" applyAlignment="1">
      <alignment horizontal="left"/>
    </xf>
    <xf numFmtId="182" fontId="6" fillId="0" borderId="71" xfId="63" applyNumberFormat="1" applyFont="1" applyFill="1" applyBorder="1" applyAlignment="1">
      <alignment horizontal="left"/>
    </xf>
    <xf numFmtId="182" fontId="6" fillId="0" borderId="25" xfId="63" applyNumberFormat="1" applyFont="1" applyFill="1" applyBorder="1" applyAlignment="1">
      <alignment horizontal="left"/>
    </xf>
    <xf numFmtId="0" fontId="6" fillId="0" borderId="72" xfId="0" applyFont="1" applyFill="1" applyBorder="1" applyAlignment="1">
      <alignment horizontal="right"/>
    </xf>
    <xf numFmtId="0" fontId="6" fillId="0" borderId="41" xfId="0" applyFont="1" applyFill="1" applyBorder="1" applyAlignment="1">
      <alignment horizontal="right"/>
    </xf>
    <xf numFmtId="182" fontId="6" fillId="0" borderId="41" xfId="63" applyNumberFormat="1" applyFont="1" applyFill="1" applyBorder="1" applyAlignment="1">
      <alignment/>
    </xf>
    <xf numFmtId="182" fontId="6" fillId="0" borderId="72" xfId="63" applyNumberFormat="1" applyFont="1" applyFill="1" applyBorder="1" applyAlignment="1">
      <alignment/>
    </xf>
    <xf numFmtId="182" fontId="6" fillId="0" borderId="53" xfId="63" applyNumberFormat="1" applyFont="1" applyFill="1" applyBorder="1" applyAlignment="1">
      <alignment/>
    </xf>
    <xf numFmtId="182" fontId="6" fillId="0" borderId="58" xfId="63" applyNumberFormat="1" applyFont="1" applyFill="1" applyBorder="1" applyAlignment="1">
      <alignment/>
    </xf>
    <xf numFmtId="182" fontId="6" fillId="0" borderId="45" xfId="63" applyNumberFormat="1" applyFont="1" applyFill="1" applyBorder="1" applyAlignment="1">
      <alignment/>
    </xf>
    <xf numFmtId="182" fontId="6" fillId="0" borderId="26" xfId="63" applyNumberFormat="1" applyFont="1" applyFill="1" applyBorder="1" applyAlignment="1">
      <alignment/>
    </xf>
    <xf numFmtId="3" fontId="6" fillId="32" borderId="26" xfId="0" applyNumberFormat="1" applyFont="1" applyFill="1" applyBorder="1" applyAlignment="1">
      <alignment/>
    </xf>
    <xf numFmtId="182" fontId="6" fillId="32" borderId="64" xfId="0" applyNumberFormat="1" applyFont="1" applyFill="1" applyBorder="1" applyAlignment="1">
      <alignment/>
    </xf>
    <xf numFmtId="3" fontId="6" fillId="0" borderId="29" xfId="0" applyNumberFormat="1" applyFont="1" applyBorder="1" applyAlignment="1">
      <alignment/>
    </xf>
    <xf numFmtId="185" fontId="5" fillId="0" borderId="20" xfId="0" applyNumberFormat="1" applyFont="1" applyBorder="1" applyAlignment="1">
      <alignment horizontal="center"/>
    </xf>
    <xf numFmtId="182" fontId="6" fillId="0" borderId="30" xfId="63" applyNumberFormat="1" applyFont="1" applyBorder="1" applyAlignment="1">
      <alignment/>
    </xf>
    <xf numFmtId="182" fontId="6" fillId="0" borderId="29" xfId="63" applyNumberFormat="1" applyFont="1" applyBorder="1" applyAlignment="1">
      <alignment/>
    </xf>
    <xf numFmtId="182" fontId="6" fillId="0" borderId="23" xfId="63" applyNumberFormat="1" applyFont="1" applyBorder="1" applyAlignment="1">
      <alignment/>
    </xf>
    <xf numFmtId="182" fontId="12" fillId="0" borderId="0" xfId="63" applyNumberFormat="1" applyFont="1" applyAlignment="1">
      <alignment/>
    </xf>
    <xf numFmtId="0" fontId="18" fillId="0" borderId="73" xfId="0" applyFont="1" applyBorder="1" applyAlignment="1">
      <alignment/>
    </xf>
    <xf numFmtId="0" fontId="18" fillId="0" borderId="74" xfId="0" applyFont="1" applyBorder="1" applyAlignment="1">
      <alignment/>
    </xf>
    <xf numFmtId="0" fontId="6" fillId="0" borderId="0" xfId="0" applyFont="1" applyBorder="1" applyAlignment="1">
      <alignment horizontal="centerContinuous"/>
    </xf>
    <xf numFmtId="0" fontId="5" fillId="0" borderId="75" xfId="0" applyFont="1" applyBorder="1" applyAlignment="1">
      <alignment horizontal="center" vertical="center"/>
    </xf>
    <xf numFmtId="0" fontId="5" fillId="0" borderId="76" xfId="0" applyFont="1" applyBorder="1" applyAlignment="1">
      <alignment horizontal="center" vertical="center" wrapText="1"/>
    </xf>
    <xf numFmtId="171" fontId="1" fillId="0" borderId="0" xfId="51" applyFont="1" applyAlignment="1">
      <alignment/>
    </xf>
    <xf numFmtId="37" fontId="7" fillId="0" borderId="73" xfId="0" applyNumberFormat="1" applyFont="1" applyBorder="1" applyAlignment="1" quotePrefix="1">
      <alignment horizontal="left"/>
    </xf>
    <xf numFmtId="3" fontId="6" fillId="0" borderId="10" xfId="0" applyNumberFormat="1" applyFont="1" applyFill="1" applyBorder="1" applyAlignment="1" applyProtection="1">
      <alignment/>
      <protection locked="0"/>
    </xf>
    <xf numFmtId="180" fontId="6" fillId="0" borderId="10" xfId="51" applyNumberFormat="1" applyFont="1" applyFill="1" applyBorder="1" applyAlignment="1" applyProtection="1">
      <alignment/>
      <protection locked="0"/>
    </xf>
    <xf numFmtId="180" fontId="5" fillId="0" borderId="10" xfId="51" applyNumberFormat="1" applyFont="1" applyFill="1" applyBorder="1" applyAlignment="1" applyProtection="1">
      <alignment/>
      <protection locked="0"/>
    </xf>
    <xf numFmtId="0" fontId="2" fillId="0" borderId="19" xfId="0" applyFont="1" applyBorder="1" applyAlignment="1">
      <alignment horizontal="center"/>
    </xf>
    <xf numFmtId="0" fontId="2" fillId="0" borderId="20" xfId="0" applyFont="1" applyBorder="1" applyAlignment="1">
      <alignment horizontal="center"/>
    </xf>
    <xf numFmtId="3" fontId="5" fillId="0" borderId="76" xfId="0" applyNumberFormat="1" applyFont="1" applyBorder="1" applyAlignment="1" quotePrefix="1">
      <alignment horizontal="center" vertical="center" wrapText="1"/>
    </xf>
    <xf numFmtId="0" fontId="5" fillId="0" borderId="76" xfId="0" applyFont="1" applyBorder="1" applyAlignment="1" quotePrefix="1">
      <alignment horizontal="center" vertical="center" wrapText="1"/>
    </xf>
    <xf numFmtId="0" fontId="7" fillId="0" borderId="0" xfId="0" applyFont="1" applyAlignment="1" applyProtection="1">
      <alignment horizontal="centerContinuous"/>
      <protection/>
    </xf>
    <xf numFmtId="3" fontId="18" fillId="0" borderId="0" xfId="0" applyNumberFormat="1" applyFont="1" applyAlignment="1" applyProtection="1">
      <alignment horizontal="centerContinuous"/>
      <protection/>
    </xf>
    <xf numFmtId="0" fontId="18"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18" fillId="0" borderId="0" xfId="0" applyNumberFormat="1" applyFont="1" applyAlignment="1" applyProtection="1">
      <alignment horizontal="centerContinuous" vertical="top"/>
      <protection/>
    </xf>
    <xf numFmtId="0" fontId="18"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18" fillId="0" borderId="64" xfId="0" applyFont="1" applyBorder="1" applyAlignment="1" applyProtection="1">
      <alignment horizontal="centerContinuous"/>
      <protection/>
    </xf>
    <xf numFmtId="0" fontId="7" fillId="0" borderId="28" xfId="0" applyFont="1" applyBorder="1" applyAlignment="1" applyProtection="1">
      <alignment horizontal="center"/>
      <protection/>
    </xf>
    <xf numFmtId="3" fontId="7" fillId="0" borderId="19" xfId="0" applyNumberFormat="1" applyFont="1" applyBorder="1" applyAlignment="1" applyProtection="1">
      <alignment horizontal="center"/>
      <protection/>
    </xf>
    <xf numFmtId="0" fontId="7" fillId="0" borderId="36"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66" xfId="0" applyFont="1" applyBorder="1" applyAlignment="1" applyProtection="1">
      <alignment horizontal="center"/>
      <protection/>
    </xf>
    <xf numFmtId="0" fontId="7" fillId="0" borderId="20" xfId="0" applyFont="1" applyBorder="1" applyAlignment="1" applyProtection="1">
      <alignment horizontal="center"/>
      <protection/>
    </xf>
    <xf numFmtId="3" fontId="7" fillId="0" borderId="20" xfId="0" applyNumberFormat="1" applyFont="1" applyBorder="1" applyAlignment="1" applyProtection="1">
      <alignment horizontal="center"/>
      <protection/>
    </xf>
    <xf numFmtId="181" fontId="18" fillId="0" borderId="77" xfId="71"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78" xfId="0" applyFont="1" applyBorder="1" applyAlignment="1" applyProtection="1">
      <alignment horizontal="center" vertical="center"/>
      <protection/>
    </xf>
    <xf numFmtId="0" fontId="5" fillId="0" borderId="79" xfId="0" applyFont="1" applyFill="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3" fontId="5" fillId="0" borderId="10" xfId="0" applyNumberFormat="1" applyFont="1" applyFill="1" applyBorder="1" applyAlignment="1" applyProtection="1">
      <alignment/>
      <protection/>
    </xf>
    <xf numFmtId="3" fontId="5" fillId="0" borderId="10" xfId="0" applyNumberFormat="1" applyFont="1" applyBorder="1" applyAlignment="1" applyProtection="1">
      <alignment/>
      <protection/>
    </xf>
    <xf numFmtId="2" fontId="5" fillId="0" borderId="11" xfId="0" applyNumberFormat="1" applyFont="1" applyBorder="1" applyAlignment="1" applyProtection="1">
      <alignment/>
      <protection/>
    </xf>
    <xf numFmtId="3" fontId="6" fillId="0" borderId="10" xfId="0" applyNumberFormat="1" applyFont="1" applyFill="1" applyBorder="1" applyAlignment="1" applyProtection="1">
      <alignment/>
      <protection/>
    </xf>
    <xf numFmtId="3" fontId="6" fillId="0" borderId="10" xfId="0" applyNumberFormat="1" applyFont="1" applyBorder="1" applyAlignment="1" applyProtection="1">
      <alignment/>
      <protection/>
    </xf>
    <xf numFmtId="2" fontId="6" fillId="0" borderId="11" xfId="0" applyNumberFormat="1" applyFont="1" applyBorder="1" applyAlignment="1" applyProtection="1">
      <alignment/>
      <protection/>
    </xf>
    <xf numFmtId="0" fontId="6" fillId="0" borderId="10" xfId="0" applyFont="1" applyFill="1" applyBorder="1" applyAlignment="1" applyProtection="1">
      <alignment/>
      <protection/>
    </xf>
    <xf numFmtId="0" fontId="6" fillId="0" borderId="11" xfId="0" applyFont="1" applyBorder="1" applyAlignment="1" applyProtection="1">
      <alignment/>
      <protection/>
    </xf>
    <xf numFmtId="0" fontId="5" fillId="32" borderId="10" xfId="0" applyFont="1" applyFill="1" applyBorder="1" applyAlignment="1" applyProtection="1">
      <alignment/>
      <protection/>
    </xf>
    <xf numFmtId="3" fontId="5" fillId="32" borderId="10" xfId="0" applyNumberFormat="1" applyFont="1" applyFill="1" applyBorder="1" applyAlignment="1" applyProtection="1">
      <alignment/>
      <protection/>
    </xf>
    <xf numFmtId="2" fontId="5" fillId="32" borderId="11" xfId="0" applyNumberFormat="1" applyFont="1" applyFill="1" applyBorder="1" applyAlignment="1" applyProtection="1">
      <alignment/>
      <protection/>
    </xf>
    <xf numFmtId="0" fontId="6" fillId="0" borderId="10" xfId="0" applyFont="1" applyBorder="1" applyAlignment="1" applyProtection="1">
      <alignment/>
      <protection/>
    </xf>
    <xf numFmtId="2" fontId="6" fillId="0" borderId="0" xfId="0" applyNumberFormat="1" applyFont="1" applyAlignment="1" applyProtection="1">
      <alignment/>
      <protection/>
    </xf>
    <xf numFmtId="37" fontId="5" fillId="0" borderId="10" xfId="0" applyNumberFormat="1" applyFont="1" applyFill="1" applyBorder="1" applyAlignment="1" applyProtection="1">
      <alignment/>
      <protection/>
    </xf>
    <xf numFmtId="180" fontId="6" fillId="0" borderId="10" xfId="51" applyNumberFormat="1" applyFont="1" applyFill="1" applyBorder="1" applyAlignment="1" applyProtection="1">
      <alignment/>
      <protection/>
    </xf>
    <xf numFmtId="180" fontId="5" fillId="0" borderId="10" xfId="51" applyNumberFormat="1" applyFont="1" applyFill="1" applyBorder="1" applyAlignment="1" applyProtection="1">
      <alignment/>
      <protection/>
    </xf>
    <xf numFmtId="37" fontId="6" fillId="0" borderId="10" xfId="0" applyNumberFormat="1" applyFont="1" applyFill="1" applyBorder="1" applyAlignment="1" applyProtection="1">
      <alignment/>
      <protection/>
    </xf>
    <xf numFmtId="180" fontId="6" fillId="0" borderId="10" xfId="51" applyNumberFormat="1" applyFont="1" applyFill="1" applyBorder="1" applyAlignment="1" applyProtection="1">
      <alignment horizontal="left"/>
      <protection/>
    </xf>
    <xf numFmtId="180" fontId="6" fillId="0" borderId="0" xfId="51" applyNumberFormat="1" applyFont="1" applyAlignment="1" applyProtection="1">
      <alignment/>
      <protection/>
    </xf>
    <xf numFmtId="37" fontId="5" fillId="0" borderId="10" xfId="0" applyNumberFormat="1" applyFont="1" applyFill="1" applyBorder="1" applyAlignment="1" applyProtection="1">
      <alignment vertical="top" wrapText="1"/>
      <protection/>
    </xf>
    <xf numFmtId="37" fontId="6" fillId="0" borderId="10" xfId="0" applyNumberFormat="1" applyFont="1" applyFill="1" applyBorder="1" applyAlignment="1" applyProtection="1">
      <alignment vertical="top" wrapText="1"/>
      <protection/>
    </xf>
    <xf numFmtId="4" fontId="6" fillId="0" borderId="11" xfId="0" applyNumberFormat="1" applyFont="1" applyBorder="1" applyAlignment="1" applyProtection="1">
      <alignment/>
      <protection/>
    </xf>
    <xf numFmtId="171" fontId="5" fillId="0" borderId="10" xfId="51" applyFont="1" applyFill="1" applyBorder="1" applyAlignment="1" applyProtection="1">
      <alignment/>
      <protection/>
    </xf>
    <xf numFmtId="0" fontId="6" fillId="0" borderId="39" xfId="0" applyFont="1" applyBorder="1" applyAlignment="1" applyProtection="1">
      <alignment/>
      <protection/>
    </xf>
    <xf numFmtId="0" fontId="6" fillId="0" borderId="12" xfId="0" applyFont="1" applyBorder="1" applyAlignment="1" applyProtection="1">
      <alignment/>
      <protection/>
    </xf>
    <xf numFmtId="0" fontId="6" fillId="0" borderId="14" xfId="0" applyFont="1" applyFill="1" applyBorder="1" applyAlignment="1" applyProtection="1">
      <alignment/>
      <protection/>
    </xf>
    <xf numFmtId="0" fontId="6" fillId="0" borderId="15" xfId="0" applyFont="1" applyBorder="1" applyAlignment="1" applyProtection="1">
      <alignment/>
      <protection/>
    </xf>
    <xf numFmtId="3" fontId="6" fillId="0" borderId="16" xfId="0" applyNumberFormat="1" applyFont="1" applyBorder="1" applyAlignment="1" applyProtection="1">
      <alignment/>
      <protection/>
    </xf>
    <xf numFmtId="0" fontId="6" fillId="0" borderId="0" xfId="0" applyFont="1" applyFill="1" applyAlignment="1" applyProtection="1">
      <alignment/>
      <protection/>
    </xf>
    <xf numFmtId="171" fontId="6" fillId="0" borderId="0" xfId="51" applyFont="1" applyAlignment="1" applyProtection="1">
      <alignment/>
      <protection/>
    </xf>
    <xf numFmtId="0" fontId="5" fillId="0" borderId="20" xfId="0" applyFont="1" applyBorder="1" applyAlignment="1">
      <alignment horizontal="centerContinuous"/>
    </xf>
    <xf numFmtId="9" fontId="5" fillId="0" borderId="20" xfId="0" applyNumberFormat="1" applyFont="1" applyBorder="1" applyAlignment="1">
      <alignment/>
    </xf>
    <xf numFmtId="3" fontId="6" fillId="32" borderId="64" xfId="0" applyNumberFormat="1" applyFont="1" applyFill="1" applyBorder="1" applyAlignment="1">
      <alignment/>
    </xf>
    <xf numFmtId="0" fontId="3" fillId="0" borderId="0" xfId="0" applyFont="1" applyAlignment="1">
      <alignment horizontal="centerContinuous"/>
    </xf>
    <xf numFmtId="0" fontId="14" fillId="0" borderId="19" xfId="0" applyFont="1" applyBorder="1" applyAlignment="1" quotePrefix="1">
      <alignment horizontal="center"/>
    </xf>
    <xf numFmtId="0" fontId="5" fillId="0" borderId="20" xfId="0" applyFont="1" applyBorder="1" applyAlignment="1" quotePrefix="1">
      <alignment horizontal="center"/>
    </xf>
    <xf numFmtId="0" fontId="5" fillId="0" borderId="19" xfId="0" applyFont="1" applyBorder="1" applyAlignment="1" quotePrefix="1">
      <alignment horizontal="center"/>
    </xf>
    <xf numFmtId="181" fontId="6" fillId="0" borderId="10" xfId="71" applyNumberFormat="1" applyFont="1" applyFill="1" applyBorder="1" applyAlignment="1">
      <alignment/>
    </xf>
    <xf numFmtId="181" fontId="5" fillId="0" borderId="10" xfId="71" applyNumberFormat="1" applyFont="1" applyFill="1" applyBorder="1" applyAlignment="1">
      <alignment/>
    </xf>
    <xf numFmtId="3" fontId="7" fillId="0" borderId="25" xfId="0" applyNumberFormat="1" applyFont="1" applyBorder="1" applyAlignment="1" applyProtection="1">
      <alignment horizontal="center"/>
      <protection/>
    </xf>
    <xf numFmtId="3" fontId="7" fillId="0" borderId="27" xfId="0" applyNumberFormat="1" applyFont="1" applyBorder="1" applyAlignment="1" applyProtection="1">
      <alignment horizontal="center"/>
      <protection/>
    </xf>
    <xf numFmtId="3" fontId="7" fillId="0" borderId="64"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18" fillId="0" borderId="19" xfId="0" applyFont="1" applyBorder="1" applyAlignment="1" applyProtection="1">
      <alignment/>
      <protection/>
    </xf>
    <xf numFmtId="0" fontId="7" fillId="0" borderId="81" xfId="0" applyFont="1" applyBorder="1" applyAlignment="1" applyProtection="1">
      <alignment/>
      <protection/>
    </xf>
    <xf numFmtId="3" fontId="7" fillId="0" borderId="82" xfId="0" applyNumberFormat="1" applyFont="1" applyBorder="1" applyAlignment="1" applyProtection="1">
      <alignment/>
      <protection/>
    </xf>
    <xf numFmtId="181" fontId="7" fillId="0" borderId="83" xfId="71" applyNumberFormat="1" applyFont="1" applyBorder="1" applyAlignment="1" applyProtection="1">
      <alignment/>
      <protection/>
    </xf>
    <xf numFmtId="3" fontId="11" fillId="0" borderId="0" xfId="0" applyNumberFormat="1" applyFont="1" applyAlignment="1" applyProtection="1">
      <alignment/>
      <protection/>
    </xf>
    <xf numFmtId="0" fontId="18" fillId="0" borderId="73" xfId="0" applyFont="1" applyBorder="1" applyAlignment="1" applyProtection="1">
      <alignment/>
      <protection/>
    </xf>
    <xf numFmtId="3" fontId="18" fillId="0" borderId="84" xfId="0" applyNumberFormat="1" applyFont="1" applyBorder="1" applyAlignment="1" applyProtection="1">
      <alignment/>
      <protection/>
    </xf>
    <xf numFmtId="181" fontId="18" fillId="0" borderId="77" xfId="71" applyNumberFormat="1" applyFont="1" applyBorder="1" applyAlignment="1" applyProtection="1">
      <alignment/>
      <protection/>
    </xf>
    <xf numFmtId="0" fontId="18" fillId="0" borderId="77" xfId="0" applyFont="1" applyBorder="1" applyAlignment="1" applyProtection="1">
      <alignment/>
      <protection/>
    </xf>
    <xf numFmtId="0" fontId="7" fillId="0" borderId="73" xfId="0" applyFont="1" applyBorder="1" applyAlignment="1" applyProtection="1">
      <alignment/>
      <protection/>
    </xf>
    <xf numFmtId="3" fontId="7" fillId="0" borderId="84" xfId="0" applyNumberFormat="1" applyFont="1" applyBorder="1" applyAlignment="1" applyProtection="1">
      <alignment/>
      <protection/>
    </xf>
    <xf numFmtId="181" fontId="7" fillId="0" borderId="77" xfId="71" applyNumberFormat="1" applyFont="1" applyBorder="1" applyAlignment="1" applyProtection="1">
      <alignment/>
      <protection/>
    </xf>
    <xf numFmtId="37" fontId="7" fillId="0" borderId="73" xfId="0" applyNumberFormat="1" applyFont="1" applyBorder="1" applyAlignment="1" applyProtection="1">
      <alignment/>
      <protection/>
    </xf>
    <xf numFmtId="37" fontId="7" fillId="0" borderId="84" xfId="51" applyNumberFormat="1" applyFont="1" applyBorder="1" applyAlignment="1" applyProtection="1">
      <alignment/>
      <protection/>
    </xf>
    <xf numFmtId="37" fontId="18" fillId="0" borderId="73" xfId="0" applyNumberFormat="1" applyFont="1" applyBorder="1" applyAlignment="1" applyProtection="1">
      <alignment/>
      <protection/>
    </xf>
    <xf numFmtId="37" fontId="18" fillId="0" borderId="84" xfId="51" applyNumberFormat="1" applyFont="1" applyFill="1" applyBorder="1" applyAlignment="1" applyProtection="1">
      <alignment/>
      <protection/>
    </xf>
    <xf numFmtId="37" fontId="7" fillId="0" borderId="84" xfId="51" applyNumberFormat="1" applyFont="1" applyFill="1" applyBorder="1" applyAlignment="1" applyProtection="1">
      <alignment/>
      <protection/>
    </xf>
    <xf numFmtId="37" fontId="18" fillId="0" borderId="84" xfId="51" applyNumberFormat="1" applyFont="1" applyBorder="1" applyAlignment="1" applyProtection="1">
      <alignment/>
      <protection/>
    </xf>
    <xf numFmtId="3" fontId="18" fillId="0" borderId="84" xfId="0" applyNumberFormat="1" applyFont="1" applyFill="1" applyBorder="1" applyAlignment="1" applyProtection="1">
      <alignment/>
      <protection/>
    </xf>
    <xf numFmtId="181" fontId="18" fillId="0" borderId="77" xfId="71" applyNumberFormat="1" applyFont="1" applyFill="1" applyBorder="1" applyAlignment="1" applyProtection="1">
      <alignment/>
      <protection/>
    </xf>
    <xf numFmtId="0" fontId="18" fillId="0" borderId="85" xfId="0" applyFont="1" applyBorder="1" applyAlignment="1" applyProtection="1">
      <alignment/>
      <protection/>
    </xf>
    <xf numFmtId="3" fontId="18" fillId="0" borderId="21" xfId="0" applyNumberFormat="1" applyFont="1" applyBorder="1" applyAlignment="1" applyProtection="1">
      <alignment/>
      <protection/>
    </xf>
    <xf numFmtId="0" fontId="18" fillId="0" borderId="86" xfId="0" applyFont="1" applyBorder="1" applyAlignment="1" applyProtection="1">
      <alignment/>
      <protection/>
    </xf>
    <xf numFmtId="0" fontId="7" fillId="33" borderId="85" xfId="0" applyFont="1" applyFill="1" applyBorder="1" applyAlignment="1" applyProtection="1">
      <alignment/>
      <protection/>
    </xf>
    <xf numFmtId="3" fontId="7" fillId="33" borderId="21" xfId="0" applyNumberFormat="1" applyFont="1" applyFill="1" applyBorder="1" applyAlignment="1" applyProtection="1">
      <alignment/>
      <protection/>
    </xf>
    <xf numFmtId="181" fontId="7" fillId="33" borderId="86" xfId="71" applyNumberFormat="1" applyFont="1" applyFill="1" applyBorder="1" applyAlignment="1" applyProtection="1">
      <alignment/>
      <protection/>
    </xf>
    <xf numFmtId="0" fontId="18" fillId="0" borderId="87" xfId="0" applyFont="1" applyBorder="1" applyAlignment="1" applyProtection="1">
      <alignment/>
      <protection/>
    </xf>
    <xf numFmtId="3" fontId="18" fillId="0" borderId="56" xfId="0" applyNumberFormat="1" applyFont="1" applyBorder="1" applyAlignment="1" applyProtection="1">
      <alignment/>
      <protection/>
    </xf>
    <xf numFmtId="0" fontId="18" fillId="0" borderId="88" xfId="0" applyFont="1" applyBorder="1" applyAlignment="1" applyProtection="1">
      <alignment/>
      <protection/>
    </xf>
    <xf numFmtId="0" fontId="18" fillId="0" borderId="74" xfId="0" applyFont="1" applyBorder="1" applyAlignment="1" applyProtection="1">
      <alignment/>
      <protection/>
    </xf>
    <xf numFmtId="3" fontId="18" fillId="0" borderId="40" xfId="0" applyNumberFormat="1" applyFont="1" applyBorder="1" applyAlignment="1" applyProtection="1">
      <alignment/>
      <protection/>
    </xf>
    <xf numFmtId="37" fontId="18" fillId="0" borderId="40" xfId="51" applyNumberFormat="1" applyFont="1" applyBorder="1" applyAlignment="1" applyProtection="1">
      <alignment/>
      <protection/>
    </xf>
    <xf numFmtId="181" fontId="18" fillId="0" borderId="89" xfId="71" applyNumberFormat="1" applyFont="1" applyBorder="1" applyAlignment="1" applyProtection="1">
      <alignment/>
      <protection/>
    </xf>
    <xf numFmtId="0" fontId="7" fillId="33" borderId="31" xfId="0" applyFont="1" applyFill="1" applyBorder="1" applyAlignment="1" applyProtection="1">
      <alignment/>
      <protection/>
    </xf>
    <xf numFmtId="3" fontId="7" fillId="33" borderId="90" xfId="0" applyNumberFormat="1" applyFont="1" applyFill="1" applyBorder="1" applyAlignment="1" applyProtection="1">
      <alignment/>
      <protection/>
    </xf>
    <xf numFmtId="181" fontId="7" fillId="33" borderId="32" xfId="71"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18"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0" xfId="0" applyNumberFormat="1" applyFont="1" applyBorder="1" applyAlignment="1" applyProtection="1">
      <alignment/>
      <protection/>
    </xf>
    <xf numFmtId="3" fontId="0" fillId="0" borderId="0" xfId="0" applyNumberFormat="1" applyFont="1" applyAlignment="1" applyProtection="1">
      <alignment/>
      <protection/>
    </xf>
    <xf numFmtId="0" fontId="17" fillId="0" borderId="0" xfId="0" applyFont="1" applyAlignment="1" applyProtection="1">
      <alignment/>
      <protection/>
    </xf>
    <xf numFmtId="3" fontId="17" fillId="0" borderId="0" xfId="0" applyNumberFormat="1" applyFont="1" applyAlignment="1" applyProtection="1">
      <alignment/>
      <protection/>
    </xf>
    <xf numFmtId="0" fontId="11" fillId="0" borderId="28" xfId="0" applyFont="1" applyBorder="1" applyAlignment="1" applyProtection="1">
      <alignment/>
      <protection/>
    </xf>
    <xf numFmtId="0" fontId="10" fillId="0" borderId="19" xfId="0" applyFont="1" applyBorder="1" applyAlignment="1" applyProtection="1">
      <alignment/>
      <protection/>
    </xf>
    <xf numFmtId="0" fontId="10" fillId="0" borderId="20" xfId="0" applyFont="1" applyBorder="1" applyAlignment="1" applyProtection="1">
      <alignment/>
      <protection/>
    </xf>
    <xf numFmtId="0" fontId="10" fillId="0" borderId="26" xfId="0" applyFont="1" applyBorder="1" applyAlignment="1" applyProtection="1">
      <alignment horizontal="center"/>
      <protection/>
    </xf>
    <xf numFmtId="0" fontId="10" fillId="0" borderId="28" xfId="0" applyFont="1" applyBorder="1" applyAlignment="1" applyProtection="1">
      <alignment horizontal="center"/>
      <protection/>
    </xf>
    <xf numFmtId="3" fontId="11" fillId="0" borderId="19" xfId="0" applyNumberFormat="1" applyFont="1" applyBorder="1" applyAlignment="1" applyProtection="1">
      <alignment/>
      <protection/>
    </xf>
    <xf numFmtId="3" fontId="11" fillId="0" borderId="28" xfId="0" applyNumberFormat="1" applyFont="1" applyBorder="1" applyAlignment="1" applyProtection="1">
      <alignment/>
      <protection/>
    </xf>
    <xf numFmtId="3" fontId="10" fillId="0" borderId="28" xfId="0" applyNumberFormat="1" applyFont="1" applyBorder="1" applyAlignment="1" applyProtection="1">
      <alignment/>
      <protection/>
    </xf>
    <xf numFmtId="3" fontId="11" fillId="0" borderId="28" xfId="0" applyNumberFormat="1" applyFont="1" applyBorder="1" applyAlignment="1" applyProtection="1">
      <alignment/>
      <protection/>
    </xf>
    <xf numFmtId="3" fontId="11" fillId="33" borderId="26" xfId="0" applyNumberFormat="1" applyFont="1" applyFill="1" applyBorder="1" applyAlignment="1" applyProtection="1">
      <alignment/>
      <protection/>
    </xf>
    <xf numFmtId="0" fontId="18" fillId="0" borderId="91" xfId="0" applyFont="1" applyBorder="1" applyAlignment="1" applyProtection="1">
      <alignment/>
      <protection/>
    </xf>
    <xf numFmtId="3" fontId="18" fillId="0" borderId="92" xfId="0" applyNumberFormat="1" applyFont="1" applyBorder="1" applyAlignment="1" applyProtection="1">
      <alignment/>
      <protection/>
    </xf>
    <xf numFmtId="37" fontId="18" fillId="0" borderId="92" xfId="51" applyNumberFormat="1" applyFont="1" applyBorder="1" applyAlignment="1" applyProtection="1">
      <alignment/>
      <protection/>
    </xf>
    <xf numFmtId="181" fontId="18" fillId="0" borderId="93" xfId="71" applyNumberFormat="1" applyFont="1" applyBorder="1" applyAlignment="1" applyProtection="1">
      <alignment/>
      <protection/>
    </xf>
    <xf numFmtId="0" fontId="18" fillId="0" borderId="94" xfId="0" applyFont="1" applyBorder="1" applyAlignment="1" applyProtection="1">
      <alignment/>
      <protection/>
    </xf>
    <xf numFmtId="3" fontId="18" fillId="0" borderId="95" xfId="0" applyNumberFormat="1" applyFont="1" applyBorder="1" applyAlignment="1" applyProtection="1">
      <alignment/>
      <protection/>
    </xf>
    <xf numFmtId="0" fontId="18" fillId="0" borderId="96" xfId="0" applyFont="1" applyBorder="1" applyAlignment="1" applyProtection="1">
      <alignment/>
      <protection/>
    </xf>
    <xf numFmtId="9" fontId="5" fillId="0" borderId="20" xfId="0" applyNumberFormat="1" applyFont="1" applyBorder="1" applyAlignment="1">
      <alignment horizontal="center"/>
    </xf>
    <xf numFmtId="37" fontId="18" fillId="0" borderId="10" xfId="0" applyNumberFormat="1" applyFont="1" applyFill="1" applyBorder="1" applyAlignment="1">
      <alignment vertical="top" wrapText="1"/>
    </xf>
    <xf numFmtId="0" fontId="4" fillId="0" borderId="0" xfId="0" applyFont="1" applyFill="1" applyAlignment="1">
      <alignment/>
    </xf>
    <xf numFmtId="0" fontId="15" fillId="0" borderId="0" xfId="0" applyFont="1" applyAlignment="1">
      <alignment/>
    </xf>
    <xf numFmtId="0" fontId="19" fillId="0" borderId="0" xfId="0" applyFont="1" applyFill="1" applyBorder="1" applyAlignment="1">
      <alignment horizontal="center"/>
    </xf>
    <xf numFmtId="0" fontId="22" fillId="0" borderId="0" xfId="0" applyFont="1" applyFill="1" applyBorder="1" applyAlignment="1">
      <alignment horizontal="center"/>
    </xf>
    <xf numFmtId="0" fontId="19" fillId="0" borderId="19" xfId="0" applyFont="1" applyFill="1" applyBorder="1" applyAlignment="1">
      <alignment horizontal="center"/>
    </xf>
    <xf numFmtId="0" fontId="19" fillId="0" borderId="28" xfId="0" applyFont="1" applyFill="1" applyBorder="1" applyAlignment="1">
      <alignment horizontal="center"/>
    </xf>
    <xf numFmtId="0" fontId="19" fillId="0" borderId="20" xfId="0" applyFont="1" applyFill="1" applyBorder="1" applyAlignment="1">
      <alignment horizontal="center"/>
    </xf>
    <xf numFmtId="0" fontId="19" fillId="0" borderId="97" xfId="0" applyFont="1" applyFill="1" applyBorder="1" applyAlignment="1">
      <alignment horizontal="left"/>
    </xf>
    <xf numFmtId="0" fontId="4" fillId="0" borderId="73" xfId="0" applyFont="1" applyFill="1" applyBorder="1" applyAlignment="1">
      <alignment/>
    </xf>
    <xf numFmtId="0" fontId="19" fillId="0" borderId="94" xfId="0" applyFont="1" applyFill="1" applyBorder="1" applyAlignment="1">
      <alignment/>
    </xf>
    <xf numFmtId="0" fontId="19" fillId="0" borderId="73" xfId="0" applyFont="1" applyFill="1" applyBorder="1" applyAlignment="1">
      <alignment/>
    </xf>
    <xf numFmtId="3" fontId="15" fillId="0" borderId="0" xfId="0" applyNumberFormat="1" applyFont="1" applyAlignment="1">
      <alignment/>
    </xf>
    <xf numFmtId="0" fontId="4" fillId="0" borderId="91" xfId="0" applyFont="1" applyFill="1" applyBorder="1" applyAlignment="1">
      <alignment/>
    </xf>
    <xf numFmtId="0" fontId="4" fillId="0" borderId="0" xfId="0" applyFont="1" applyFill="1" applyAlignment="1">
      <alignment/>
    </xf>
    <xf numFmtId="4" fontId="4" fillId="0" borderId="0" xfId="0" applyNumberFormat="1" applyFont="1" applyFill="1" applyAlignment="1">
      <alignment/>
    </xf>
    <xf numFmtId="0" fontId="19" fillId="0" borderId="0" xfId="0" applyFont="1" applyFill="1" applyAlignment="1">
      <alignment/>
    </xf>
    <xf numFmtId="180" fontId="4" fillId="0" borderId="0" xfId="0" applyNumberFormat="1" applyFont="1" applyFill="1" applyAlignment="1">
      <alignment/>
    </xf>
    <xf numFmtId="182" fontId="4" fillId="0" borderId="0" xfId="64" applyNumberFormat="1" applyFont="1" applyFill="1" applyAlignment="1">
      <alignment/>
    </xf>
    <xf numFmtId="180" fontId="15" fillId="0" borderId="0" xfId="0" applyNumberFormat="1" applyFont="1" applyAlignment="1">
      <alignment/>
    </xf>
    <xf numFmtId="0" fontId="4" fillId="0" borderId="0" xfId="0" applyFont="1" applyFill="1" applyAlignment="1" quotePrefix="1">
      <alignment horizontal="left"/>
    </xf>
    <xf numFmtId="179" fontId="25" fillId="0" borderId="0" xfId="0" applyNumberFormat="1" applyFont="1" applyFill="1" applyAlignment="1">
      <alignment/>
    </xf>
    <xf numFmtId="182" fontId="19" fillId="0" borderId="0" xfId="0" applyNumberFormat="1" applyFont="1" applyFill="1" applyAlignment="1">
      <alignment/>
    </xf>
    <xf numFmtId="184" fontId="19" fillId="0" borderId="0" xfId="0" applyNumberFormat="1" applyFont="1" applyFill="1" applyAlignment="1">
      <alignment/>
    </xf>
    <xf numFmtId="43" fontId="15" fillId="0" borderId="0" xfId="0" applyNumberFormat="1" applyFont="1" applyAlignment="1">
      <alignment/>
    </xf>
    <xf numFmtId="170" fontId="15" fillId="0" borderId="0" xfId="0" applyNumberFormat="1" applyFont="1" applyAlignment="1">
      <alignment/>
    </xf>
    <xf numFmtId="182" fontId="26" fillId="0" borderId="0" xfId="64" applyNumberFormat="1" applyFont="1" applyFill="1" applyAlignment="1">
      <alignment/>
    </xf>
    <xf numFmtId="0" fontId="21" fillId="0" borderId="0" xfId="0" applyFont="1" applyAlignment="1">
      <alignment/>
    </xf>
    <xf numFmtId="0" fontId="19" fillId="32" borderId="0" xfId="0" applyFont="1" applyFill="1" applyAlignment="1">
      <alignment/>
    </xf>
    <xf numFmtId="182" fontId="4" fillId="0" borderId="0" xfId="0" applyNumberFormat="1" applyFont="1" applyFill="1" applyAlignment="1">
      <alignment/>
    </xf>
    <xf numFmtId="0" fontId="22" fillId="0" borderId="0" xfId="0" applyFont="1" applyFill="1" applyAlignment="1">
      <alignment horizontal="right"/>
    </xf>
    <xf numFmtId="0" fontId="27" fillId="0" borderId="0" xfId="0" applyFont="1" applyAlignment="1">
      <alignment/>
    </xf>
    <xf numFmtId="0" fontId="19" fillId="32" borderId="0" xfId="0" applyFont="1" applyFill="1" applyAlignment="1">
      <alignment horizontal="left"/>
    </xf>
    <xf numFmtId="0" fontId="26" fillId="0" borderId="0" xfId="0" applyFont="1" applyFill="1" applyAlignment="1">
      <alignment/>
    </xf>
    <xf numFmtId="170" fontId="28" fillId="0" borderId="0" xfId="0" applyNumberFormat="1" applyFont="1" applyAlignment="1">
      <alignment horizontal="right"/>
    </xf>
    <xf numFmtId="0" fontId="22" fillId="0" borderId="0" xfId="0" applyFont="1" applyAlignment="1">
      <alignment horizontal="right"/>
    </xf>
    <xf numFmtId="0" fontId="29" fillId="0" borderId="0" xfId="0" applyFont="1" applyAlignment="1">
      <alignment/>
    </xf>
    <xf numFmtId="182" fontId="4" fillId="0" borderId="0" xfId="64" applyNumberFormat="1" applyFont="1" applyFill="1" applyAlignment="1">
      <alignment/>
    </xf>
    <xf numFmtId="170" fontId="15" fillId="0" borderId="0" xfId="65" applyFont="1" applyAlignment="1">
      <alignment/>
    </xf>
    <xf numFmtId="0" fontId="19" fillId="0" borderId="0" xfId="0" applyFont="1" applyFill="1" applyAlignment="1">
      <alignment horizontal="centerContinuous"/>
    </xf>
    <xf numFmtId="182" fontId="4" fillId="0" borderId="0" xfId="64" applyNumberFormat="1" applyFont="1" applyFill="1" applyAlignment="1">
      <alignment horizontal="centerContinuous"/>
    </xf>
    <xf numFmtId="0" fontId="4" fillId="0" borderId="0" xfId="0" applyFont="1" applyFill="1" applyAlignment="1">
      <alignment horizontal="centerContinuous"/>
    </xf>
    <xf numFmtId="182" fontId="19" fillId="0" borderId="22" xfId="64" applyNumberFormat="1" applyFont="1" applyFill="1" applyBorder="1" applyAlignment="1">
      <alignment horizontal="center"/>
    </xf>
    <xf numFmtId="182" fontId="19" fillId="0" borderId="35" xfId="64" applyNumberFormat="1" applyFont="1" applyFill="1" applyBorder="1" applyAlignment="1">
      <alignment horizontal="center"/>
    </xf>
    <xf numFmtId="182" fontId="19" fillId="0" borderId="40" xfId="64" applyNumberFormat="1" applyFont="1" applyFill="1" applyBorder="1" applyAlignment="1">
      <alignment horizontal="center"/>
    </xf>
    <xf numFmtId="182" fontId="19" fillId="0" borderId="63" xfId="64" applyNumberFormat="1" applyFont="1" applyFill="1" applyBorder="1" applyAlignment="1">
      <alignment horizontal="center"/>
    </xf>
    <xf numFmtId="0" fontId="23" fillId="0" borderId="28" xfId="0" applyFont="1" applyBorder="1" applyAlignment="1">
      <alignment horizontal="center"/>
    </xf>
    <xf numFmtId="171" fontId="15" fillId="0" borderId="0" xfId="0" applyNumberFormat="1" applyFont="1" applyAlignment="1">
      <alignment/>
    </xf>
    <xf numFmtId="182" fontId="19" fillId="0" borderId="21" xfId="64" applyNumberFormat="1" applyFont="1" applyFill="1" applyBorder="1" applyAlignment="1">
      <alignment horizontal="center"/>
    </xf>
    <xf numFmtId="182" fontId="19" fillId="0" borderId="98" xfId="64" applyNumberFormat="1" applyFont="1" applyFill="1" applyBorder="1" applyAlignment="1">
      <alignment horizontal="center"/>
    </xf>
    <xf numFmtId="171" fontId="15" fillId="0" borderId="0" xfId="51" applyFont="1" applyAlignment="1">
      <alignment/>
    </xf>
    <xf numFmtId="182" fontId="19" fillId="0" borderId="99" xfId="64" applyNumberFormat="1" applyFont="1" applyFill="1" applyBorder="1" applyAlignment="1">
      <alignment horizontal="center"/>
    </xf>
    <xf numFmtId="182" fontId="19" fillId="34" borderId="19" xfId="64" applyNumberFormat="1" applyFont="1" applyFill="1" applyBorder="1" applyAlignment="1">
      <alignment horizontal="center"/>
    </xf>
    <xf numFmtId="180" fontId="4" fillId="0" borderId="77" xfId="62" applyNumberFormat="1" applyFont="1" applyFill="1" applyBorder="1" applyAlignment="1">
      <alignment/>
    </xf>
    <xf numFmtId="182" fontId="4" fillId="0" borderId="100" xfId="64" applyNumberFormat="1" applyFont="1" applyFill="1" applyBorder="1" applyAlignment="1">
      <alignment/>
    </xf>
    <xf numFmtId="180" fontId="4" fillId="34" borderId="101" xfId="62" applyNumberFormat="1" applyFont="1" applyFill="1" applyBorder="1" applyAlignment="1">
      <alignment/>
    </xf>
    <xf numFmtId="182" fontId="19" fillId="0" borderId="96" xfId="64" applyNumberFormat="1" applyFont="1" applyFill="1" applyBorder="1" applyAlignment="1">
      <alignment/>
    </xf>
    <xf numFmtId="182" fontId="19" fillId="0" borderId="102" xfId="64" applyNumberFormat="1" applyFont="1" applyFill="1" applyBorder="1" applyAlignment="1">
      <alignment/>
    </xf>
    <xf numFmtId="182" fontId="19" fillId="34" borderId="103" xfId="64" applyNumberFormat="1" applyFont="1" applyFill="1" applyBorder="1" applyAlignment="1">
      <alignment/>
    </xf>
    <xf numFmtId="182" fontId="15" fillId="0" borderId="0" xfId="0" applyNumberFormat="1" applyFont="1" applyAlignment="1">
      <alignment/>
    </xf>
    <xf numFmtId="180" fontId="4" fillId="0" borderId="100" xfId="62" applyNumberFormat="1" applyFont="1" applyFill="1" applyBorder="1" applyAlignment="1">
      <alignment/>
    </xf>
    <xf numFmtId="180" fontId="4" fillId="0" borderId="101" xfId="62" applyNumberFormat="1" applyFont="1" applyFill="1" applyBorder="1" applyAlignment="1">
      <alignment/>
    </xf>
    <xf numFmtId="180" fontId="27" fillId="0" borderId="0" xfId="0" applyNumberFormat="1" applyFont="1" applyAlignment="1">
      <alignment/>
    </xf>
    <xf numFmtId="180" fontId="19" fillId="0" borderId="77" xfId="62" applyNumberFormat="1" applyFont="1" applyFill="1" applyBorder="1" applyAlignment="1">
      <alignment/>
    </xf>
    <xf numFmtId="180" fontId="19" fillId="0" borderId="100" xfId="62" applyNumberFormat="1" applyFont="1" applyFill="1" applyBorder="1" applyAlignment="1">
      <alignment/>
    </xf>
    <xf numFmtId="180" fontId="19" fillId="34" borderId="101" xfId="62" applyNumberFormat="1" applyFont="1" applyFill="1" applyBorder="1" applyAlignment="1">
      <alignment/>
    </xf>
    <xf numFmtId="3" fontId="27" fillId="0" borderId="0" xfId="0" applyNumberFormat="1" applyFont="1" applyAlignment="1">
      <alignment/>
    </xf>
    <xf numFmtId="180" fontId="19" fillId="0" borderId="101" xfId="62" applyNumberFormat="1" applyFont="1" applyFill="1" applyBorder="1" applyAlignment="1">
      <alignment/>
    </xf>
    <xf numFmtId="180" fontId="4" fillId="0" borderId="77" xfId="71" applyNumberFormat="1" applyFont="1" applyFill="1" applyBorder="1" applyAlignment="1">
      <alignment/>
    </xf>
    <xf numFmtId="180" fontId="4" fillId="0" borderId="101" xfId="71" applyNumberFormat="1" applyFont="1" applyFill="1" applyBorder="1" applyAlignment="1">
      <alignment/>
    </xf>
    <xf numFmtId="182" fontId="27" fillId="0" borderId="0" xfId="0" applyNumberFormat="1" applyFont="1" applyAlignment="1">
      <alignment/>
    </xf>
    <xf numFmtId="180" fontId="4" fillId="0" borderId="93" xfId="62" applyNumberFormat="1" applyFont="1" applyFill="1" applyBorder="1" applyAlignment="1">
      <alignment/>
    </xf>
    <xf numFmtId="182" fontId="4" fillId="0" borderId="104" xfId="64" applyNumberFormat="1" applyFont="1" applyFill="1" applyBorder="1" applyAlignment="1">
      <alignment/>
    </xf>
    <xf numFmtId="180" fontId="4" fillId="34" borderId="105" xfId="62" applyNumberFormat="1" applyFont="1" applyFill="1" applyBorder="1" applyAlignment="1">
      <alignment/>
    </xf>
    <xf numFmtId="0" fontId="19" fillId="0" borderId="31" xfId="0" applyFont="1" applyFill="1" applyBorder="1" applyAlignment="1">
      <alignment/>
    </xf>
    <xf numFmtId="180" fontId="19" fillId="0" borderId="32" xfId="0" applyNumberFormat="1" applyFont="1" applyFill="1" applyBorder="1" applyAlignment="1">
      <alignment/>
    </xf>
    <xf numFmtId="180" fontId="19" fillId="0" borderId="106" xfId="0" applyNumberFormat="1" applyFont="1" applyFill="1" applyBorder="1" applyAlignment="1">
      <alignment/>
    </xf>
    <xf numFmtId="180" fontId="19" fillId="0" borderId="26" xfId="0" applyNumberFormat="1" applyFont="1" applyFill="1" applyBorder="1" applyAlignment="1">
      <alignment/>
    </xf>
    <xf numFmtId="3" fontId="21" fillId="0" borderId="0" xfId="0" applyNumberFormat="1" applyFont="1" applyAlignment="1">
      <alignment/>
    </xf>
    <xf numFmtId="0" fontId="23" fillId="0" borderId="10" xfId="0" applyFont="1" applyBorder="1" applyAlignment="1">
      <alignment/>
    </xf>
    <xf numFmtId="180" fontId="15" fillId="0" borderId="10" xfId="51" applyNumberFormat="1" applyFont="1" applyBorder="1" applyAlignment="1">
      <alignment/>
    </xf>
    <xf numFmtId="180" fontId="15" fillId="0" borderId="0" xfId="51" applyNumberFormat="1" applyFont="1" applyAlignment="1">
      <alignment/>
    </xf>
    <xf numFmtId="181" fontId="4" fillId="0" borderId="0" xfId="71" applyNumberFormat="1" applyFont="1" applyFill="1" applyAlignment="1">
      <alignment/>
    </xf>
    <xf numFmtId="181" fontId="24" fillId="0" borderId="0" xfId="71" applyNumberFormat="1" applyFont="1" applyAlignment="1">
      <alignment/>
    </xf>
    <xf numFmtId="180" fontId="24" fillId="0" borderId="0" xfId="71" applyNumberFormat="1" applyFont="1" applyAlignment="1">
      <alignment/>
    </xf>
    <xf numFmtId="180" fontId="24" fillId="0" borderId="0" xfId="0" applyNumberFormat="1" applyFont="1" applyAlignment="1">
      <alignment/>
    </xf>
    <xf numFmtId="10" fontId="24" fillId="0" borderId="0" xfId="71" applyNumberFormat="1" applyFont="1" applyAlignment="1">
      <alignment/>
    </xf>
    <xf numFmtId="0" fontId="24" fillId="0" borderId="0" xfId="0" applyFont="1" applyAlignment="1">
      <alignment/>
    </xf>
    <xf numFmtId="170" fontId="4" fillId="0" borderId="0" xfId="65" applyFont="1" applyFill="1" applyAlignment="1">
      <alignment/>
    </xf>
    <xf numFmtId="10" fontId="4" fillId="0" borderId="0" xfId="71" applyNumberFormat="1" applyFont="1" applyFill="1" applyAlignment="1">
      <alignment/>
    </xf>
    <xf numFmtId="171" fontId="4" fillId="0" borderId="0" xfId="51" applyFont="1" applyFill="1" applyAlignment="1">
      <alignment/>
    </xf>
    <xf numFmtId="187" fontId="4" fillId="0" borderId="0" xfId="65" applyNumberFormat="1" applyFont="1" applyFill="1" applyAlignment="1">
      <alignment/>
    </xf>
    <xf numFmtId="182" fontId="4" fillId="32" borderId="0" xfId="64" applyNumberFormat="1" applyFont="1" applyFill="1" applyAlignment="1">
      <alignment/>
    </xf>
    <xf numFmtId="182" fontId="19" fillId="32" borderId="0" xfId="64" applyNumberFormat="1" applyFont="1" applyFill="1" applyAlignment="1">
      <alignment/>
    </xf>
    <xf numFmtId="170" fontId="19" fillId="0" borderId="0" xfId="65" applyFont="1" applyFill="1" applyAlignment="1">
      <alignment/>
    </xf>
    <xf numFmtId="170" fontId="15" fillId="0" borderId="0" xfId="71" applyNumberFormat="1" applyFont="1" applyAlignment="1">
      <alignment/>
    </xf>
    <xf numFmtId="182" fontId="15" fillId="0" borderId="0" xfId="64" applyNumberFormat="1" applyFont="1" applyAlignment="1">
      <alignment/>
    </xf>
    <xf numFmtId="180" fontId="4" fillId="34" borderId="107" xfId="62" applyNumberFormat="1" applyFont="1" applyFill="1" applyBorder="1" applyAlignment="1">
      <alignment/>
    </xf>
    <xf numFmtId="180" fontId="4" fillId="0" borderId="107" xfId="62" applyNumberFormat="1" applyFont="1" applyFill="1" applyBorder="1" applyAlignment="1">
      <alignment/>
    </xf>
    <xf numFmtId="180" fontId="4" fillId="34" borderId="108" xfId="62" applyNumberFormat="1" applyFont="1" applyFill="1" applyBorder="1" applyAlignment="1">
      <alignment/>
    </xf>
    <xf numFmtId="0" fontId="19" fillId="0" borderId="36" xfId="0" applyFont="1" applyFill="1" applyBorder="1" applyAlignment="1">
      <alignment horizontal="center"/>
    </xf>
    <xf numFmtId="0" fontId="19" fillId="0" borderId="66" xfId="0" applyFont="1" applyFill="1" applyBorder="1" applyAlignment="1">
      <alignment horizontal="center"/>
    </xf>
    <xf numFmtId="0" fontId="19" fillId="0" borderId="38" xfId="0" applyFont="1" applyFill="1" applyBorder="1" applyAlignment="1">
      <alignment horizontal="center"/>
    </xf>
    <xf numFmtId="182" fontId="19" fillId="34" borderId="36" xfId="64" applyNumberFormat="1" applyFont="1" applyFill="1" applyBorder="1" applyAlignment="1">
      <alignment horizontal="center"/>
    </xf>
    <xf numFmtId="182" fontId="19" fillId="34" borderId="109" xfId="64" applyNumberFormat="1" applyFont="1" applyFill="1" applyBorder="1" applyAlignment="1">
      <alignment/>
    </xf>
    <xf numFmtId="180" fontId="19" fillId="34" borderId="107" xfId="62" applyNumberFormat="1" applyFont="1" applyFill="1" applyBorder="1" applyAlignment="1">
      <alignment/>
    </xf>
    <xf numFmtId="3" fontId="19" fillId="0" borderId="110" xfId="0" applyNumberFormat="1" applyFont="1" applyFill="1" applyBorder="1" applyAlignment="1">
      <alignment/>
    </xf>
    <xf numFmtId="3" fontId="4" fillId="34" borderId="110" xfId="0" applyNumberFormat="1" applyFont="1" applyFill="1" applyBorder="1" applyAlignment="1">
      <alignment/>
    </xf>
    <xf numFmtId="180" fontId="4" fillId="0" borderId="108" xfId="62" applyNumberFormat="1" applyFont="1" applyFill="1" applyBorder="1" applyAlignment="1">
      <alignment/>
    </xf>
    <xf numFmtId="0" fontId="5" fillId="0" borderId="0" xfId="0" applyFont="1" applyBorder="1" applyAlignment="1">
      <alignment horizontal="center"/>
    </xf>
    <xf numFmtId="0" fontId="5" fillId="0" borderId="0" xfId="0" applyFont="1" applyAlignment="1">
      <alignment horizontal="center"/>
    </xf>
    <xf numFmtId="0" fontId="5" fillId="0" borderId="111" xfId="0" applyFont="1" applyBorder="1" applyAlignment="1">
      <alignment horizontal="center"/>
    </xf>
    <xf numFmtId="0" fontId="19" fillId="0" borderId="0" xfId="0" applyFont="1" applyFill="1" applyAlignment="1">
      <alignment horizontal="center"/>
    </xf>
    <xf numFmtId="0" fontId="19" fillId="0" borderId="0" xfId="0" applyFont="1" applyFill="1" applyBorder="1" applyAlignment="1">
      <alignment horizontal="center"/>
    </xf>
    <xf numFmtId="0" fontId="23" fillId="0" borderId="44" xfId="0" applyFont="1" applyBorder="1" applyAlignment="1">
      <alignment horizontal="center"/>
    </xf>
    <xf numFmtId="0" fontId="23" fillId="0" borderId="43" xfId="0" applyFont="1" applyBorder="1" applyAlignment="1">
      <alignment horizontal="center"/>
    </xf>
    <xf numFmtId="0" fontId="19" fillId="0" borderId="97" xfId="0" applyFont="1" applyFill="1" applyBorder="1" applyAlignment="1">
      <alignment horizontal="center"/>
    </xf>
    <xf numFmtId="0" fontId="19" fillId="0" borderId="74" xfId="0" applyFont="1" applyFill="1" applyBorder="1" applyAlignment="1">
      <alignment horizontal="center"/>
    </xf>
    <xf numFmtId="0" fontId="19" fillId="0" borderId="85" xfId="0" applyFont="1" applyFill="1" applyBorder="1" applyAlignment="1">
      <alignment horizontal="center"/>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111" xfId="0" applyFont="1" applyBorder="1" applyAlignment="1" applyProtection="1">
      <alignment horizontal="center"/>
      <protection/>
    </xf>
    <xf numFmtId="0" fontId="5" fillId="0" borderId="29"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22"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cellXfs>
  <cellStyles count="7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40% - Énfšsis3"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Comma" xfId="51"/>
    <cellStyle name="Comma [0]" xfId="52"/>
    <cellStyle name="Millares 2" xfId="53"/>
    <cellStyle name="Millares 2 2" xfId="54"/>
    <cellStyle name="Millares 3" xfId="55"/>
    <cellStyle name="Millares 4" xfId="56"/>
    <cellStyle name="Millares 4 2" xfId="57"/>
    <cellStyle name="Millares 5" xfId="58"/>
    <cellStyle name="Millares 6" xfId="59"/>
    <cellStyle name="Millares 7" xfId="60"/>
    <cellStyle name="Millares 8" xfId="61"/>
    <cellStyle name="Millares_Formato Presupuesto Minagricultura" xfId="62"/>
    <cellStyle name="Millares_Gastos de personal" xfId="63"/>
    <cellStyle name="Millares_INGRESOS 2005" xfId="64"/>
    <cellStyle name="Currency" xfId="65"/>
    <cellStyle name="Currency [0]" xfId="66"/>
    <cellStyle name="Moneda 2" xfId="67"/>
    <cellStyle name="Neutral" xfId="68"/>
    <cellStyle name="Normal 2" xfId="69"/>
    <cellStyle name="Notas" xfId="70"/>
    <cellStyle name="Percent" xfId="71"/>
    <cellStyle name="Porcentual 2" xfId="72"/>
    <cellStyle name="Porcentual 2 2" xfId="73"/>
    <cellStyle name="Porcentual 3" xfId="74"/>
    <cellStyle name="Porcentual 3 2" xfId="75"/>
    <cellStyle name="Porcentual 4" xfId="76"/>
    <cellStyle name="Porcentual 5" xfId="77"/>
    <cellStyle name="Porcentual 6" xfId="78"/>
    <cellStyle name="Salida" xfId="79"/>
    <cellStyle name="Texto de advertencia" xfId="80"/>
    <cellStyle name="Texto explicativo" xfId="81"/>
    <cellStyle name="Título" xfId="82"/>
    <cellStyle name="Título 2" xfId="83"/>
    <cellStyle name="Título 3" xfId="84"/>
    <cellStyle name="Total" xfId="85"/>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atriciaMart&#237;nez\Configuraci&#243;n%20local\Archivos%20temporales%20de%20Internet\Content.Outlook\RD6RDTKZ\A&#241;o%202008\Presupuesto%202009\nomina%202009%20p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JefeControlRegional\Presupuesto%202008\Presupuesto%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241;o%202010\MANEJO%20PTO%202010\Presupuesto%202010%20versi&#243;n%203\desagregado%20ppc%20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241;o%202009\MANEJO%20PPTO%202009\ACUERDOS%202009\ANEXO%20ACUERDO%202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241;o%202010\PTO%20FONDO%202010\Presupuesto%202010%20versi&#243;n%203\desagregado%20ppc%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 val="otro"/>
    </sheetNames>
    <sheetDataSet>
      <sheetData sheetId="1">
        <row r="13">
          <cell r="C13">
            <v>124905842.28571428</v>
          </cell>
        </row>
        <row r="27">
          <cell r="C27">
            <v>1821222682.6814463</v>
          </cell>
        </row>
        <row r="34">
          <cell r="C34">
            <v>357903600</v>
          </cell>
        </row>
      </sheetData>
      <sheetData sheetId="4">
        <row r="109">
          <cell r="G109">
            <v>1372587241.6000001</v>
          </cell>
        </row>
        <row r="121">
          <cell r="L121">
            <v>2701364244.8</v>
          </cell>
        </row>
        <row r="135">
          <cell r="B135">
            <v>60900000</v>
          </cell>
        </row>
        <row r="142">
          <cell r="B142">
            <v>0</v>
          </cell>
        </row>
      </sheetData>
      <sheetData sheetId="7">
        <row r="7">
          <cell r="I7">
            <v>1584365993.4872904</v>
          </cell>
        </row>
        <row r="12">
          <cell r="I12">
            <v>201052904.8214283</v>
          </cell>
        </row>
      </sheetData>
      <sheetData sheetId="14">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17">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482" t="s">
        <v>1</v>
      </c>
      <c r="B1" s="482"/>
      <c r="C1" s="482"/>
      <c r="D1" s="482"/>
      <c r="E1" s="482"/>
      <c r="F1" s="93"/>
    </row>
    <row r="2" spans="1:6" ht="15">
      <c r="A2" s="482" t="s">
        <v>34</v>
      </c>
      <c r="B2" s="482"/>
      <c r="C2" s="482"/>
      <c r="D2" s="482"/>
      <c r="E2" s="482"/>
      <c r="F2" s="93"/>
    </row>
    <row r="3" spans="1:256" ht="15">
      <c r="A3" s="481" t="s">
        <v>35</v>
      </c>
      <c r="B3" s="481"/>
      <c r="C3" s="481"/>
      <c r="D3" s="481"/>
      <c r="E3" s="481"/>
      <c r="F3" s="93"/>
      <c r="G3" s="481"/>
      <c r="H3" s="481"/>
      <c r="I3" s="481"/>
      <c r="J3" s="481"/>
      <c r="K3" s="481"/>
      <c r="L3" s="182"/>
      <c r="M3" s="481"/>
      <c r="N3" s="481"/>
      <c r="O3" s="481"/>
      <c r="P3" s="481"/>
      <c r="Q3" s="481"/>
      <c r="R3" s="182"/>
      <c r="S3" s="481"/>
      <c r="T3" s="481"/>
      <c r="U3" s="481"/>
      <c r="V3" s="481"/>
      <c r="W3" s="481"/>
      <c r="X3" s="182"/>
      <c r="Y3" s="481"/>
      <c r="Z3" s="481"/>
      <c r="AA3" s="481"/>
      <c r="AB3" s="481"/>
      <c r="AC3" s="481"/>
      <c r="AD3" s="182"/>
      <c r="AE3" s="481"/>
      <c r="AF3" s="481"/>
      <c r="AG3" s="481"/>
      <c r="AH3" s="481"/>
      <c r="AI3" s="481"/>
      <c r="AJ3" s="182"/>
      <c r="AK3" s="481"/>
      <c r="AL3" s="481"/>
      <c r="AM3" s="481"/>
      <c r="AN3" s="481"/>
      <c r="AO3" s="481"/>
      <c r="AP3" s="182"/>
      <c r="AQ3" s="481"/>
      <c r="AR3" s="481"/>
      <c r="AS3" s="481"/>
      <c r="AT3" s="481"/>
      <c r="AU3" s="481"/>
      <c r="AV3" s="182"/>
      <c r="AW3" s="481"/>
      <c r="AX3" s="481"/>
      <c r="AY3" s="481"/>
      <c r="AZ3" s="481"/>
      <c r="BA3" s="481"/>
      <c r="BB3" s="182"/>
      <c r="BC3" s="481"/>
      <c r="BD3" s="481"/>
      <c r="BE3" s="481"/>
      <c r="BF3" s="481"/>
      <c r="BG3" s="481"/>
      <c r="BH3" s="182"/>
      <c r="BI3" s="481"/>
      <c r="BJ3" s="481"/>
      <c r="BK3" s="481"/>
      <c r="BL3" s="481"/>
      <c r="BM3" s="481"/>
      <c r="BN3" s="182"/>
      <c r="BO3" s="481"/>
      <c r="BP3" s="481"/>
      <c r="BQ3" s="481"/>
      <c r="BR3" s="481"/>
      <c r="BS3" s="481"/>
      <c r="BT3" s="182"/>
      <c r="BU3" s="481"/>
      <c r="BV3" s="481"/>
      <c r="BW3" s="481"/>
      <c r="BX3" s="481"/>
      <c r="BY3" s="481"/>
      <c r="BZ3" s="182"/>
      <c r="CA3" s="481"/>
      <c r="CB3" s="481"/>
      <c r="CC3" s="481"/>
      <c r="CD3" s="481"/>
      <c r="CE3" s="481"/>
      <c r="CF3" s="182"/>
      <c r="CG3" s="481"/>
      <c r="CH3" s="481"/>
      <c r="CI3" s="481"/>
      <c r="CJ3" s="481"/>
      <c r="CK3" s="481"/>
      <c r="CL3" s="182"/>
      <c r="CM3" s="481"/>
      <c r="CN3" s="481"/>
      <c r="CO3" s="481"/>
      <c r="CP3" s="481"/>
      <c r="CQ3" s="481"/>
      <c r="CR3" s="182"/>
      <c r="CS3" s="481"/>
      <c r="CT3" s="481"/>
      <c r="CU3" s="481"/>
      <c r="CV3" s="481"/>
      <c r="CW3" s="481"/>
      <c r="CX3" s="182"/>
      <c r="CY3" s="481"/>
      <c r="CZ3" s="481"/>
      <c r="DA3" s="481"/>
      <c r="DB3" s="481"/>
      <c r="DC3" s="481"/>
      <c r="DD3" s="182"/>
      <c r="DE3" s="481"/>
      <c r="DF3" s="481"/>
      <c r="DG3" s="481"/>
      <c r="DH3" s="481"/>
      <c r="DI3" s="481"/>
      <c r="DJ3" s="182"/>
      <c r="DK3" s="481"/>
      <c r="DL3" s="481"/>
      <c r="DM3" s="481"/>
      <c r="DN3" s="481"/>
      <c r="DO3" s="481"/>
      <c r="DP3" s="182"/>
      <c r="DQ3" s="481"/>
      <c r="DR3" s="481"/>
      <c r="DS3" s="481"/>
      <c r="DT3" s="481"/>
      <c r="DU3" s="481"/>
      <c r="DV3" s="182"/>
      <c r="DW3" s="481"/>
      <c r="DX3" s="481"/>
      <c r="DY3" s="481"/>
      <c r="DZ3" s="481"/>
      <c r="EA3" s="481"/>
      <c r="EB3" s="182"/>
      <c r="EC3" s="481"/>
      <c r="ED3" s="481"/>
      <c r="EE3" s="481"/>
      <c r="EF3" s="481"/>
      <c r="EG3" s="481"/>
      <c r="EH3" s="182"/>
      <c r="EI3" s="481"/>
      <c r="EJ3" s="481"/>
      <c r="EK3" s="481"/>
      <c r="EL3" s="481"/>
      <c r="EM3" s="481"/>
      <c r="EN3" s="182"/>
      <c r="EO3" s="481"/>
      <c r="EP3" s="481"/>
      <c r="EQ3" s="481"/>
      <c r="ER3" s="481"/>
      <c r="ES3" s="481"/>
      <c r="ET3" s="182"/>
      <c r="EU3" s="481"/>
      <c r="EV3" s="481"/>
      <c r="EW3" s="481"/>
      <c r="EX3" s="481"/>
      <c r="EY3" s="481"/>
      <c r="EZ3" s="182"/>
      <c r="FA3" s="481"/>
      <c r="FB3" s="481"/>
      <c r="FC3" s="481"/>
      <c r="FD3" s="481"/>
      <c r="FE3" s="481"/>
      <c r="FF3" s="182"/>
      <c r="FG3" s="481"/>
      <c r="FH3" s="481"/>
      <c r="FI3" s="481"/>
      <c r="FJ3" s="481"/>
      <c r="FK3" s="481"/>
      <c r="FL3" s="182"/>
      <c r="FM3" s="481"/>
      <c r="FN3" s="481"/>
      <c r="FO3" s="481"/>
      <c r="FP3" s="481"/>
      <c r="FQ3" s="481"/>
      <c r="FR3" s="182"/>
      <c r="FS3" s="481"/>
      <c r="FT3" s="481"/>
      <c r="FU3" s="481"/>
      <c r="FV3" s="481"/>
      <c r="FW3" s="481"/>
      <c r="FX3" s="182"/>
      <c r="FY3" s="481"/>
      <c r="FZ3" s="481"/>
      <c r="GA3" s="481"/>
      <c r="GB3" s="481"/>
      <c r="GC3" s="481"/>
      <c r="GD3" s="182"/>
      <c r="GE3" s="481"/>
      <c r="GF3" s="481"/>
      <c r="GG3" s="481"/>
      <c r="GH3" s="481"/>
      <c r="GI3" s="481"/>
      <c r="GJ3" s="182"/>
      <c r="GK3" s="481"/>
      <c r="GL3" s="481"/>
      <c r="GM3" s="481"/>
      <c r="GN3" s="481"/>
      <c r="GO3" s="481"/>
      <c r="GP3" s="182"/>
      <c r="GQ3" s="481"/>
      <c r="GR3" s="481"/>
      <c r="GS3" s="481"/>
      <c r="GT3" s="481"/>
      <c r="GU3" s="481"/>
      <c r="GV3" s="182"/>
      <c r="GW3" s="481"/>
      <c r="GX3" s="481"/>
      <c r="GY3" s="481"/>
      <c r="GZ3" s="481"/>
      <c r="HA3" s="481"/>
      <c r="HB3" s="182"/>
      <c r="HC3" s="481"/>
      <c r="HD3" s="481"/>
      <c r="HE3" s="481"/>
      <c r="HF3" s="481"/>
      <c r="HG3" s="481"/>
      <c r="HH3" s="182"/>
      <c r="HI3" s="481"/>
      <c r="HJ3" s="481"/>
      <c r="HK3" s="481"/>
      <c r="HL3" s="481"/>
      <c r="HM3" s="481"/>
      <c r="HN3" s="182"/>
      <c r="HO3" s="481"/>
      <c r="HP3" s="481"/>
      <c r="HQ3" s="481"/>
      <c r="HR3" s="481"/>
      <c r="HS3" s="481"/>
      <c r="HT3" s="182"/>
      <c r="HU3" s="481"/>
      <c r="HV3" s="481"/>
      <c r="HW3" s="481"/>
      <c r="HX3" s="481"/>
      <c r="HY3" s="481"/>
      <c r="HZ3" s="182"/>
      <c r="IA3" s="481"/>
      <c r="IB3" s="481"/>
      <c r="IC3" s="481"/>
      <c r="ID3" s="481"/>
      <c r="IE3" s="481"/>
      <c r="IF3" s="182"/>
      <c r="IG3" s="481"/>
      <c r="IH3" s="481"/>
      <c r="II3" s="481"/>
      <c r="IJ3" s="481"/>
      <c r="IK3" s="481"/>
      <c r="IL3" s="182"/>
      <c r="IM3" s="481"/>
      <c r="IN3" s="481"/>
      <c r="IO3" s="481"/>
      <c r="IP3" s="481"/>
      <c r="IQ3" s="481"/>
      <c r="IR3" s="182"/>
      <c r="IS3" s="481"/>
      <c r="IT3" s="481"/>
      <c r="IU3" s="481"/>
      <c r="IV3" s="481"/>
    </row>
    <row r="4" spans="1:6" s="2" customFormat="1" ht="15.75" thickBot="1">
      <c r="A4" s="483"/>
      <c r="B4" s="483"/>
      <c r="C4" s="483"/>
      <c r="D4" s="483"/>
      <c r="E4" s="483"/>
      <c r="F4" s="227"/>
    </row>
    <row r="5" spans="1:7" ht="50.25" customHeight="1" thickTop="1">
      <c r="A5" s="228" t="s">
        <v>12</v>
      </c>
      <c r="B5" s="237" t="s">
        <v>211</v>
      </c>
      <c r="C5" s="238" t="s">
        <v>212</v>
      </c>
      <c r="D5" s="229" t="s">
        <v>36</v>
      </c>
      <c r="E5" s="229" t="s">
        <v>8</v>
      </c>
      <c r="F5" s="229" t="s">
        <v>22</v>
      </c>
      <c r="G5" s="1"/>
    </row>
    <row r="6" spans="1:7" ht="12.75">
      <c r="A6" s="183"/>
      <c r="B6" s="31"/>
      <c r="C6" s="32"/>
      <c r="D6" s="32"/>
      <c r="E6" s="32"/>
      <c r="F6" s="33"/>
      <c r="G6" s="1"/>
    </row>
    <row r="7" spans="1:7" ht="14.25">
      <c r="A7" s="5" t="s">
        <v>2</v>
      </c>
      <c r="B7" s="5"/>
      <c r="C7" s="6" t="e">
        <f>+C8</f>
        <v>#REF!</v>
      </c>
      <c r="D7" s="6"/>
      <c r="E7" s="6" t="e">
        <f>+E8</f>
        <v>#REF!</v>
      </c>
      <c r="F7" s="7" t="e">
        <f>+E7/E62*100</f>
        <v>#REF!</v>
      </c>
      <c r="G7" s="1"/>
    </row>
    <row r="8" spans="1:7" ht="15">
      <c r="A8" s="8" t="s">
        <v>3</v>
      </c>
      <c r="B8" s="8"/>
      <c r="C8" s="9" t="e">
        <f>+HONTOTAL</f>
        <v>#REF!</v>
      </c>
      <c r="D8" s="9"/>
      <c r="E8" s="9" t="e">
        <f>+C8</f>
        <v>#REF!</v>
      </c>
      <c r="F8" s="10"/>
      <c r="G8" s="1"/>
    </row>
    <row r="9" spans="1:7" ht="15">
      <c r="A9" s="8"/>
      <c r="B9" s="8"/>
      <c r="C9" s="9"/>
      <c r="D9" s="11"/>
      <c r="E9" s="6"/>
      <c r="F9" s="12"/>
      <c r="G9" s="1"/>
    </row>
    <row r="10" spans="1:7" ht="15">
      <c r="A10" s="5" t="s">
        <v>4</v>
      </c>
      <c r="B10" s="5"/>
      <c r="C10" s="11"/>
      <c r="D10" s="11"/>
      <c r="E10" s="6" t="e">
        <f>SUM(E11:E24)</f>
        <v>#REF!</v>
      </c>
      <c r="F10" s="7" t="e">
        <f>+E10/E62*100</f>
        <v>#REF!</v>
      </c>
      <c r="G10" s="1"/>
    </row>
    <row r="11" spans="1:7" ht="15">
      <c r="A11" s="13" t="s">
        <v>24</v>
      </c>
      <c r="B11" s="8">
        <v>22930268</v>
      </c>
      <c r="C11" s="9" t="e">
        <f>+#REF!</f>
        <v>#REF!</v>
      </c>
      <c r="D11" s="14" t="e">
        <f>(C11-B11)/C11</f>
        <v>#REF!</v>
      </c>
      <c r="E11" s="9" t="e">
        <f>+SUM(C11:C11)</f>
        <v>#REF!</v>
      </c>
      <c r="F11" s="10" t="e">
        <f>(+E11/E62)*100</f>
        <v>#REF!</v>
      </c>
      <c r="G11" s="1"/>
    </row>
    <row r="12" spans="1:7" ht="15">
      <c r="A12" s="13" t="s">
        <v>25</v>
      </c>
      <c r="B12" s="8">
        <v>5600000</v>
      </c>
      <c r="C12" s="9" t="e">
        <f>+#REF!</f>
        <v>#REF!</v>
      </c>
      <c r="D12" s="14" t="e">
        <f aca="true" t="shared" si="0" ref="D12:D25">(C12-B12)/C12</f>
        <v>#REF!</v>
      </c>
      <c r="E12" s="9" t="e">
        <f>+SUM(C12:C12)</f>
        <v>#REF!</v>
      </c>
      <c r="F12" s="10" t="e">
        <f>+E12/E62*100</f>
        <v>#REF!</v>
      </c>
      <c r="G12" s="1"/>
    </row>
    <row r="13" spans="1:7" ht="15">
      <c r="A13" s="13" t="s">
        <v>26</v>
      </c>
      <c r="B13" s="8">
        <v>13482000</v>
      </c>
      <c r="C13" s="9" t="e">
        <f>+#REF!</f>
        <v>#REF!</v>
      </c>
      <c r="D13" s="300" t="e">
        <f t="shared" si="0"/>
        <v>#REF!</v>
      </c>
      <c r="E13" s="9" t="e">
        <f>+SUM(C13:C13)</f>
        <v>#REF!</v>
      </c>
      <c r="F13" s="10" t="e">
        <f>+E13/E62*100</f>
        <v>#REF!</v>
      </c>
      <c r="G13" s="1"/>
    </row>
    <row r="14" spans="1:7" ht="15">
      <c r="A14" s="13" t="s">
        <v>5</v>
      </c>
      <c r="B14" s="8">
        <v>14927652</v>
      </c>
      <c r="C14" s="9" t="e">
        <f>+#REF!</f>
        <v>#REF!</v>
      </c>
      <c r="D14" s="300" t="e">
        <f t="shared" si="0"/>
        <v>#REF!</v>
      </c>
      <c r="E14" s="9" t="e">
        <f>+#REF!</f>
        <v>#REF!</v>
      </c>
      <c r="F14" s="10" t="e">
        <f>+E14/E62*100</f>
        <v>#REF!</v>
      </c>
      <c r="G14" s="1"/>
    </row>
    <row r="15" spans="1:7" ht="15">
      <c r="A15" s="13" t="s">
        <v>27</v>
      </c>
      <c r="B15" s="8">
        <v>37500000</v>
      </c>
      <c r="C15" s="9" t="e">
        <f>+#REF!</f>
        <v>#REF!</v>
      </c>
      <c r="D15" s="300" t="e">
        <f t="shared" si="0"/>
        <v>#REF!</v>
      </c>
      <c r="E15" s="9" t="e">
        <f aca="true" t="shared" si="1" ref="E15:E24">+SUM(C15:C15)</f>
        <v>#REF!</v>
      </c>
      <c r="F15" s="10" t="e">
        <f>+E15/E62*100</f>
        <v>#REF!</v>
      </c>
      <c r="G15" s="1"/>
    </row>
    <row r="16" spans="1:7" ht="15">
      <c r="A16" s="13" t="s">
        <v>6</v>
      </c>
      <c r="B16" s="8">
        <v>24826333</v>
      </c>
      <c r="C16" s="9" t="e">
        <f>+#REF!</f>
        <v>#REF!</v>
      </c>
      <c r="D16" s="300" t="e">
        <f t="shared" si="0"/>
        <v>#REF!</v>
      </c>
      <c r="E16" s="9" t="e">
        <f t="shared" si="1"/>
        <v>#REF!</v>
      </c>
      <c r="F16" s="10" t="e">
        <f>+E16/E62*100</f>
        <v>#REF!</v>
      </c>
      <c r="G16" s="1"/>
    </row>
    <row r="17" spans="1:7" ht="15">
      <c r="A17" s="13" t="s">
        <v>28</v>
      </c>
      <c r="B17" s="8">
        <v>10566333</v>
      </c>
      <c r="C17" s="9" t="e">
        <f>+#REF!</f>
        <v>#REF!</v>
      </c>
      <c r="D17" s="300" t="e">
        <f t="shared" si="0"/>
        <v>#REF!</v>
      </c>
      <c r="E17" s="9" t="e">
        <f t="shared" si="1"/>
        <v>#REF!</v>
      </c>
      <c r="F17" s="10" t="e">
        <f>+E17/E62*100</f>
        <v>#REF!</v>
      </c>
      <c r="G17" s="1"/>
    </row>
    <row r="18" spans="1:7" ht="15">
      <c r="A18" s="13" t="s">
        <v>165</v>
      </c>
      <c r="B18" s="8">
        <v>19639000</v>
      </c>
      <c r="C18" s="9" t="e">
        <f>+#REF!</f>
        <v>#REF!</v>
      </c>
      <c r="D18" s="300" t="e">
        <f t="shared" si="0"/>
        <v>#REF!</v>
      </c>
      <c r="E18" s="9" t="e">
        <f t="shared" si="1"/>
        <v>#REF!</v>
      </c>
      <c r="F18" s="10" t="e">
        <f>+E18/E62*100</f>
        <v>#REF!</v>
      </c>
      <c r="G18" s="1"/>
    </row>
    <row r="19" spans="1:7" ht="15">
      <c r="A19" s="13" t="s">
        <v>7</v>
      </c>
      <c r="B19" s="8">
        <v>42000000</v>
      </c>
      <c r="C19" s="9" t="e">
        <f>+#REF!</f>
        <v>#REF!</v>
      </c>
      <c r="D19" s="300" t="e">
        <f t="shared" si="0"/>
        <v>#REF!</v>
      </c>
      <c r="E19" s="9" t="e">
        <f t="shared" si="1"/>
        <v>#REF!</v>
      </c>
      <c r="F19" s="10" t="e">
        <f>+E19/E62*100</f>
        <v>#REF!</v>
      </c>
      <c r="G19" s="1"/>
    </row>
    <row r="20" spans="1:7" ht="15">
      <c r="A20" s="13" t="s">
        <v>23</v>
      </c>
      <c r="B20" s="8">
        <v>2572500</v>
      </c>
      <c r="C20" s="9" t="e">
        <f>+#REF!</f>
        <v>#REF!</v>
      </c>
      <c r="D20" s="300" t="e">
        <f t="shared" si="0"/>
        <v>#REF!</v>
      </c>
      <c r="E20" s="9" t="e">
        <f t="shared" si="1"/>
        <v>#REF!</v>
      </c>
      <c r="F20" s="10" t="e">
        <f>+E20/E62*100</f>
        <v>#REF!</v>
      </c>
      <c r="G20" s="1"/>
    </row>
    <row r="21" spans="1:7" ht="15">
      <c r="A21" s="13" t="s">
        <v>29</v>
      </c>
      <c r="B21" s="8">
        <v>26582000</v>
      </c>
      <c r="C21" s="9" t="e">
        <f>+#REF!</f>
        <v>#REF!</v>
      </c>
      <c r="D21" s="300" t="e">
        <f t="shared" si="0"/>
        <v>#REF!</v>
      </c>
      <c r="E21" s="9" t="e">
        <f t="shared" si="1"/>
        <v>#REF!</v>
      </c>
      <c r="F21" s="10" t="e">
        <f>+E21/E62*100</f>
        <v>#REF!</v>
      </c>
      <c r="G21" s="1"/>
    </row>
    <row r="22" spans="1:7" ht="15">
      <c r="A22" s="13" t="s">
        <v>30</v>
      </c>
      <c r="B22" s="8">
        <v>6479251</v>
      </c>
      <c r="C22" s="9" t="e">
        <f>+#REF!</f>
        <v>#REF!</v>
      </c>
      <c r="D22" s="300" t="e">
        <f t="shared" si="0"/>
        <v>#REF!</v>
      </c>
      <c r="E22" s="9" t="e">
        <f t="shared" si="1"/>
        <v>#REF!</v>
      </c>
      <c r="F22" s="10" t="e">
        <f>+E22/E62*100</f>
        <v>#REF!</v>
      </c>
      <c r="G22" s="1"/>
    </row>
    <row r="23" spans="1:7" ht="15">
      <c r="A23" s="13" t="s">
        <v>31</v>
      </c>
      <c r="B23" s="8">
        <v>42800000</v>
      </c>
      <c r="C23" s="9" t="e">
        <f>+#REF!</f>
        <v>#REF!</v>
      </c>
      <c r="D23" s="300" t="e">
        <f t="shared" si="0"/>
        <v>#REF!</v>
      </c>
      <c r="E23" s="9" t="e">
        <f t="shared" si="1"/>
        <v>#REF!</v>
      </c>
      <c r="F23" s="10" t="e">
        <f>+E23/E62*100</f>
        <v>#REF!</v>
      </c>
      <c r="G23" s="1"/>
    </row>
    <row r="24" spans="1:7" ht="15">
      <c r="A24" s="13" t="s">
        <v>32</v>
      </c>
      <c r="B24" s="8">
        <v>11500000</v>
      </c>
      <c r="C24" s="9" t="e">
        <f>+#REF!</f>
        <v>#REF!</v>
      </c>
      <c r="D24" s="300" t="e">
        <f t="shared" si="0"/>
        <v>#REF!</v>
      </c>
      <c r="E24" s="9" t="e">
        <f t="shared" si="1"/>
        <v>#REF!</v>
      </c>
      <c r="F24" s="10" t="e">
        <f>+E24/E62*100</f>
        <v>#REF!</v>
      </c>
      <c r="G24" s="1"/>
    </row>
    <row r="25" spans="1:7" ht="14.25">
      <c r="A25" s="15" t="s">
        <v>11</v>
      </c>
      <c r="B25" s="16">
        <f>SUM(B11:B24)</f>
        <v>281405337</v>
      </c>
      <c r="C25" s="16" t="e">
        <f>SUM(C11:C24)</f>
        <v>#REF!</v>
      </c>
      <c r="D25" s="301" t="e">
        <f t="shared" si="0"/>
        <v>#REF!</v>
      </c>
      <c r="E25" s="16" t="e">
        <f>+E10+E7</f>
        <v>#REF!</v>
      </c>
      <c r="F25" s="17" t="e">
        <f>+F10+F7</f>
        <v>#REF!</v>
      </c>
      <c r="G25" s="1"/>
    </row>
    <row r="26" spans="1:7" ht="15">
      <c r="A26" s="11"/>
      <c r="B26" s="9"/>
      <c r="C26" s="11"/>
      <c r="D26" s="13"/>
      <c r="E26" s="11"/>
      <c r="F26" s="12"/>
      <c r="G26" s="1"/>
    </row>
    <row r="27" spans="1:7" ht="14.25">
      <c r="A27" s="15" t="s">
        <v>14</v>
      </c>
      <c r="B27" s="16"/>
      <c r="C27" s="15"/>
      <c r="D27" s="15"/>
      <c r="E27" s="16">
        <f>SUM(E29:E54)</f>
        <v>6362031836</v>
      </c>
      <c r="F27" s="17" t="e">
        <f>SUM(F29:F54)</f>
        <v>#REF!</v>
      </c>
      <c r="G27" s="1"/>
    </row>
    <row r="28" spans="1:7" ht="15">
      <c r="A28" s="11"/>
      <c r="B28" s="9"/>
      <c r="C28" s="11"/>
      <c r="D28" s="11"/>
      <c r="E28" s="9"/>
      <c r="F28" s="12"/>
      <c r="G28" s="1"/>
    </row>
    <row r="29" spans="1:7" ht="15">
      <c r="A29" s="26" t="s">
        <v>33</v>
      </c>
      <c r="B29" s="5"/>
      <c r="C29" s="18">
        <f>+'Inversión total en programas'!B29</f>
        <v>145800000</v>
      </c>
      <c r="D29" s="18"/>
      <c r="E29" s="6">
        <f>+C29</f>
        <v>145800000</v>
      </c>
      <c r="F29" s="10" t="e">
        <f>+E29/E62*100</f>
        <v>#REF!</v>
      </c>
      <c r="G29" s="1"/>
    </row>
    <row r="30" spans="1:7" ht="15">
      <c r="A30" s="25" t="s">
        <v>37</v>
      </c>
      <c r="B30" s="27"/>
      <c r="C30" s="18">
        <f>+'Inversión total en programas'!B36</f>
        <v>3826475436</v>
      </c>
      <c r="D30" s="18"/>
      <c r="E30" s="6">
        <f>+C30</f>
        <v>3826475436</v>
      </c>
      <c r="F30" s="10" t="e">
        <f>+E30/E62*100</f>
        <v>#REF!</v>
      </c>
      <c r="G30" s="1"/>
    </row>
    <row r="31" spans="1:7" ht="15">
      <c r="A31" s="26" t="s">
        <v>15</v>
      </c>
      <c r="B31" s="5"/>
      <c r="C31" s="11"/>
      <c r="D31" s="11"/>
      <c r="E31" s="6">
        <f>SUM(C32:C35)</f>
        <v>412000000</v>
      </c>
      <c r="F31" s="19" t="e">
        <f>+E31/E62*100</f>
        <v>#REF!</v>
      </c>
      <c r="G31" s="1"/>
    </row>
    <row r="32" spans="1:7" ht="13.5" customHeight="1">
      <c r="A32" s="28" t="s">
        <v>56</v>
      </c>
      <c r="B32" s="8"/>
      <c r="C32" s="18">
        <f>+'Inversión total en programas'!B47</f>
        <v>50000000</v>
      </c>
      <c r="D32" s="18"/>
      <c r="E32" s="6"/>
      <c r="F32" s="12"/>
      <c r="G32" s="1"/>
    </row>
    <row r="33" spans="1:7" ht="15">
      <c r="A33" s="28" t="s">
        <v>162</v>
      </c>
      <c r="B33" s="8"/>
      <c r="C33" s="18">
        <f>+'Inversión total en programas'!B48</f>
        <v>86000000</v>
      </c>
      <c r="D33" s="18"/>
      <c r="E33" s="6"/>
      <c r="F33" s="12"/>
      <c r="G33" s="1"/>
    </row>
    <row r="34" spans="1:7" ht="15">
      <c r="A34" s="28" t="s">
        <v>161</v>
      </c>
      <c r="B34" s="8"/>
      <c r="C34" s="18">
        <f>+'Inversión total en programas'!B49</f>
        <v>236000000</v>
      </c>
      <c r="D34" s="18"/>
      <c r="E34" s="6"/>
      <c r="F34" s="12"/>
      <c r="G34" s="1"/>
    </row>
    <row r="35" spans="1:7" ht="15">
      <c r="A35" s="29" t="s">
        <v>58</v>
      </c>
      <c r="B35" s="30"/>
      <c r="C35" s="18">
        <v>40000000</v>
      </c>
      <c r="D35" s="18"/>
      <c r="E35" s="6"/>
      <c r="F35" s="12"/>
      <c r="G35" s="1"/>
    </row>
    <row r="36" spans="1:7" ht="15">
      <c r="A36" s="25" t="s">
        <v>213</v>
      </c>
      <c r="B36" s="27"/>
      <c r="C36" s="18"/>
      <c r="D36" s="18"/>
      <c r="E36" s="6">
        <f>SUM(C37:C40)</f>
        <v>769208400</v>
      </c>
      <c r="F36" s="10" t="e">
        <f>+E36/E62*100</f>
        <v>#REF!</v>
      </c>
      <c r="G36" s="1"/>
    </row>
    <row r="37" spans="1:7" ht="15">
      <c r="A37" s="29" t="s">
        <v>17</v>
      </c>
      <c r="B37" s="30"/>
      <c r="C37" s="18">
        <f>+'Inversión total en programas'!B56</f>
        <v>170000000</v>
      </c>
      <c r="D37" s="18"/>
      <c r="E37" s="9"/>
      <c r="F37" s="12"/>
      <c r="G37" s="1"/>
    </row>
    <row r="38" spans="1:7" ht="15">
      <c r="A38" s="29" t="s">
        <v>138</v>
      </c>
      <c r="B38" s="30"/>
      <c r="C38" s="18">
        <f>+'Inversión total en programas'!B57</f>
        <v>260000000</v>
      </c>
      <c r="D38" s="18"/>
      <c r="E38" s="9"/>
      <c r="F38" s="12"/>
      <c r="G38" s="1"/>
    </row>
    <row r="39" spans="1:7" ht="15">
      <c r="A39" s="29" t="s">
        <v>216</v>
      </c>
      <c r="B39" s="30"/>
      <c r="C39" s="18">
        <f>+'Inversión total en programas'!B58</f>
        <v>289208400</v>
      </c>
      <c r="D39" s="18"/>
      <c r="E39" s="9"/>
      <c r="F39" s="12"/>
      <c r="G39" s="1"/>
    </row>
    <row r="40" spans="1:7" ht="15">
      <c r="A40" s="29" t="s">
        <v>145</v>
      </c>
      <c r="B40" s="30"/>
      <c r="C40" s="18">
        <f>+'Inversión total en programas'!B59</f>
        <v>50000000</v>
      </c>
      <c r="D40" s="18"/>
      <c r="E40" s="9"/>
      <c r="F40" s="12"/>
      <c r="G40" s="1"/>
    </row>
    <row r="41" spans="1:7" ht="15">
      <c r="A41" s="25" t="s">
        <v>9</v>
      </c>
      <c r="B41" s="27"/>
      <c r="C41" s="18">
        <f>+'Inversión total en programas'!B66</f>
        <v>340000000</v>
      </c>
      <c r="D41" s="18"/>
      <c r="E41" s="6">
        <f>+C41</f>
        <v>340000000</v>
      </c>
      <c r="F41" s="10" t="e">
        <f>+E41/E62*100</f>
        <v>#REF!</v>
      </c>
      <c r="G41" s="1"/>
    </row>
    <row r="42" spans="1:7" ht="15">
      <c r="A42" s="25" t="s">
        <v>148</v>
      </c>
      <c r="B42" s="27"/>
      <c r="C42" s="18"/>
      <c r="D42" s="18"/>
      <c r="E42" s="6">
        <f>SUM(C43:C46)</f>
        <v>343548000</v>
      </c>
      <c r="F42" s="10" t="e">
        <f>+E42/E62*100</f>
        <v>#REF!</v>
      </c>
      <c r="G42" s="1"/>
    </row>
    <row r="43" spans="1:7" ht="15">
      <c r="A43" s="29" t="s">
        <v>151</v>
      </c>
      <c r="B43" s="30"/>
      <c r="C43" s="18">
        <v>129000000</v>
      </c>
      <c r="D43" s="18"/>
      <c r="E43" s="9"/>
      <c r="F43" s="12"/>
      <c r="G43" s="1"/>
    </row>
    <row r="44" spans="1:7" ht="15">
      <c r="A44" s="29" t="s">
        <v>163</v>
      </c>
      <c r="B44" s="30"/>
      <c r="C44" s="18">
        <f>+'Inversión total en programas'!B75</f>
        <v>74148000</v>
      </c>
      <c r="D44" s="18"/>
      <c r="E44" s="9"/>
      <c r="F44" s="12"/>
      <c r="G44" s="1"/>
    </row>
    <row r="45" spans="1:7" ht="15">
      <c r="A45" s="29" t="s">
        <v>40</v>
      </c>
      <c r="B45" s="30"/>
      <c r="C45" s="18">
        <f>+'Inversión total en programas'!B76</f>
        <v>130400000</v>
      </c>
      <c r="D45" s="18"/>
      <c r="E45" s="9"/>
      <c r="F45" s="12"/>
      <c r="G45" s="1"/>
    </row>
    <row r="46" spans="1:7" ht="15">
      <c r="A46" s="29" t="s">
        <v>149</v>
      </c>
      <c r="B46" s="30"/>
      <c r="C46" s="18">
        <f>+'Inversión total en programas'!B77</f>
        <v>10000000</v>
      </c>
      <c r="D46" s="18"/>
      <c r="E46" s="9"/>
      <c r="F46" s="12"/>
      <c r="G46" s="1"/>
    </row>
    <row r="47" spans="1:7" ht="15">
      <c r="A47" s="25" t="s">
        <v>10</v>
      </c>
      <c r="B47" s="27"/>
      <c r="C47" s="18"/>
      <c r="D47" s="18"/>
      <c r="E47" s="6">
        <f>SUM(C48:C52)</f>
        <v>452000000</v>
      </c>
      <c r="F47" s="10" t="e">
        <f>+E47/E62*100</f>
        <v>#REF!</v>
      </c>
      <c r="G47" s="1"/>
    </row>
    <row r="48" spans="1:7" ht="15">
      <c r="A48" s="29" t="s">
        <v>153</v>
      </c>
      <c r="B48" s="30"/>
      <c r="C48" s="18">
        <f>+'Inversión total en programas'!B83</f>
        <v>220000000</v>
      </c>
      <c r="D48" s="18"/>
      <c r="E48" s="9"/>
      <c r="F48" s="12"/>
      <c r="G48" s="1"/>
    </row>
    <row r="49" spans="1:7" ht="15">
      <c r="A49" s="29" t="s">
        <v>42</v>
      </c>
      <c r="B49" s="30"/>
      <c r="C49" s="18">
        <f>+'Inversión total en programas'!B84</f>
        <v>55000000</v>
      </c>
      <c r="D49" s="18"/>
      <c r="E49" s="9"/>
      <c r="F49" s="12"/>
      <c r="G49" s="1"/>
    </row>
    <row r="50" spans="1:7" ht="15">
      <c r="A50" s="29" t="s">
        <v>43</v>
      </c>
      <c r="B50" s="30"/>
      <c r="C50" s="18">
        <f>+'Inversión total en programas'!B85</f>
        <v>30000000</v>
      </c>
      <c r="D50" s="18"/>
      <c r="E50" s="9"/>
      <c r="F50" s="12"/>
      <c r="G50" s="1"/>
    </row>
    <row r="51" spans="1:7" ht="15">
      <c r="A51" s="29" t="s">
        <v>154</v>
      </c>
      <c r="B51" s="30"/>
      <c r="C51" s="18">
        <f>+'Inversión total en programas'!B86</f>
        <v>117000000</v>
      </c>
      <c r="D51" s="18"/>
      <c r="E51" s="9"/>
      <c r="F51" s="12"/>
      <c r="G51" s="1"/>
    </row>
    <row r="52" spans="1:7" ht="15">
      <c r="A52" s="372" t="s">
        <v>159</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158</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141</v>
      </c>
      <c r="B56" s="27"/>
      <c r="C56" s="18" t="e">
        <f>+'Inversión total en programas'!B99</f>
        <v>#REF!</v>
      </c>
      <c r="D56" s="18"/>
      <c r="E56" s="6">
        <v>445280000</v>
      </c>
      <c r="F56" s="10" t="e">
        <f>+E56/E62*100</f>
        <v>#REF!</v>
      </c>
      <c r="G56" s="1"/>
    </row>
    <row r="57" spans="1:7" ht="15">
      <c r="A57" s="25"/>
      <c r="B57" s="27"/>
      <c r="C57" s="18"/>
      <c r="D57" s="18"/>
      <c r="E57" s="6"/>
      <c r="F57" s="7"/>
      <c r="G57" s="1"/>
    </row>
    <row r="58" spans="1:7" ht="15">
      <c r="A58" s="231" t="s">
        <v>209</v>
      </c>
      <c r="B58" s="27"/>
      <c r="C58" s="18"/>
      <c r="D58" s="18"/>
      <c r="E58" s="6" t="e">
        <f>+#REF!</f>
        <v>#REF!</v>
      </c>
      <c r="F58" s="7"/>
      <c r="G58" s="1"/>
    </row>
    <row r="59" spans="1:7" ht="15">
      <c r="A59" s="225" t="s">
        <v>196</v>
      </c>
      <c r="B59" s="27"/>
      <c r="C59" s="18" t="e">
        <f>+#REF!</f>
        <v>#REF!</v>
      </c>
      <c r="D59" s="18"/>
      <c r="E59" s="6"/>
      <c r="F59" s="7"/>
      <c r="G59" s="1"/>
    </row>
    <row r="60" spans="1:7" ht="15">
      <c r="A60" s="226" t="s">
        <v>187</v>
      </c>
      <c r="B60" s="27"/>
      <c r="C60" s="18" t="e">
        <f>+#REF!</f>
        <v>#REF!</v>
      </c>
      <c r="D60" s="18"/>
      <c r="E60" s="6"/>
      <c r="F60" s="7"/>
      <c r="G60" s="1"/>
    </row>
    <row r="61" spans="1:7" ht="15">
      <c r="A61" s="11"/>
      <c r="B61" s="9"/>
      <c r="C61" s="11"/>
      <c r="D61" s="11"/>
      <c r="E61" s="11"/>
      <c r="F61" s="12"/>
      <c r="G61" s="1"/>
    </row>
    <row r="62" spans="1:7" ht="15">
      <c r="A62" s="15" t="s">
        <v>21</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0"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AQ3:AU3"/>
    <mergeCell ref="AW3:BA3"/>
    <mergeCell ref="AE3:AI3"/>
    <mergeCell ref="AK3:AO3"/>
    <mergeCell ref="A4:E4"/>
    <mergeCell ref="A3:E3"/>
    <mergeCell ref="G3:K3"/>
    <mergeCell ref="M3:Q3"/>
    <mergeCell ref="CM3:CQ3"/>
    <mergeCell ref="CS3:CW3"/>
    <mergeCell ref="CY3:DC3"/>
    <mergeCell ref="DE3:DI3"/>
    <mergeCell ref="DW3:EA3"/>
    <mergeCell ref="EC3:EG3"/>
    <mergeCell ref="DK3:DO3"/>
    <mergeCell ref="DQ3:DU3"/>
    <mergeCell ref="CA3:CE3"/>
    <mergeCell ref="CG3:CK3"/>
    <mergeCell ref="A1:E1"/>
    <mergeCell ref="A2:E2"/>
    <mergeCell ref="S3:W3"/>
    <mergeCell ref="Y3:AC3"/>
    <mergeCell ref="BC3:BG3"/>
    <mergeCell ref="BI3:BM3"/>
    <mergeCell ref="BO3:BS3"/>
    <mergeCell ref="BU3:BY3"/>
    <mergeCell ref="IM3:IQ3"/>
    <mergeCell ref="IS3:IV3"/>
    <mergeCell ref="HO3:HS3"/>
    <mergeCell ref="HU3:HY3"/>
    <mergeCell ref="IA3:IE3"/>
    <mergeCell ref="IG3:IK3"/>
    <mergeCell ref="HC3:HG3"/>
    <mergeCell ref="HI3:HM3"/>
    <mergeCell ref="EU3:EY3"/>
    <mergeCell ref="FA3:FE3"/>
    <mergeCell ref="FS3:FW3"/>
    <mergeCell ref="FY3:GC3"/>
    <mergeCell ref="GQ3:GU3"/>
    <mergeCell ref="GW3:HA3"/>
    <mergeCell ref="EI3:EM3"/>
    <mergeCell ref="EO3:ES3"/>
    <mergeCell ref="GE3:GI3"/>
    <mergeCell ref="GK3:GO3"/>
    <mergeCell ref="FG3:FK3"/>
    <mergeCell ref="FM3:FQ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2.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7" customWidth="1"/>
    <col min="2" max="2" width="41.57421875" style="352" customWidth="1"/>
    <col min="3" max="3" width="14.00390625" style="352" customWidth="1"/>
    <col min="4" max="4" width="15.421875" style="352" customWidth="1"/>
    <col min="5" max="5" width="16.28125" style="352" customWidth="1"/>
    <col min="6" max="6" width="10.7109375" style="352" hidden="1" customWidth="1"/>
    <col min="7" max="7" width="15.00390625" style="305" customWidth="1"/>
    <col min="8" max="10" width="11.421875" style="306" customWidth="1"/>
    <col min="11" max="16384" width="11.421875" style="307" customWidth="1"/>
  </cols>
  <sheetData>
    <row r="1" spans="2:6" ht="12.75">
      <c r="B1" s="239" t="s">
        <v>38</v>
      </c>
      <c r="C1" s="240"/>
      <c r="D1" s="240"/>
      <c r="E1" s="240"/>
      <c r="F1" s="241"/>
    </row>
    <row r="2" spans="2:6" ht="12.75">
      <c r="B2" s="239" t="s">
        <v>218</v>
      </c>
      <c r="C2" s="240"/>
      <c r="D2" s="240"/>
      <c r="E2" s="240"/>
      <c r="F2" s="241"/>
    </row>
    <row r="3" spans="2:6" ht="12.75">
      <c r="B3" s="239" t="s">
        <v>219</v>
      </c>
      <c r="C3" s="240"/>
      <c r="D3" s="240"/>
      <c r="E3" s="240"/>
      <c r="F3" s="241"/>
    </row>
    <row r="4" spans="2:10" s="247" customFormat="1" ht="17.25" customHeight="1" thickBot="1">
      <c r="B4" s="242"/>
      <c r="C4" s="243"/>
      <c r="D4" s="243"/>
      <c r="E4" s="243"/>
      <c r="F4" s="244"/>
      <c r="G4" s="245"/>
      <c r="H4" s="246"/>
      <c r="I4" s="246"/>
      <c r="J4" s="246"/>
    </row>
    <row r="5" spans="2:7" ht="13.5" thickBot="1">
      <c r="B5" s="308"/>
      <c r="C5" s="302" t="s">
        <v>193</v>
      </c>
      <c r="D5" s="303"/>
      <c r="E5" s="304"/>
      <c r="F5" s="248"/>
      <c r="G5" s="357">
        <v>2004</v>
      </c>
    </row>
    <row r="6" spans="2:7" ht="12.75">
      <c r="B6" s="249" t="s">
        <v>12</v>
      </c>
      <c r="C6" s="250" t="s">
        <v>177</v>
      </c>
      <c r="D6" s="250" t="s">
        <v>178</v>
      </c>
      <c r="E6" s="250" t="s">
        <v>39</v>
      </c>
      <c r="F6" s="251" t="s">
        <v>142</v>
      </c>
      <c r="G6" s="355" t="s">
        <v>136</v>
      </c>
    </row>
    <row r="7" spans="2:7" ht="12.75">
      <c r="B7" s="249"/>
      <c r="C7" s="252" t="s">
        <v>171</v>
      </c>
      <c r="D7" s="252" t="s">
        <v>179</v>
      </c>
      <c r="E7" s="252" t="s">
        <v>193</v>
      </c>
      <c r="F7" s="253" t="s">
        <v>172</v>
      </c>
      <c r="G7" s="358" t="s">
        <v>135</v>
      </c>
    </row>
    <row r="8" spans="2:7" ht="13.5" thickBot="1">
      <c r="B8" s="254"/>
      <c r="C8" s="255"/>
      <c r="D8" s="255"/>
      <c r="E8" s="255"/>
      <c r="F8" s="254"/>
      <c r="G8" s="356"/>
    </row>
    <row r="9" spans="2:7" ht="12.75">
      <c r="B9" s="309" t="s">
        <v>2</v>
      </c>
      <c r="C9" s="310" t="e">
        <f>SUM(C10:C10)</f>
        <v>#REF!</v>
      </c>
      <c r="D9" s="310"/>
      <c r="E9" s="310" t="e">
        <f>SUM(E10:E10)</f>
        <v>#REF!</v>
      </c>
      <c r="F9" s="311" t="e">
        <f>+E9/E113</f>
        <v>#REF!</v>
      </c>
      <c r="G9" s="359"/>
    </row>
    <row r="10" spans="2:7" ht="12.75">
      <c r="B10" s="313" t="s">
        <v>45</v>
      </c>
      <c r="C10" s="314" t="e">
        <f>+'Inversión total en programas'!B7</f>
        <v>#REF!</v>
      </c>
      <c r="D10" s="314"/>
      <c r="E10" s="314" t="e">
        <f>SUM(C10:D10)</f>
        <v>#REF!</v>
      </c>
      <c r="F10" s="315" t="e">
        <f>+E10/E113</f>
        <v>#REF!</v>
      </c>
      <c r="G10" s="360"/>
    </row>
    <row r="11" spans="2:7" ht="12.75">
      <c r="B11" s="313"/>
      <c r="C11" s="314"/>
      <c r="D11" s="314"/>
      <c r="E11" s="314"/>
      <c r="F11" s="316"/>
      <c r="G11" s="354"/>
    </row>
    <row r="12" spans="2:7" ht="12.75">
      <c r="B12" s="317" t="s">
        <v>4</v>
      </c>
      <c r="C12" s="318">
        <f>SUM(C13:C26)</f>
        <v>304667803.38</v>
      </c>
      <c r="D12" s="318"/>
      <c r="E12" s="318">
        <f aca="true" t="shared" si="0" ref="E12:E26">SUM(C12:D12)</f>
        <v>304667803.38</v>
      </c>
      <c r="F12" s="319" t="e">
        <f>+E12/E113</f>
        <v>#REF!</v>
      </c>
      <c r="G12" s="354"/>
    </row>
    <row r="13" spans="2:7" ht="12.75">
      <c r="B13" s="313" t="s">
        <v>24</v>
      </c>
      <c r="C13" s="314">
        <f>+'Inversión total en programas'!B10</f>
        <v>21500000</v>
      </c>
      <c r="D13" s="314"/>
      <c r="E13" s="314">
        <f t="shared" si="0"/>
        <v>21500000</v>
      </c>
      <c r="F13" s="315" t="e">
        <f>+E13/E113</f>
        <v>#REF!</v>
      </c>
      <c r="G13" s="354"/>
    </row>
    <row r="14" spans="2:7" ht="12.75">
      <c r="B14" s="313" t="s">
        <v>25</v>
      </c>
      <c r="C14" s="314">
        <f>+'Inversión total en programas'!B11</f>
        <v>5924000</v>
      </c>
      <c r="D14" s="314"/>
      <c r="E14" s="314">
        <f t="shared" si="0"/>
        <v>5924000</v>
      </c>
      <c r="F14" s="315" t="e">
        <f>+E14/E113</f>
        <v>#REF!</v>
      </c>
      <c r="G14" s="354"/>
    </row>
    <row r="15" spans="2:7" ht="12.75">
      <c r="B15" s="313" t="s">
        <v>26</v>
      </c>
      <c r="C15" s="314">
        <f>+'Inversión total en programas'!B12</f>
        <v>15000000</v>
      </c>
      <c r="D15" s="314"/>
      <c r="E15" s="314">
        <f t="shared" si="0"/>
        <v>15000000</v>
      </c>
      <c r="F15" s="315" t="e">
        <f>+E15/E113</f>
        <v>#REF!</v>
      </c>
      <c r="G15" s="354"/>
    </row>
    <row r="16" spans="2:7" ht="12.75">
      <c r="B16" s="313" t="s">
        <v>5</v>
      </c>
      <c r="C16" s="314">
        <f>+'Inversión total en programas'!B13</f>
        <v>16571515</v>
      </c>
      <c r="D16" s="314"/>
      <c r="E16" s="314">
        <f t="shared" si="0"/>
        <v>16571515</v>
      </c>
      <c r="F16" s="315" t="e">
        <f>+E16/E113</f>
        <v>#REF!</v>
      </c>
      <c r="G16" s="354"/>
    </row>
    <row r="17" spans="2:7" ht="12.75">
      <c r="B17" s="313" t="s">
        <v>27</v>
      </c>
      <c r="C17" s="314">
        <f>+'Inversión total en programas'!B14</f>
        <v>33250000</v>
      </c>
      <c r="D17" s="314"/>
      <c r="E17" s="314">
        <f t="shared" si="0"/>
        <v>33250000</v>
      </c>
      <c r="F17" s="315" t="e">
        <f>+E17/E113</f>
        <v>#REF!</v>
      </c>
      <c r="G17" s="354"/>
    </row>
    <row r="18" spans="2:7" ht="12.75">
      <c r="B18" s="313" t="s">
        <v>6</v>
      </c>
      <c r="C18" s="314">
        <f>+'Inversión total en programas'!B15</f>
        <v>30729600</v>
      </c>
      <c r="D18" s="314"/>
      <c r="E18" s="314">
        <f t="shared" si="0"/>
        <v>30729600</v>
      </c>
      <c r="F18" s="315" t="e">
        <f>+E18/E113</f>
        <v>#REF!</v>
      </c>
      <c r="G18" s="354"/>
    </row>
    <row r="19" spans="2:7" ht="12.75">
      <c r="B19" s="313" t="s">
        <v>180</v>
      </c>
      <c r="C19" s="314">
        <f>+'Inversión total en programas'!B16</f>
        <v>8900000</v>
      </c>
      <c r="D19" s="314"/>
      <c r="E19" s="314">
        <f t="shared" si="0"/>
        <v>8900000</v>
      </c>
      <c r="F19" s="315" t="e">
        <f>+E19/E113</f>
        <v>#REF!</v>
      </c>
      <c r="G19" s="354"/>
    </row>
    <row r="20" spans="2:7" ht="12.75">
      <c r="B20" s="313" t="s">
        <v>165</v>
      </c>
      <c r="C20" s="314">
        <f>+'Inversión total en programas'!B17</f>
        <v>20000000</v>
      </c>
      <c r="D20" s="314"/>
      <c r="E20" s="314">
        <f t="shared" si="0"/>
        <v>20000000</v>
      </c>
      <c r="F20" s="315" t="e">
        <f>+E20/E113</f>
        <v>#REF!</v>
      </c>
      <c r="G20" s="360"/>
    </row>
    <row r="21" spans="2:7" ht="12.75">
      <c r="B21" s="313" t="s">
        <v>7</v>
      </c>
      <c r="C21" s="314">
        <f>+'Inversión total en programas'!B18</f>
        <v>42250000</v>
      </c>
      <c r="D21" s="314"/>
      <c r="E21" s="314">
        <f t="shared" si="0"/>
        <v>42250000</v>
      </c>
      <c r="F21" s="315" t="e">
        <f>+E21/E113</f>
        <v>#REF!</v>
      </c>
      <c r="G21" s="360"/>
    </row>
    <row r="22" spans="2:7" ht="12.75">
      <c r="B22" s="313" t="s">
        <v>23</v>
      </c>
      <c r="C22" s="314">
        <f>+'Inversión total en programas'!B19</f>
        <v>3032800</v>
      </c>
      <c r="D22" s="314"/>
      <c r="E22" s="314">
        <f t="shared" si="0"/>
        <v>3032800</v>
      </c>
      <c r="F22" s="315" t="e">
        <f>+E22/E113</f>
        <v>#REF!</v>
      </c>
      <c r="G22" s="360"/>
    </row>
    <row r="23" spans="2:7" ht="12.75">
      <c r="B23" s="313" t="s">
        <v>29</v>
      </c>
      <c r="C23" s="314">
        <f>+'Inversión total en programas'!B20</f>
        <v>26833000</v>
      </c>
      <c r="D23" s="314"/>
      <c r="E23" s="314">
        <f t="shared" si="0"/>
        <v>26833000</v>
      </c>
      <c r="F23" s="315" t="e">
        <f>+E23/E113</f>
        <v>#REF!</v>
      </c>
      <c r="G23" s="360"/>
    </row>
    <row r="24" spans="2:7" ht="12.75">
      <c r="B24" s="313" t="s">
        <v>30</v>
      </c>
      <c r="C24" s="314">
        <f>+'Inversión total en programas'!B21</f>
        <v>8900000</v>
      </c>
      <c r="D24" s="314"/>
      <c r="E24" s="314">
        <f t="shared" si="0"/>
        <v>8900000</v>
      </c>
      <c r="F24" s="315" t="e">
        <f>+E24/E113</f>
        <v>#REF!</v>
      </c>
      <c r="G24" s="360"/>
    </row>
    <row r="25" spans="2:7" ht="12.75">
      <c r="B25" s="313" t="s">
        <v>31</v>
      </c>
      <c r="C25" s="314">
        <f>+'Inversión total en programas'!B22</f>
        <v>60000000</v>
      </c>
      <c r="D25" s="314"/>
      <c r="E25" s="314">
        <f t="shared" si="0"/>
        <v>60000000</v>
      </c>
      <c r="F25" s="315" t="e">
        <f>+E25/E113</f>
        <v>#REF!</v>
      </c>
      <c r="G25" s="360"/>
    </row>
    <row r="26" spans="2:7" ht="12.75">
      <c r="B26" s="313" t="s">
        <v>181</v>
      </c>
      <c r="C26" s="314">
        <f>+'Inversión total en programas'!B23</f>
        <v>11776888.38</v>
      </c>
      <c r="D26" s="314"/>
      <c r="E26" s="314">
        <f t="shared" si="0"/>
        <v>11776888.38</v>
      </c>
      <c r="F26" s="315" t="e">
        <f>+E26/E113</f>
        <v>#REF!</v>
      </c>
      <c r="G26" s="360"/>
    </row>
    <row r="27" spans="2:7" ht="12.75">
      <c r="B27" s="313"/>
      <c r="C27" s="314"/>
      <c r="D27" s="314"/>
      <c r="E27" s="314"/>
      <c r="F27" s="316"/>
      <c r="G27" s="360"/>
    </row>
    <row r="28" spans="2:7" ht="12.75">
      <c r="B28" s="317" t="s">
        <v>14</v>
      </c>
      <c r="C28" s="318"/>
      <c r="D28" s="318" t="e">
        <f>+D30+D37+D47+D56+D67+D74+D83+D96</f>
        <v>#REF!</v>
      </c>
      <c r="E28" s="318" t="e">
        <f>SUM(C28:D28)</f>
        <v>#REF!</v>
      </c>
      <c r="F28" s="319" t="e">
        <f>+E28/E113</f>
        <v>#REF!</v>
      </c>
      <c r="G28" s="360"/>
    </row>
    <row r="29" spans="2:7" ht="12.75">
      <c r="B29" s="313"/>
      <c r="C29" s="314"/>
      <c r="D29" s="314"/>
      <c r="E29" s="314"/>
      <c r="F29" s="316"/>
      <c r="G29" s="360"/>
    </row>
    <row r="30" spans="2:7" ht="12.75">
      <c r="B30" s="317" t="s">
        <v>33</v>
      </c>
      <c r="C30" s="318"/>
      <c r="D30" s="318" t="e">
        <f>+D31+D35</f>
        <v>#REF!</v>
      </c>
      <c r="E30" s="318" t="e">
        <f>+D31+D35</f>
        <v>#REF!</v>
      </c>
      <c r="F30" s="319" t="e">
        <f>+E30/E113</f>
        <v>#REF!</v>
      </c>
      <c r="G30" s="361" t="e">
        <f>+G31+G35</f>
        <v>#REF!</v>
      </c>
    </row>
    <row r="31" spans="2:7" ht="12.75">
      <c r="B31" s="317" t="s">
        <v>46</v>
      </c>
      <c r="C31" s="318"/>
      <c r="D31" s="314">
        <f>+'Inversión total en programas'!B29</f>
        <v>145800000</v>
      </c>
      <c r="E31" s="318"/>
      <c r="F31" s="315" t="e">
        <f>+D31/E113</f>
        <v>#REF!</v>
      </c>
      <c r="G31" s="360">
        <v>132079041</v>
      </c>
    </row>
    <row r="32" spans="2:7" ht="12.75">
      <c r="B32" s="313" t="s">
        <v>47</v>
      </c>
      <c r="C32" s="318"/>
      <c r="D32" s="314" t="e">
        <f>+'Inversión total en programas'!B30</f>
        <v>#REF!</v>
      </c>
      <c r="E32" s="318"/>
      <c r="F32" s="315" t="e">
        <f>+D32/E113</f>
        <v>#REF!</v>
      </c>
      <c r="G32" s="360" t="e">
        <f>+#REF!</f>
        <v>#REF!</v>
      </c>
    </row>
    <row r="33" spans="2:7" ht="12.75">
      <c r="B33" s="313" t="s">
        <v>48</v>
      </c>
      <c r="C33" s="318"/>
      <c r="D33" s="314" t="e">
        <f>+'Inversión total en programas'!B31</f>
        <v>#REF!</v>
      </c>
      <c r="E33" s="318"/>
      <c r="F33" s="315" t="e">
        <f>+D33/E113</f>
        <v>#REF!</v>
      </c>
      <c r="G33" s="360" t="e">
        <f>+#REF!</f>
        <v>#REF!</v>
      </c>
    </row>
    <row r="34" spans="2:7" ht="12.75">
      <c r="B34" s="313" t="s">
        <v>182</v>
      </c>
      <c r="C34" s="318"/>
      <c r="D34" s="314" t="e">
        <f>+'Inversión total en programas'!B32</f>
        <v>#REF!</v>
      </c>
      <c r="E34" s="318"/>
      <c r="F34" s="315" t="e">
        <f>+D34/E113</f>
        <v>#REF!</v>
      </c>
      <c r="G34" s="360" t="e">
        <f>+#REF!</f>
        <v>#REF!</v>
      </c>
    </row>
    <row r="35" spans="2:7" ht="12.75">
      <c r="B35" s="317" t="s">
        <v>50</v>
      </c>
      <c r="C35" s="318"/>
      <c r="D35" s="314" t="e">
        <f>+'Inversión total en programas'!B33</f>
        <v>#REF!</v>
      </c>
      <c r="E35" s="318"/>
      <c r="F35" s="315" t="e">
        <f>+D35/E113</f>
        <v>#REF!</v>
      </c>
      <c r="G35" s="360" t="e">
        <f>SUM(G32:G34)</f>
        <v>#REF!</v>
      </c>
    </row>
    <row r="36" spans="2:7" ht="12.75">
      <c r="B36" s="317"/>
      <c r="C36" s="318"/>
      <c r="D36" s="314"/>
      <c r="E36" s="318"/>
      <c r="F36" s="319"/>
      <c r="G36" s="360"/>
    </row>
    <row r="37" spans="2:7" ht="12.75">
      <c r="B37" s="317" t="s">
        <v>37</v>
      </c>
      <c r="C37" s="318"/>
      <c r="D37" s="318" t="e">
        <f>+D38+D45</f>
        <v>#REF!</v>
      </c>
      <c r="E37" s="318" t="e">
        <f>+D38+D45</f>
        <v>#REF!</v>
      </c>
      <c r="F37" s="319" t="e">
        <f>+E37/E113</f>
        <v>#REF!</v>
      </c>
      <c r="G37" s="361" t="e">
        <f>+G38+G45</f>
        <v>#REF!</v>
      </c>
    </row>
    <row r="38" spans="2:7" ht="12.75">
      <c r="B38" s="320" t="s">
        <v>46</v>
      </c>
      <c r="C38" s="321"/>
      <c r="D38" s="314">
        <f>+'Inversión total en programas'!B36</f>
        <v>3826475436</v>
      </c>
      <c r="E38" s="318"/>
      <c r="F38" s="315" t="e">
        <f>+D38/E113</f>
        <v>#REF!</v>
      </c>
      <c r="G38" s="360">
        <v>3249918761</v>
      </c>
    </row>
    <row r="39" spans="2:7" ht="12.75">
      <c r="B39" s="322" t="s">
        <v>51</v>
      </c>
      <c r="C39" s="321"/>
      <c r="D39" s="314" t="e">
        <f>+'Inversión total en programas'!B37</f>
        <v>#REF!</v>
      </c>
      <c r="E39" s="318"/>
      <c r="F39" s="315" t="e">
        <f>+D39/E113</f>
        <v>#REF!</v>
      </c>
      <c r="G39" s="360" t="e">
        <f>+#REF!</f>
        <v>#REF!</v>
      </c>
    </row>
    <row r="40" spans="2:7" ht="12.75">
      <c r="B40" s="322" t="s">
        <v>47</v>
      </c>
      <c r="C40" s="321"/>
      <c r="D40" s="314" t="e">
        <f>+'Inversión total en programas'!B38</f>
        <v>#REF!</v>
      </c>
      <c r="E40" s="318"/>
      <c r="F40" s="315" t="e">
        <f>+D40/E113</f>
        <v>#REF!</v>
      </c>
      <c r="G40" s="360"/>
    </row>
    <row r="41" spans="2:7" ht="12.75">
      <c r="B41" s="322" t="s">
        <v>52</v>
      </c>
      <c r="C41" s="321"/>
      <c r="D41" s="314" t="e">
        <f>+'Inversión total en programas'!B39</f>
        <v>#REF!</v>
      </c>
      <c r="E41" s="318"/>
      <c r="F41" s="315" t="e">
        <f>+D41/E113</f>
        <v>#REF!</v>
      </c>
      <c r="G41" s="360" t="e">
        <f>+#REF!/2</f>
        <v>#REF!</v>
      </c>
    </row>
    <row r="42" spans="2:7" ht="12.75">
      <c r="B42" s="322" t="s">
        <v>53</v>
      </c>
      <c r="C42" s="321"/>
      <c r="D42" s="314" t="e">
        <f>+'Inversión total en programas'!B40</f>
        <v>#REF!</v>
      </c>
      <c r="E42" s="318"/>
      <c r="F42" s="315" t="e">
        <f>+D42/E113</f>
        <v>#REF!</v>
      </c>
      <c r="G42" s="360">
        <v>13976544</v>
      </c>
    </row>
    <row r="43" spans="2:7" ht="12.75">
      <c r="B43" s="322" t="s">
        <v>183</v>
      </c>
      <c r="C43" s="321"/>
      <c r="D43" s="314" t="e">
        <f>+'Inversión total en programas'!B41</f>
        <v>#REF!</v>
      </c>
      <c r="E43" s="318"/>
      <c r="F43" s="315" t="e">
        <f>+D43/E113</f>
        <v>#REF!</v>
      </c>
      <c r="G43" s="360" t="e">
        <f>+#REF!</f>
        <v>#REF!</v>
      </c>
    </row>
    <row r="44" spans="2:7" ht="12.75">
      <c r="B44" s="322" t="s">
        <v>55</v>
      </c>
      <c r="C44" s="321"/>
      <c r="D44" s="314" t="e">
        <f>+'Inversión total en programas'!B42</f>
        <v>#REF!</v>
      </c>
      <c r="E44" s="318"/>
      <c r="F44" s="315" t="e">
        <f>+D44/E113</f>
        <v>#REF!</v>
      </c>
      <c r="G44" s="360" t="e">
        <f>+#REF!</f>
        <v>#REF!</v>
      </c>
    </row>
    <row r="45" spans="2:7" ht="12.75">
      <c r="B45" s="320" t="s">
        <v>50</v>
      </c>
      <c r="C45" s="321"/>
      <c r="D45" s="314" t="e">
        <f>+'Inversión total en programas'!B43</f>
        <v>#REF!</v>
      </c>
      <c r="E45" s="318"/>
      <c r="F45" s="315" t="e">
        <f>+D45/E113</f>
        <v>#REF!</v>
      </c>
      <c r="G45" s="360" t="e">
        <f>SUM(G39:G44)</f>
        <v>#REF!</v>
      </c>
    </row>
    <row r="46" spans="2:7" ht="12.75">
      <c r="B46" s="320"/>
      <c r="C46" s="321"/>
      <c r="D46" s="314"/>
      <c r="E46" s="318"/>
      <c r="F46" s="319"/>
      <c r="G46" s="360"/>
    </row>
    <row r="47" spans="2:7" ht="12.75">
      <c r="B47" s="320" t="s">
        <v>15</v>
      </c>
      <c r="C47" s="321"/>
      <c r="D47" s="318" t="e">
        <f>+D48+D54</f>
        <v>#REF!</v>
      </c>
      <c r="E47" s="318" t="e">
        <f>+D48+D54</f>
        <v>#REF!</v>
      </c>
      <c r="F47" s="319" t="e">
        <f>+E47/E113</f>
        <v>#REF!</v>
      </c>
      <c r="G47" s="360"/>
    </row>
    <row r="48" spans="2:7" ht="12.75">
      <c r="B48" s="320" t="s">
        <v>46</v>
      </c>
      <c r="C48" s="321"/>
      <c r="D48" s="314">
        <f>+'Inversión total en programas'!B46</f>
        <v>372000000</v>
      </c>
      <c r="E48" s="318"/>
      <c r="F48" s="315" t="e">
        <f>+D48/E113</f>
        <v>#REF!</v>
      </c>
      <c r="G48" s="360"/>
    </row>
    <row r="49" spans="2:7" ht="12.75">
      <c r="B49" s="322" t="s">
        <v>56</v>
      </c>
      <c r="C49" s="321"/>
      <c r="D49" s="314">
        <f>+'Inversión total en programas'!B47</f>
        <v>50000000</v>
      </c>
      <c r="E49" s="318"/>
      <c r="F49" s="315" t="e">
        <f>+D49/E113</f>
        <v>#REF!</v>
      </c>
      <c r="G49" s="360"/>
    </row>
    <row r="50" spans="2:7" ht="12.75">
      <c r="B50" s="322" t="s">
        <v>57</v>
      </c>
      <c r="C50" s="321"/>
      <c r="D50" s="314">
        <f>+'Inversión total en programas'!B48</f>
        <v>86000000</v>
      </c>
      <c r="E50" s="318"/>
      <c r="F50" s="315" t="e">
        <f>+D50/E113</f>
        <v>#REF!</v>
      </c>
      <c r="G50" s="360"/>
    </row>
    <row r="51" spans="2:7" ht="12.75">
      <c r="B51" s="322" t="s">
        <v>161</v>
      </c>
      <c r="C51" s="321"/>
      <c r="D51" s="314">
        <f>+'Inversión total en programas'!B49</f>
        <v>236000000</v>
      </c>
      <c r="E51" s="318"/>
      <c r="F51" s="315" t="e">
        <f>+D51/E113</f>
        <v>#REF!</v>
      </c>
      <c r="G51" s="360"/>
    </row>
    <row r="52" spans="2:7" ht="12.75" hidden="1" outlineLevel="1">
      <c r="B52" s="322" t="s">
        <v>58</v>
      </c>
      <c r="C52" s="321"/>
      <c r="D52" s="314">
        <f>+'Inversión total en programas'!B50</f>
        <v>0</v>
      </c>
      <c r="E52" s="318"/>
      <c r="F52" s="315" t="e">
        <f>+D52/E113</f>
        <v>#REF!</v>
      </c>
      <c r="G52" s="360"/>
    </row>
    <row r="53" spans="2:7" ht="12.75" collapsed="1">
      <c r="B53" s="322" t="s">
        <v>47</v>
      </c>
      <c r="C53" s="321"/>
      <c r="D53" s="314" t="e">
        <f>+'Inversión total en programas'!B51</f>
        <v>#REF!</v>
      </c>
      <c r="E53" s="318"/>
      <c r="F53" s="315" t="e">
        <f>+D53/E113</f>
        <v>#REF!</v>
      </c>
      <c r="G53" s="360"/>
    </row>
    <row r="54" spans="2:7" ht="12.75">
      <c r="B54" s="317" t="s">
        <v>50</v>
      </c>
      <c r="C54" s="323"/>
      <c r="D54" s="314" t="e">
        <f>+'Inversión total en programas'!B52</f>
        <v>#REF!</v>
      </c>
      <c r="E54" s="314"/>
      <c r="F54" s="315" t="e">
        <f>+D54/E113</f>
        <v>#REF!</v>
      </c>
      <c r="G54" s="360"/>
    </row>
    <row r="55" spans="2:7" ht="12.75">
      <c r="B55" s="313"/>
      <c r="C55" s="323"/>
      <c r="D55" s="314"/>
      <c r="E55" s="314"/>
      <c r="F55" s="315"/>
      <c r="G55" s="360"/>
    </row>
    <row r="56" spans="2:7" ht="12.75">
      <c r="B56" s="317" t="s">
        <v>213</v>
      </c>
      <c r="C56" s="323"/>
      <c r="D56" s="318" t="e">
        <f>+D57+D65</f>
        <v>#REF!</v>
      </c>
      <c r="E56" s="318" t="e">
        <f>+D57+D65</f>
        <v>#REF!</v>
      </c>
      <c r="F56" s="319" t="e">
        <f>+E56/E113</f>
        <v>#REF!</v>
      </c>
      <c r="G56" s="360"/>
    </row>
    <row r="57" spans="2:7" ht="12.75">
      <c r="B57" s="317" t="s">
        <v>46</v>
      </c>
      <c r="C57" s="323"/>
      <c r="D57" s="314">
        <f>+'Inversión total en programas'!B55</f>
        <v>769208400</v>
      </c>
      <c r="E57" s="318"/>
      <c r="F57" s="315" t="e">
        <f>+D57/E113</f>
        <v>#REF!</v>
      </c>
      <c r="G57" s="360"/>
    </row>
    <row r="58" spans="2:7" ht="12.75">
      <c r="B58" s="322" t="s">
        <v>17</v>
      </c>
      <c r="C58" s="323"/>
      <c r="D58" s="314">
        <f>+'Inversión total en programas'!B56</f>
        <v>170000000</v>
      </c>
      <c r="E58" s="314"/>
      <c r="F58" s="315" t="e">
        <f>+D58/E113</f>
        <v>#REF!</v>
      </c>
      <c r="G58" s="360"/>
    </row>
    <row r="59" spans="2:7" ht="12.75">
      <c r="B59" s="322" t="s">
        <v>138</v>
      </c>
      <c r="C59" s="324"/>
      <c r="D59" s="314">
        <f>+'Inversión total en programas'!B57</f>
        <v>260000000</v>
      </c>
      <c r="E59" s="318"/>
      <c r="F59" s="315" t="e">
        <f>+D59/E113</f>
        <v>#REF!</v>
      </c>
      <c r="G59" s="360"/>
    </row>
    <row r="60" spans="2:7" ht="12.75">
      <c r="B60" s="322" t="s">
        <v>216</v>
      </c>
      <c r="C60" s="324"/>
      <c r="D60" s="314">
        <f>+'Inversión total en programas'!B58</f>
        <v>289208400</v>
      </c>
      <c r="E60" s="318"/>
      <c r="F60" s="315" t="e">
        <f>+D60/E113</f>
        <v>#REF!</v>
      </c>
      <c r="G60" s="360"/>
    </row>
    <row r="61" spans="2:7" ht="12.75">
      <c r="B61" s="322" t="s">
        <v>145</v>
      </c>
      <c r="C61" s="324"/>
      <c r="D61" s="314">
        <f>+'Inversión total en programas'!B59</f>
        <v>50000000</v>
      </c>
      <c r="E61" s="318"/>
      <c r="F61" s="315" t="e">
        <f>+D61/E113</f>
        <v>#REF!</v>
      </c>
      <c r="G61" s="360"/>
    </row>
    <row r="62" spans="2:7" ht="12.75">
      <c r="B62" s="313" t="s">
        <v>47</v>
      </c>
      <c r="C62" s="323"/>
      <c r="D62" s="314" t="e">
        <f>+'Inversión total en programas'!B60</f>
        <v>#REF!</v>
      </c>
      <c r="E62" s="314"/>
      <c r="F62" s="315" t="e">
        <f>+D62/E113</f>
        <v>#REF!</v>
      </c>
      <c r="G62" s="360"/>
    </row>
    <row r="63" spans="2:7" ht="12.75">
      <c r="B63" s="313" t="s">
        <v>217</v>
      </c>
      <c r="C63" s="323"/>
      <c r="D63" s="314" t="e">
        <f>+'Inversión total en programas'!B61</f>
        <v>#REF!</v>
      </c>
      <c r="E63" s="314"/>
      <c r="F63" s="315"/>
      <c r="G63" s="360">
        <f>1733333+1733333+1733333+4083400+4080816+2040408+2057471+2057471+1657471</f>
        <v>21177036</v>
      </c>
    </row>
    <row r="64" spans="2:7" ht="12.75">
      <c r="B64" s="313" t="s">
        <v>160</v>
      </c>
      <c r="C64" s="323"/>
      <c r="D64" s="314" t="e">
        <f>+'Inversión total en programas'!B62</f>
        <v>#REF!</v>
      </c>
      <c r="E64" s="314"/>
      <c r="F64" s="315"/>
      <c r="G64" s="360"/>
    </row>
    <row r="65" spans="2:7" ht="12.75">
      <c r="B65" s="320" t="s">
        <v>50</v>
      </c>
      <c r="C65" s="324"/>
      <c r="D65" s="314" t="e">
        <f>+'Inversión total en programas'!B63</f>
        <v>#REF!</v>
      </c>
      <c r="E65" s="318"/>
      <c r="F65" s="315" t="e">
        <f>+D65/E113</f>
        <v>#REF!</v>
      </c>
      <c r="G65" s="360">
        <f>+G63</f>
        <v>21177036</v>
      </c>
    </row>
    <row r="66" spans="2:7" ht="12.75">
      <c r="B66" s="313"/>
      <c r="C66" s="314"/>
      <c r="D66" s="314"/>
      <c r="E66" s="314"/>
      <c r="F66" s="316"/>
      <c r="G66" s="360"/>
    </row>
    <row r="67" spans="2:7" ht="12.75">
      <c r="B67" s="317" t="s">
        <v>9</v>
      </c>
      <c r="C67" s="314"/>
      <c r="D67" s="318" t="e">
        <f>+D68+D72</f>
        <v>#REF!</v>
      </c>
      <c r="E67" s="318" t="e">
        <f>+D68+D72</f>
        <v>#REF!</v>
      </c>
      <c r="F67" s="319" t="e">
        <f>+E67/E113</f>
        <v>#REF!</v>
      </c>
      <c r="G67" s="361" t="e">
        <f>+G68+G72</f>
        <v>#REF!</v>
      </c>
    </row>
    <row r="68" spans="2:7" ht="12.75">
      <c r="B68" s="320" t="s">
        <v>46</v>
      </c>
      <c r="C68" s="314"/>
      <c r="D68" s="325">
        <f>+'Inversión total en programas'!B66</f>
        <v>340000000</v>
      </c>
      <c r="E68" s="318"/>
      <c r="F68" s="315" t="e">
        <f>+D68/E113</f>
        <v>#REF!</v>
      </c>
      <c r="G68" s="360">
        <v>194637521</v>
      </c>
    </row>
    <row r="69" spans="2:7" ht="12.75">
      <c r="B69" s="313" t="s">
        <v>47</v>
      </c>
      <c r="C69" s="314"/>
      <c r="D69" s="323" t="e">
        <f>+'Inversión total en programas'!B67</f>
        <v>#REF!</v>
      </c>
      <c r="E69" s="314"/>
      <c r="F69" s="315" t="e">
        <f>+D69/E113</f>
        <v>#REF!</v>
      </c>
      <c r="G69" s="360" t="e">
        <f>+#REF!</f>
        <v>#REF!</v>
      </c>
    </row>
    <row r="70" spans="2:7" ht="12.75">
      <c r="B70" s="313" t="s">
        <v>146</v>
      </c>
      <c r="C70" s="314"/>
      <c r="D70" s="323" t="e">
        <f>+'Inversión total en programas'!B68</f>
        <v>#REF!</v>
      </c>
      <c r="E70" s="314"/>
      <c r="F70" s="315" t="e">
        <f>+D70/E113</f>
        <v>#REF!</v>
      </c>
      <c r="G70" s="360"/>
    </row>
    <row r="71" spans="2:7" ht="12.75">
      <c r="B71" s="313" t="s">
        <v>147</v>
      </c>
      <c r="C71" s="314"/>
      <c r="D71" s="323" t="e">
        <f>+'Inversión total en programas'!B69</f>
        <v>#REF!</v>
      </c>
      <c r="E71" s="314"/>
      <c r="F71" s="315" t="e">
        <f>+D71/E113</f>
        <v>#REF!</v>
      </c>
      <c r="G71" s="360"/>
    </row>
    <row r="72" spans="2:7" ht="12.75">
      <c r="B72" s="320" t="s">
        <v>50</v>
      </c>
      <c r="C72" s="314"/>
      <c r="D72" s="323" t="e">
        <f>+'Inversión total en programas'!B70</f>
        <v>#REF!</v>
      </c>
      <c r="E72" s="318"/>
      <c r="F72" s="315" t="e">
        <f>+D72/E113</f>
        <v>#REF!</v>
      </c>
      <c r="G72" s="362" t="e">
        <f>+G69</f>
        <v>#REF!</v>
      </c>
    </row>
    <row r="73" spans="2:7" ht="12.75">
      <c r="B73" s="313"/>
      <c r="C73" s="314"/>
      <c r="D73" s="323"/>
      <c r="E73" s="314"/>
      <c r="F73" s="315"/>
      <c r="G73" s="360"/>
    </row>
    <row r="74" spans="2:7" ht="12.75">
      <c r="B74" s="317" t="s">
        <v>148</v>
      </c>
      <c r="C74" s="314"/>
      <c r="D74" s="324" t="e">
        <f>+D75+D81</f>
        <v>#REF!</v>
      </c>
      <c r="E74" s="318" t="e">
        <f>+D75+D81</f>
        <v>#REF!</v>
      </c>
      <c r="F74" s="319" t="e">
        <f>+E74/E113</f>
        <v>#REF!</v>
      </c>
      <c r="G74" s="360"/>
    </row>
    <row r="75" spans="2:7" ht="12.75">
      <c r="B75" s="317" t="s">
        <v>46</v>
      </c>
      <c r="C75" s="314"/>
      <c r="D75" s="323">
        <f>+'Inversión total en programas'!B73</f>
        <v>472548000</v>
      </c>
      <c r="E75" s="318"/>
      <c r="F75" s="315" t="e">
        <f>+D75/E113</f>
        <v>#REF!</v>
      </c>
      <c r="G75" s="360"/>
    </row>
    <row r="76" spans="2:7" ht="12.75">
      <c r="B76" s="313" t="s">
        <v>151</v>
      </c>
      <c r="C76" s="326"/>
      <c r="D76" s="323">
        <f>+'Inversión total en programas'!B74</f>
        <v>258000000</v>
      </c>
      <c r="E76" s="326"/>
      <c r="F76" s="327" t="e">
        <f>+D76/E113</f>
        <v>#REF!</v>
      </c>
      <c r="G76" s="360"/>
    </row>
    <row r="77" spans="2:7" ht="12.75">
      <c r="B77" s="322" t="s">
        <v>152</v>
      </c>
      <c r="C77" s="314"/>
      <c r="D77" s="323">
        <f>+'Inversión total en programas'!B75</f>
        <v>74148000</v>
      </c>
      <c r="E77" s="318"/>
      <c r="F77" s="315" t="e">
        <f>+D77/E113</f>
        <v>#REF!</v>
      </c>
      <c r="G77" s="360"/>
    </row>
    <row r="78" spans="2:7" ht="12.75">
      <c r="B78" s="313" t="s">
        <v>194</v>
      </c>
      <c r="C78" s="314"/>
      <c r="D78" s="323">
        <f>+'Inversión total en programas'!B76</f>
        <v>130400000</v>
      </c>
      <c r="E78" s="314"/>
      <c r="F78" s="315" t="e">
        <f>+D78/E113</f>
        <v>#REF!</v>
      </c>
      <c r="G78" s="360"/>
    </row>
    <row r="79" spans="2:7" ht="12.75">
      <c r="B79" s="313" t="s">
        <v>149</v>
      </c>
      <c r="C79" s="314"/>
      <c r="D79" s="323">
        <f>+'Inversión total en programas'!B77</f>
        <v>10000000</v>
      </c>
      <c r="E79" s="314"/>
      <c r="F79" s="256" t="e">
        <f>+D79/E113</f>
        <v>#REF!</v>
      </c>
      <c r="G79" s="360"/>
    </row>
    <row r="80" spans="2:7" ht="12.75">
      <c r="B80" s="313" t="s">
        <v>150</v>
      </c>
      <c r="C80" s="314"/>
      <c r="D80" s="314" t="e">
        <f>+'Inversión total en programas'!B78</f>
        <v>#REF!</v>
      </c>
      <c r="E80" s="314"/>
      <c r="F80" s="256" t="e">
        <f>+D80/E113</f>
        <v>#REF!</v>
      </c>
      <c r="G80" s="360"/>
    </row>
    <row r="81" spans="2:7" ht="12.75">
      <c r="B81" s="317" t="s">
        <v>50</v>
      </c>
      <c r="C81" s="314"/>
      <c r="D81" s="314" t="e">
        <f>+'Inversión total en programas'!B79</f>
        <v>#REF!</v>
      </c>
      <c r="E81" s="318"/>
      <c r="F81" s="315" t="e">
        <f>+D81/E113</f>
        <v>#REF!</v>
      </c>
      <c r="G81" s="360"/>
    </row>
    <row r="82" spans="2:7" ht="12.75">
      <c r="B82" s="320"/>
      <c r="C82" s="314"/>
      <c r="D82" s="325"/>
      <c r="E82" s="318"/>
      <c r="F82" s="319"/>
      <c r="G82" s="360"/>
    </row>
    <row r="83" spans="2:7" ht="12.75">
      <c r="B83" s="320" t="s">
        <v>10</v>
      </c>
      <c r="C83" s="314"/>
      <c r="D83" s="321" t="e">
        <f>+D84+D93</f>
        <v>#REF!</v>
      </c>
      <c r="E83" s="318" t="e">
        <f>+D84+D93</f>
        <v>#REF!</v>
      </c>
      <c r="F83" s="319" t="e">
        <f>+E83/E113</f>
        <v>#REF!</v>
      </c>
      <c r="G83" s="361" t="e">
        <f>+G84+G93</f>
        <v>#REF!</v>
      </c>
    </row>
    <row r="84" spans="2:7" ht="12.75">
      <c r="B84" s="320" t="s">
        <v>46</v>
      </c>
      <c r="C84" s="314"/>
      <c r="D84" s="325">
        <f>SUM(D85:D89)</f>
        <v>452000000</v>
      </c>
      <c r="E84" s="318"/>
      <c r="F84" s="315" t="e">
        <f>+D84/E113</f>
        <v>#REF!</v>
      </c>
      <c r="G84" s="360">
        <v>291311426</v>
      </c>
    </row>
    <row r="85" spans="2:7" ht="12.75">
      <c r="B85" s="313" t="s">
        <v>153</v>
      </c>
      <c r="C85" s="314"/>
      <c r="D85" s="325">
        <f>+'Inversión total en programas'!B83</f>
        <v>220000000</v>
      </c>
      <c r="E85" s="314"/>
      <c r="F85" s="315" t="e">
        <f>+D85/E113</f>
        <v>#REF!</v>
      </c>
      <c r="G85" s="360"/>
    </row>
    <row r="86" spans="2:7" ht="12.75">
      <c r="B86" s="322" t="s">
        <v>42</v>
      </c>
      <c r="C86" s="314"/>
      <c r="D86" s="325">
        <f>+'Inversión total en programas'!B84</f>
        <v>55000000</v>
      </c>
      <c r="E86" s="318"/>
      <c r="F86" s="315" t="e">
        <f>+D86/E113</f>
        <v>#REF!</v>
      </c>
      <c r="G86" s="360"/>
    </row>
    <row r="87" spans="2:7" ht="12.75">
      <c r="B87" s="313" t="s">
        <v>43</v>
      </c>
      <c r="C87" s="314"/>
      <c r="D87" s="325">
        <f>+'Inversión total en programas'!B85</f>
        <v>30000000</v>
      </c>
      <c r="E87" s="314"/>
      <c r="F87" s="315" t="e">
        <f>+D87/E113</f>
        <v>#REF!</v>
      </c>
      <c r="G87" s="360"/>
    </row>
    <row r="88" spans="2:7" ht="12.75">
      <c r="B88" s="313" t="s">
        <v>154</v>
      </c>
      <c r="C88" s="314"/>
      <c r="D88" s="325">
        <f>+'Inversión total en programas'!B86</f>
        <v>117000000</v>
      </c>
      <c r="E88" s="314"/>
      <c r="F88" s="315" t="e">
        <f>+D88/E113</f>
        <v>#REF!</v>
      </c>
      <c r="G88" s="360"/>
    </row>
    <row r="89" spans="2:7" ht="12.75">
      <c r="B89" s="322" t="s">
        <v>184</v>
      </c>
      <c r="C89" s="314"/>
      <c r="D89" s="325">
        <f>+'Inversión total en programas'!B87</f>
        <v>30000000</v>
      </c>
      <c r="E89" s="318"/>
      <c r="F89" s="315" t="e">
        <f>+D89/E113</f>
        <v>#REF!</v>
      </c>
      <c r="G89" s="360"/>
    </row>
    <row r="90" spans="2:8" ht="12.75">
      <c r="B90" s="322" t="s">
        <v>155</v>
      </c>
      <c r="C90" s="314"/>
      <c r="D90" s="325" t="e">
        <f>+'Inversión total en programas'!B88</f>
        <v>#REF!</v>
      </c>
      <c r="E90" s="318"/>
      <c r="F90" s="315" t="e">
        <f>+D90/E113</f>
        <v>#REF!</v>
      </c>
      <c r="G90" s="360">
        <v>14882095</v>
      </c>
      <c r="H90" s="306" t="s">
        <v>220</v>
      </c>
    </row>
    <row r="91" spans="2:7" ht="12.75">
      <c r="B91" s="322" t="s">
        <v>186</v>
      </c>
      <c r="C91" s="314"/>
      <c r="D91" s="325" t="e">
        <f>+'Inversión total en programas'!B89</f>
        <v>#REF!</v>
      </c>
      <c r="E91" s="318"/>
      <c r="F91" s="315" t="e">
        <f>+D91/E113</f>
        <v>#REF!</v>
      </c>
      <c r="G91" s="360"/>
    </row>
    <row r="92" spans="2:7" ht="12.75">
      <c r="B92" s="322" t="s">
        <v>185</v>
      </c>
      <c r="C92" s="314"/>
      <c r="D92" s="325" t="e">
        <f>+'Inversión total en programas'!B90</f>
        <v>#REF!</v>
      </c>
      <c r="E92" s="318"/>
      <c r="F92" s="315" t="e">
        <f>+D92/E113</f>
        <v>#REF!</v>
      </c>
      <c r="G92" s="360" t="e">
        <f>+#REF!</f>
        <v>#REF!</v>
      </c>
    </row>
    <row r="93" spans="2:7" ht="12.75">
      <c r="B93" s="320" t="s">
        <v>50</v>
      </c>
      <c r="C93" s="314"/>
      <c r="D93" s="325" t="e">
        <f>+'Inversión total en programas'!B91</f>
        <v>#REF!</v>
      </c>
      <c r="E93" s="318"/>
      <c r="F93" s="315" t="e">
        <f>+D93/E113</f>
        <v>#REF!</v>
      </c>
      <c r="G93" s="360" t="e">
        <f>SUM(G85:G92)</f>
        <v>#REF!</v>
      </c>
    </row>
    <row r="94" spans="2:7" ht="12.75">
      <c r="B94" s="313"/>
      <c r="C94" s="314"/>
      <c r="D94" s="325"/>
      <c r="E94" s="314"/>
      <c r="F94" s="315"/>
      <c r="G94" s="360"/>
    </row>
    <row r="95" spans="2:7" ht="12.75">
      <c r="B95" s="320"/>
      <c r="C95" s="314"/>
      <c r="D95" s="321"/>
      <c r="E95" s="318"/>
      <c r="F95" s="315"/>
      <c r="G95" s="360"/>
    </row>
    <row r="96" spans="2:7" ht="12.75">
      <c r="B96" s="317" t="s">
        <v>158</v>
      </c>
      <c r="C96" s="314"/>
      <c r="D96" s="321" t="e">
        <f>+D97+D99</f>
        <v>#REF!</v>
      </c>
      <c r="E96" s="318" t="e">
        <f>+D97+D99</f>
        <v>#REF!</v>
      </c>
      <c r="F96" s="319" t="e">
        <f>+E96/E113</f>
        <v>#REF!</v>
      </c>
      <c r="G96" s="361" t="e">
        <f>+G97+G99</f>
        <v>#REF!</v>
      </c>
    </row>
    <row r="97" spans="2:7" ht="12.75">
      <c r="B97" s="317" t="s">
        <v>46</v>
      </c>
      <c r="C97" s="314"/>
      <c r="D97" s="325">
        <f>+'Inversión total en programas'!B95</f>
        <v>73000000</v>
      </c>
      <c r="E97" s="314"/>
      <c r="F97" s="315" t="e">
        <f>+D97/E113</f>
        <v>#REF!</v>
      </c>
      <c r="G97" s="360">
        <v>73568009</v>
      </c>
    </row>
    <row r="98" spans="2:7" ht="12.75">
      <c r="B98" s="322" t="s">
        <v>157</v>
      </c>
      <c r="C98" s="314"/>
      <c r="D98" s="325" t="e">
        <f>+'Inversión total en programas'!B96</f>
        <v>#REF!</v>
      </c>
      <c r="E98" s="318"/>
      <c r="F98" s="315" t="e">
        <f>+D98/E113</f>
        <v>#REF!</v>
      </c>
      <c r="G98" s="360" t="e">
        <f>+#REF!</f>
        <v>#REF!</v>
      </c>
    </row>
    <row r="99" spans="2:7" ht="12.75">
      <c r="B99" s="317" t="s">
        <v>50</v>
      </c>
      <c r="C99" s="314"/>
      <c r="D99" s="321" t="e">
        <f>+'Inversión total en programas'!B97</f>
        <v>#REF!</v>
      </c>
      <c r="E99" s="314"/>
      <c r="F99" s="315" t="e">
        <f>+D99/E113</f>
        <v>#REF!</v>
      </c>
      <c r="G99" s="360" t="e">
        <f>+G98</f>
        <v>#REF!</v>
      </c>
    </row>
    <row r="100" spans="2:7" ht="13.5" thickBot="1">
      <c r="B100" s="364"/>
      <c r="C100" s="365"/>
      <c r="D100" s="366"/>
      <c r="E100" s="365"/>
      <c r="F100" s="367"/>
      <c r="G100" s="360"/>
    </row>
    <row r="101" spans="2:7" ht="13.5" thickBot="1">
      <c r="B101" s="341" t="s">
        <v>173</v>
      </c>
      <c r="C101" s="342" t="e">
        <f>+C9+C12</f>
        <v>#REF!</v>
      </c>
      <c r="D101" s="342" t="e">
        <f>+D96+D83+D74+D67+D56+D47+D37+D30</f>
        <v>#REF!</v>
      </c>
      <c r="E101" s="342" t="e">
        <f>+E9+E12+E28</f>
        <v>#REF!</v>
      </c>
      <c r="F101" s="343" t="e">
        <f>+E101/E113</f>
        <v>#REF!</v>
      </c>
      <c r="G101" s="363"/>
    </row>
    <row r="102" spans="2:7" ht="12.75">
      <c r="B102" s="368"/>
      <c r="C102" s="369"/>
      <c r="D102" s="369"/>
      <c r="E102" s="369"/>
      <c r="F102" s="370"/>
      <c r="G102" s="360"/>
    </row>
    <row r="103" spans="2:7" ht="12.75">
      <c r="B103" s="317" t="s">
        <v>195</v>
      </c>
      <c r="C103" s="314"/>
      <c r="D103" s="314"/>
      <c r="E103" s="318" t="e">
        <f>+'Inversión total en programas'!C99</f>
        <v>#REF!</v>
      </c>
      <c r="F103" s="319" t="e">
        <f>+E103/E113</f>
        <v>#REF!</v>
      </c>
      <c r="G103" s="360"/>
    </row>
    <row r="104" spans="2:7" ht="12.75">
      <c r="B104" s="313"/>
      <c r="C104" s="314"/>
      <c r="D104" s="314"/>
      <c r="E104" s="314"/>
      <c r="F104" s="316"/>
      <c r="G104" s="360"/>
    </row>
    <row r="105" spans="2:7" ht="12.75">
      <c r="B105" s="317" t="s">
        <v>174</v>
      </c>
      <c r="C105" s="314"/>
      <c r="D105" s="314"/>
      <c r="E105" s="314"/>
      <c r="F105" s="316"/>
      <c r="G105" s="360"/>
    </row>
    <row r="106" spans="2:7" ht="13.5" thickBot="1">
      <c r="B106" s="328"/>
      <c r="C106" s="329"/>
      <c r="D106" s="329"/>
      <c r="E106" s="329"/>
      <c r="F106" s="330"/>
      <c r="G106" s="360"/>
    </row>
    <row r="107" spans="2:7" ht="13.5" thickBot="1">
      <c r="B107" s="331" t="s">
        <v>175</v>
      </c>
      <c r="C107" s="332"/>
      <c r="D107" s="332"/>
      <c r="E107" s="332" t="e">
        <f>+E105+E103+E101</f>
        <v>#REF!</v>
      </c>
      <c r="F107" s="333" t="e">
        <f>+F103+F28+F12+F9</f>
        <v>#REF!</v>
      </c>
      <c r="G107" s="363"/>
    </row>
    <row r="108" spans="2:7" ht="12.75">
      <c r="B108" s="334"/>
      <c r="C108" s="335"/>
      <c r="D108" s="335"/>
      <c r="E108" s="335"/>
      <c r="F108" s="336"/>
      <c r="G108" s="360"/>
    </row>
    <row r="109" spans="2:7" ht="12.75">
      <c r="B109" s="317" t="s">
        <v>210</v>
      </c>
      <c r="C109" s="314"/>
      <c r="D109" s="314"/>
      <c r="E109" s="318" t="e">
        <f>+E110+E111</f>
        <v>#REF!</v>
      </c>
      <c r="F109" s="319" t="e">
        <f>+E109/$E$113</f>
        <v>#REF!</v>
      </c>
      <c r="G109" s="360"/>
    </row>
    <row r="110" spans="2:7" ht="12.75">
      <c r="B110" s="322" t="s">
        <v>196</v>
      </c>
      <c r="C110" s="314"/>
      <c r="D110" s="325"/>
      <c r="E110" s="314" t="e">
        <f>+SUPERAVIT2005_FNP</f>
        <v>#REF!</v>
      </c>
      <c r="F110" s="315" t="e">
        <f>+E110/$E$113</f>
        <v>#REF!</v>
      </c>
      <c r="G110" s="360"/>
    </row>
    <row r="111" spans="2:7" ht="12.75">
      <c r="B111" s="322" t="s">
        <v>187</v>
      </c>
      <c r="C111" s="314"/>
      <c r="D111" s="325"/>
      <c r="E111" s="314" t="e">
        <f>+SUPERAVITPPC_2005</f>
        <v>#REF!</v>
      </c>
      <c r="F111" s="315" t="e">
        <f>+E111/$E$113</f>
        <v>#REF!</v>
      </c>
      <c r="G111" s="360"/>
    </row>
    <row r="112" spans="2:7" ht="13.5" thickBot="1">
      <c r="B112" s="337"/>
      <c r="C112" s="338"/>
      <c r="D112" s="339"/>
      <c r="E112" s="338"/>
      <c r="F112" s="340"/>
      <c r="G112" s="360"/>
    </row>
    <row r="113" spans="2:7" ht="13.5" thickBot="1">
      <c r="B113" s="341" t="s">
        <v>176</v>
      </c>
      <c r="C113" s="342"/>
      <c r="D113" s="342"/>
      <c r="E113" s="342" t="e">
        <f>+E107+E109</f>
        <v>#REF!</v>
      </c>
      <c r="F113" s="343">
        <v>1</v>
      </c>
      <c r="G113" s="363"/>
    </row>
    <row r="114" spans="2:7" ht="15">
      <c r="B114" s="344"/>
      <c r="C114" s="345" t="s">
        <v>215</v>
      </c>
      <c r="D114" s="345"/>
      <c r="E114" s="345" t="e">
        <f>+#REF!</f>
        <v>#REF!</v>
      </c>
      <c r="F114" s="344"/>
      <c r="G114" s="312"/>
    </row>
    <row r="115" spans="2:7" ht="15">
      <c r="B115" s="344"/>
      <c r="C115" s="345" t="s">
        <v>137</v>
      </c>
      <c r="D115" s="345"/>
      <c r="E115" s="345" t="e">
        <f>+E114-E113</f>
        <v>#REF!</v>
      </c>
      <c r="F115" s="344"/>
      <c r="G115" s="312"/>
    </row>
    <row r="116" spans="2:7" ht="15">
      <c r="B116" s="344"/>
      <c r="C116" s="345"/>
      <c r="D116" s="345"/>
      <c r="E116" s="345"/>
      <c r="F116" s="344"/>
      <c r="G116" s="312"/>
    </row>
    <row r="117" spans="2:7" ht="15">
      <c r="B117" s="344"/>
      <c r="C117" s="345"/>
      <c r="D117" s="345"/>
      <c r="E117" s="345"/>
      <c r="F117" s="344"/>
      <c r="G117" s="312"/>
    </row>
    <row r="118" spans="2:7" ht="15">
      <c r="B118" s="257" t="s">
        <v>198</v>
      </c>
      <c r="C118" s="346"/>
      <c r="D118" s="345"/>
      <c r="E118" s="345"/>
      <c r="F118" s="344"/>
      <c r="G118" s="312"/>
    </row>
    <row r="119" spans="2:7" ht="15">
      <c r="B119" s="347" t="s">
        <v>199</v>
      </c>
      <c r="C119" s="346"/>
      <c r="D119" s="345"/>
      <c r="E119" s="345"/>
      <c r="F119" s="344"/>
      <c r="G119" s="312"/>
    </row>
    <row r="120" spans="2:7" ht="12.75">
      <c r="B120" s="346" t="s">
        <v>139</v>
      </c>
      <c r="C120" s="348" t="e">
        <f>+#REF!</f>
        <v>#REF!</v>
      </c>
      <c r="D120" s="306"/>
      <c r="E120" s="306"/>
      <c r="F120" s="306"/>
      <c r="G120" s="312"/>
    </row>
    <row r="121" spans="2:7" ht="12.75">
      <c r="B121" s="257" t="s">
        <v>203</v>
      </c>
      <c r="C121" s="346" t="e">
        <f>+#REF!-#REF!</f>
        <v>#REF!</v>
      </c>
      <c r="D121" s="306"/>
      <c r="E121" s="306"/>
      <c r="F121" s="306"/>
      <c r="G121" s="312"/>
    </row>
    <row r="122" spans="2:7" ht="12.75">
      <c r="B122" s="257" t="s">
        <v>199</v>
      </c>
      <c r="C122" s="349" t="e">
        <f>+#REF!</f>
        <v>#REF!</v>
      </c>
      <c r="D122" s="306"/>
      <c r="E122" s="306"/>
      <c r="F122" s="306"/>
      <c r="G122" s="312"/>
    </row>
    <row r="123" spans="2:7" ht="12.75">
      <c r="B123" s="346" t="s">
        <v>143</v>
      </c>
      <c r="C123" s="350" t="e">
        <f>+#REF!</f>
        <v>#REF!</v>
      </c>
      <c r="D123" s="306"/>
      <c r="E123" s="306"/>
      <c r="F123" s="306"/>
      <c r="G123" s="312"/>
    </row>
    <row r="124" spans="2:7" ht="12.75">
      <c r="B124" s="346" t="s">
        <v>144</v>
      </c>
      <c r="C124" s="346" t="e">
        <f>+C123+C122+C121+C120</f>
        <v>#REF!</v>
      </c>
      <c r="D124" s="306"/>
      <c r="E124" s="306"/>
      <c r="F124" s="306"/>
      <c r="G124" s="312"/>
    </row>
    <row r="125" spans="2:7" ht="12.75">
      <c r="B125" s="346" t="s">
        <v>204</v>
      </c>
      <c r="C125" s="346"/>
      <c r="D125" s="306"/>
      <c r="E125" s="351"/>
      <c r="F125" s="306"/>
      <c r="G125" s="312"/>
    </row>
    <row r="126" spans="2:7" ht="12.75">
      <c r="B126" s="257" t="s">
        <v>208</v>
      </c>
      <c r="C126" s="350" t="e">
        <f>+#REF!-#REF!-#REF!</f>
        <v>#REF!</v>
      </c>
      <c r="D126" s="306"/>
      <c r="E126" s="351"/>
      <c r="F126" s="306"/>
      <c r="G126" s="312"/>
    </row>
    <row r="127" spans="2:7" ht="12.75">
      <c r="B127" s="346" t="s">
        <v>207</v>
      </c>
      <c r="C127" s="349" t="e">
        <f>+C124-C126</f>
        <v>#REF!</v>
      </c>
      <c r="D127" s="306"/>
      <c r="E127" s="351"/>
      <c r="F127" s="306"/>
      <c r="G127" s="312"/>
    </row>
    <row r="128" spans="2:7" ht="12.75">
      <c r="B128" s="346"/>
      <c r="C128" s="349"/>
      <c r="D128" s="306"/>
      <c r="E128" s="306"/>
      <c r="F128" s="306"/>
      <c r="G128" s="312"/>
    </row>
    <row r="129" spans="2:7" ht="12.75">
      <c r="B129" s="347" t="s">
        <v>200</v>
      </c>
      <c r="C129" s="346"/>
      <c r="F129" s="353"/>
      <c r="G129" s="312"/>
    </row>
    <row r="130" spans="2:7" ht="12.75">
      <c r="B130" s="346" t="s">
        <v>139</v>
      </c>
      <c r="C130" s="348" t="e">
        <f>+#REF!</f>
        <v>#REF!</v>
      </c>
      <c r="D130" s="353"/>
      <c r="G130" s="312"/>
    </row>
    <row r="131" spans="2:7" ht="12.75">
      <c r="B131" s="257" t="s">
        <v>203</v>
      </c>
      <c r="C131" s="346" t="e">
        <f>+#REF!</f>
        <v>#REF!</v>
      </c>
      <c r="D131" s="353"/>
      <c r="G131" s="312"/>
    </row>
    <row r="132" spans="2:7" ht="12.75">
      <c r="B132" s="257" t="s">
        <v>201</v>
      </c>
      <c r="C132" s="346" t="e">
        <f>+CUOTAPPC2005</f>
        <v>#REF!</v>
      </c>
      <c r="D132" s="353"/>
      <c r="G132" s="312"/>
    </row>
    <row r="133" spans="2:7" ht="12.75">
      <c r="B133" s="346" t="s">
        <v>202</v>
      </c>
      <c r="C133" s="350" t="e">
        <f>+VTAS2005</f>
        <v>#REF!</v>
      </c>
      <c r="G133" s="312"/>
    </row>
    <row r="134" spans="2:7" ht="12.75">
      <c r="B134" s="346" t="s">
        <v>144</v>
      </c>
      <c r="C134" s="346" t="e">
        <f>SUM(C130:C133)</f>
        <v>#REF!</v>
      </c>
      <c r="G134" s="312"/>
    </row>
    <row r="135" spans="2:7" ht="12.75">
      <c r="B135" s="346" t="s">
        <v>204</v>
      </c>
      <c r="C135" s="346"/>
      <c r="G135" s="312"/>
    </row>
    <row r="136" spans="2:7" ht="12.75">
      <c r="B136" s="346" t="s">
        <v>205</v>
      </c>
      <c r="C136" s="346" t="e">
        <f>+GTOSEPPC</f>
        <v>#REF!</v>
      </c>
      <c r="G136" s="312"/>
    </row>
    <row r="137" spans="2:7" ht="12.75">
      <c r="B137" s="346" t="s">
        <v>206</v>
      </c>
      <c r="C137" s="350">
        <f>DIAG_PPC</f>
        <v>117000000</v>
      </c>
      <c r="G137" s="312"/>
    </row>
    <row r="138" spans="2:7" ht="12.75">
      <c r="B138" s="346" t="s">
        <v>207</v>
      </c>
      <c r="C138" s="346" t="e">
        <f>+C134-C136-C137</f>
        <v>#REF!</v>
      </c>
      <c r="G138" s="312"/>
    </row>
    <row r="139" ht="12.75">
      <c r="G139" s="312"/>
    </row>
    <row r="140" ht="12.75">
      <c r="G140" s="312"/>
    </row>
    <row r="141" ht="12.75">
      <c r="G141" s="312"/>
    </row>
    <row r="142" ht="12.75">
      <c r="G142" s="312"/>
    </row>
    <row r="143" ht="12.75">
      <c r="G143" s="312"/>
    </row>
    <row r="144" ht="12.75">
      <c r="G144" s="312"/>
    </row>
    <row r="145" ht="12.75">
      <c r="G145" s="312"/>
    </row>
    <row r="146" ht="12.75">
      <c r="G146" s="312"/>
    </row>
    <row r="147" ht="12.75">
      <c r="G147" s="312"/>
    </row>
    <row r="148" ht="12.75">
      <c r="G148" s="312"/>
    </row>
    <row r="149" ht="12.75">
      <c r="G149" s="312"/>
    </row>
    <row r="150" ht="12.75">
      <c r="G150" s="312"/>
    </row>
    <row r="151" ht="12.75">
      <c r="G151" s="312"/>
    </row>
    <row r="152" ht="12.75">
      <c r="G152" s="312"/>
    </row>
    <row r="153" ht="12.75">
      <c r="G153" s="312"/>
    </row>
    <row r="154" ht="12.75">
      <c r="G154" s="312"/>
    </row>
    <row r="155" ht="12.75">
      <c r="G155" s="312"/>
    </row>
    <row r="156" ht="12.75">
      <c r="G156" s="312"/>
    </row>
    <row r="157" ht="12.75">
      <c r="G157" s="312"/>
    </row>
    <row r="158" ht="12.75">
      <c r="G158" s="312"/>
    </row>
    <row r="159" ht="12.75">
      <c r="G159" s="312"/>
    </row>
    <row r="160" ht="12.75">
      <c r="G160" s="312"/>
    </row>
    <row r="161" ht="12.75">
      <c r="G161" s="312"/>
    </row>
    <row r="162" ht="12.75">
      <c r="G162" s="312"/>
    </row>
    <row r="163" ht="12.75">
      <c r="G163" s="312"/>
    </row>
    <row r="164" ht="12.75">
      <c r="G164" s="312"/>
    </row>
    <row r="165" ht="12.75">
      <c r="G165" s="312"/>
    </row>
    <row r="166" ht="12.75">
      <c r="G166" s="312"/>
    </row>
    <row r="167" ht="12.75">
      <c r="G167" s="312"/>
    </row>
    <row r="168" ht="12.75">
      <c r="G168" s="312"/>
    </row>
    <row r="169" ht="12.75">
      <c r="G169" s="312"/>
    </row>
    <row r="170" ht="12.75">
      <c r="G170" s="312"/>
    </row>
    <row r="171" ht="12.75">
      <c r="G171" s="312"/>
    </row>
    <row r="172" ht="12.75">
      <c r="G172" s="312"/>
    </row>
    <row r="173" ht="12.75">
      <c r="G173" s="312"/>
    </row>
    <row r="174" ht="12.75">
      <c r="G174" s="312"/>
    </row>
    <row r="175" ht="12.75">
      <c r="G175" s="312"/>
    </row>
    <row r="176" ht="12.75">
      <c r="G176" s="312"/>
    </row>
    <row r="177" ht="12.75">
      <c r="G177" s="312"/>
    </row>
    <row r="178" ht="12.75">
      <c r="G178" s="312"/>
    </row>
    <row r="179" ht="12.75">
      <c r="G179" s="312"/>
    </row>
    <row r="180" ht="12.75">
      <c r="G180" s="312"/>
    </row>
    <row r="181" ht="12.75">
      <c r="G181" s="312"/>
    </row>
    <row r="182" ht="12.75">
      <c r="G182" s="312"/>
    </row>
    <row r="183" ht="12.75">
      <c r="G183" s="312"/>
    </row>
    <row r="184" ht="12.75">
      <c r="G184" s="312"/>
    </row>
    <row r="185" ht="12.75">
      <c r="G185" s="312"/>
    </row>
    <row r="186" ht="12.75">
      <c r="G186" s="312"/>
    </row>
    <row r="187" ht="12.75">
      <c r="G187" s="312"/>
    </row>
    <row r="188" ht="12.75">
      <c r="G188" s="312"/>
    </row>
    <row r="189" ht="12.75">
      <c r="G189" s="312"/>
    </row>
    <row r="190" ht="12.75">
      <c r="G190" s="312"/>
    </row>
    <row r="191" ht="12.75">
      <c r="G191" s="312"/>
    </row>
    <row r="192" ht="12.75">
      <c r="G192" s="312"/>
    </row>
    <row r="193" ht="12.75">
      <c r="G193" s="312"/>
    </row>
    <row r="194" ht="12.75">
      <c r="G194" s="312"/>
    </row>
    <row r="195" ht="12.75">
      <c r="G195" s="312"/>
    </row>
    <row r="196" ht="12.75">
      <c r="G196" s="312"/>
    </row>
    <row r="197" ht="12.75">
      <c r="G197" s="312"/>
    </row>
    <row r="198" ht="12.75">
      <c r="G198" s="312"/>
    </row>
    <row r="199" ht="12.75">
      <c r="G199" s="312"/>
    </row>
    <row r="200" ht="12.75">
      <c r="G200" s="312"/>
    </row>
    <row r="201" ht="12.75">
      <c r="G201" s="312"/>
    </row>
    <row r="202" ht="12.75">
      <c r="G202" s="312"/>
    </row>
    <row r="203" ht="12.75">
      <c r="G203" s="312"/>
    </row>
    <row r="204" ht="12.75">
      <c r="G204" s="312"/>
    </row>
    <row r="205" ht="12.75">
      <c r="G205" s="312"/>
    </row>
    <row r="206" ht="12.75">
      <c r="G206" s="312"/>
    </row>
    <row r="207" ht="12.75">
      <c r="G207" s="312"/>
    </row>
    <row r="208" ht="12.75">
      <c r="G208" s="312"/>
    </row>
    <row r="209" ht="12.75">
      <c r="G209" s="312"/>
    </row>
    <row r="210" ht="12.75">
      <c r="G210" s="312"/>
    </row>
    <row r="211" ht="12.75">
      <c r="G211" s="312"/>
    </row>
    <row r="212" ht="12.75">
      <c r="G212" s="312"/>
    </row>
    <row r="213" ht="12.75">
      <c r="G213" s="312"/>
    </row>
    <row r="214" ht="12.75">
      <c r="G214" s="312"/>
    </row>
    <row r="215" ht="12.75">
      <c r="G215" s="312"/>
    </row>
    <row r="216" ht="12.75">
      <c r="G216" s="312"/>
    </row>
    <row r="217" ht="12.75">
      <c r="G217" s="312"/>
    </row>
    <row r="218" ht="12.75">
      <c r="G218" s="312"/>
    </row>
    <row r="219" ht="12.75">
      <c r="G219" s="312"/>
    </row>
    <row r="220" ht="12.75">
      <c r="G220" s="312"/>
    </row>
    <row r="221" ht="12.75">
      <c r="G221" s="312"/>
    </row>
    <row r="222" ht="12.75">
      <c r="G222" s="312"/>
    </row>
    <row r="223" ht="12.75">
      <c r="G223" s="312"/>
    </row>
    <row r="224" ht="12.75">
      <c r="G224" s="312"/>
    </row>
    <row r="225" ht="12.75">
      <c r="G225" s="312"/>
    </row>
    <row r="226" ht="12.75">
      <c r="G226" s="312"/>
    </row>
    <row r="227" ht="12.75">
      <c r="G227" s="312"/>
    </row>
    <row r="228" ht="12.75">
      <c r="G228" s="312"/>
    </row>
    <row r="229" ht="12.75">
      <c r="G229" s="312"/>
    </row>
    <row r="230" ht="12.75">
      <c r="G230" s="312"/>
    </row>
    <row r="231" ht="12.75">
      <c r="G231" s="312"/>
    </row>
    <row r="232" ht="12.75">
      <c r="G232" s="312"/>
    </row>
    <row r="233" ht="12.75">
      <c r="G233" s="312"/>
    </row>
    <row r="234" ht="12.75">
      <c r="G234" s="312"/>
    </row>
    <row r="235" ht="12.75">
      <c r="G235" s="312"/>
    </row>
    <row r="236" ht="12.75">
      <c r="G236" s="312"/>
    </row>
    <row r="237" ht="12.75">
      <c r="G237" s="312"/>
    </row>
    <row r="238" ht="12.75">
      <c r="G238" s="312"/>
    </row>
    <row r="239" ht="12.75">
      <c r="G239" s="312"/>
    </row>
    <row r="240" ht="12.75">
      <c r="G240" s="312"/>
    </row>
    <row r="241" ht="12.75">
      <c r="G241" s="312"/>
    </row>
    <row r="242" ht="12.75">
      <c r="G242" s="312"/>
    </row>
    <row r="243" ht="12.75">
      <c r="G243" s="312"/>
    </row>
    <row r="244" ht="12.75">
      <c r="G244" s="312"/>
    </row>
    <row r="245" ht="12.75">
      <c r="G245" s="312"/>
    </row>
    <row r="246" ht="12.75">
      <c r="G246" s="312"/>
    </row>
    <row r="247" ht="12.75">
      <c r="G247" s="312"/>
    </row>
    <row r="248" ht="12.75">
      <c r="G248" s="312"/>
    </row>
    <row r="249" ht="12.75">
      <c r="G249" s="312"/>
    </row>
    <row r="250" ht="12.75">
      <c r="G250" s="312"/>
    </row>
    <row r="251" ht="12.75">
      <c r="G251" s="312"/>
    </row>
    <row r="252" ht="12.75">
      <c r="G252" s="312"/>
    </row>
    <row r="253" ht="12.75">
      <c r="G253" s="312"/>
    </row>
    <row r="254" ht="12.75">
      <c r="G254" s="312"/>
    </row>
    <row r="255" ht="12.75">
      <c r="G255" s="312"/>
    </row>
    <row r="256" ht="12.75">
      <c r="G256" s="312"/>
    </row>
    <row r="257" ht="12.75">
      <c r="G257" s="312"/>
    </row>
    <row r="258" ht="12.75">
      <c r="G258" s="312"/>
    </row>
    <row r="259" ht="12.75">
      <c r="G259" s="312"/>
    </row>
    <row r="260" ht="12.75">
      <c r="G260" s="312"/>
    </row>
    <row r="261" ht="12.75">
      <c r="G261" s="312"/>
    </row>
    <row r="262" ht="12.75">
      <c r="G262" s="312"/>
    </row>
    <row r="263" ht="12.75">
      <c r="G263" s="312"/>
    </row>
    <row r="264" ht="12.75">
      <c r="G264" s="312"/>
    </row>
    <row r="265" ht="12.75">
      <c r="G265" s="312"/>
    </row>
    <row r="266" ht="12.75">
      <c r="G266" s="312"/>
    </row>
    <row r="267" ht="12.75">
      <c r="G267" s="312"/>
    </row>
    <row r="268" ht="12.75">
      <c r="G268" s="312"/>
    </row>
    <row r="269" ht="12.75">
      <c r="G269" s="312"/>
    </row>
    <row r="270" ht="12.75">
      <c r="G270" s="312"/>
    </row>
    <row r="271" ht="12.75">
      <c r="G271" s="312"/>
    </row>
    <row r="272" ht="12.75">
      <c r="G272" s="312"/>
    </row>
    <row r="273" ht="12.75">
      <c r="G273" s="312"/>
    </row>
    <row r="274" ht="12.75">
      <c r="G274" s="312"/>
    </row>
    <row r="275" ht="12.75">
      <c r="G275" s="312"/>
    </row>
    <row r="276" ht="12.75">
      <c r="G276" s="312"/>
    </row>
    <row r="277" ht="12.75">
      <c r="G277" s="312"/>
    </row>
    <row r="278" ht="12.75">
      <c r="G278" s="312"/>
    </row>
    <row r="279" ht="12.75">
      <c r="G279" s="312"/>
    </row>
    <row r="280" ht="12.75">
      <c r="G280" s="312"/>
    </row>
    <row r="281" ht="12.75">
      <c r="G281" s="312"/>
    </row>
    <row r="282" ht="12.75">
      <c r="G282" s="312"/>
    </row>
    <row r="283" ht="12.75">
      <c r="G283" s="312"/>
    </row>
    <row r="284" ht="12.75">
      <c r="G284" s="312"/>
    </row>
    <row r="285" ht="12.75">
      <c r="G285" s="312"/>
    </row>
    <row r="286" ht="12.75">
      <c r="G286" s="312"/>
    </row>
    <row r="287" ht="12.75">
      <c r="G287" s="312"/>
    </row>
    <row r="288" ht="12.75">
      <c r="G288" s="312"/>
    </row>
    <row r="289" ht="12.75">
      <c r="G289" s="312"/>
    </row>
    <row r="290" ht="12.75">
      <c r="G290" s="312"/>
    </row>
    <row r="291" ht="12.75">
      <c r="G291" s="312"/>
    </row>
    <row r="292" ht="12.75">
      <c r="G292" s="312"/>
    </row>
    <row r="293" ht="12.75">
      <c r="G293" s="312"/>
    </row>
    <row r="294" ht="12.75">
      <c r="G294" s="312"/>
    </row>
    <row r="295" ht="12.75">
      <c r="G295" s="312"/>
    </row>
    <row r="296" ht="12.75">
      <c r="G296" s="312"/>
    </row>
    <row r="297" ht="12.75">
      <c r="G297" s="312"/>
    </row>
    <row r="298" ht="12.75">
      <c r="G298" s="312"/>
    </row>
    <row r="299" ht="12.75">
      <c r="G299" s="312"/>
    </row>
    <row r="300" ht="12.75">
      <c r="G300" s="312"/>
    </row>
    <row r="301" ht="12.75">
      <c r="G301" s="312"/>
    </row>
    <row r="302" ht="12.75">
      <c r="G302" s="312"/>
    </row>
    <row r="303" ht="12.75">
      <c r="G303" s="312"/>
    </row>
    <row r="304" ht="12.75">
      <c r="G304" s="312"/>
    </row>
    <row r="305" ht="12.75">
      <c r="G305" s="312"/>
    </row>
    <row r="306" ht="12.75">
      <c r="G306" s="312"/>
    </row>
    <row r="307" ht="12.75">
      <c r="G307" s="312"/>
    </row>
    <row r="308" ht="12.75">
      <c r="G308" s="312"/>
    </row>
    <row r="309" ht="12.75">
      <c r="G309" s="312"/>
    </row>
    <row r="310" ht="12.75">
      <c r="G310" s="312"/>
    </row>
    <row r="311" ht="12.75">
      <c r="G311" s="312"/>
    </row>
    <row r="312" ht="12.75">
      <c r="G312" s="312"/>
    </row>
    <row r="313" ht="12.75">
      <c r="G313" s="312"/>
    </row>
    <row r="314" ht="12.75">
      <c r="G314" s="312"/>
    </row>
    <row r="315" ht="12.75">
      <c r="G315" s="312"/>
    </row>
    <row r="316" ht="12.75">
      <c r="G316" s="312"/>
    </row>
    <row r="317" ht="12.75">
      <c r="G317" s="312"/>
    </row>
    <row r="318" ht="12.75">
      <c r="G318" s="312"/>
    </row>
    <row r="319" ht="12.75">
      <c r="G319" s="312"/>
    </row>
    <row r="320" ht="12.75">
      <c r="G320" s="312"/>
    </row>
    <row r="321" ht="12.75">
      <c r="G321" s="312"/>
    </row>
    <row r="322" ht="12.75">
      <c r="G322" s="312"/>
    </row>
    <row r="323" ht="12.75">
      <c r="G323" s="312"/>
    </row>
    <row r="324" ht="12.75">
      <c r="G324" s="312"/>
    </row>
    <row r="325" ht="12.75">
      <c r="G325" s="312"/>
    </row>
    <row r="326" ht="12.75">
      <c r="G326" s="312"/>
    </row>
    <row r="327" ht="12.75">
      <c r="G327" s="312"/>
    </row>
    <row r="328" ht="12.75">
      <c r="G328" s="312"/>
    </row>
    <row r="329" ht="12.75">
      <c r="G329" s="312"/>
    </row>
    <row r="330" ht="12.75">
      <c r="G330" s="312"/>
    </row>
    <row r="331" ht="12.75">
      <c r="G331" s="312"/>
    </row>
    <row r="332" ht="12.75">
      <c r="G332" s="312"/>
    </row>
    <row r="333" ht="12.75">
      <c r="G333" s="312"/>
    </row>
    <row r="334" ht="12.75">
      <c r="G334" s="312"/>
    </row>
    <row r="335" ht="12.75">
      <c r="G335" s="312"/>
    </row>
    <row r="336" ht="12.75">
      <c r="G336" s="312"/>
    </row>
    <row r="337" ht="12.75">
      <c r="G337" s="312"/>
    </row>
    <row r="338" ht="12.75">
      <c r="G338" s="312"/>
    </row>
    <row r="339" ht="12.75">
      <c r="G339" s="312"/>
    </row>
    <row r="340" ht="12.75">
      <c r="G340" s="312"/>
    </row>
    <row r="341" ht="12.75">
      <c r="G341" s="312"/>
    </row>
    <row r="342" ht="12.75">
      <c r="G342" s="312"/>
    </row>
    <row r="343" ht="12.75">
      <c r="G343" s="312"/>
    </row>
    <row r="344" ht="12.75">
      <c r="G344" s="312"/>
    </row>
    <row r="345" ht="12.75">
      <c r="G345" s="312"/>
    </row>
    <row r="346" ht="12.75">
      <c r="G346" s="312"/>
    </row>
    <row r="347" ht="12.75">
      <c r="G347" s="312"/>
    </row>
    <row r="348" ht="12.75">
      <c r="G348" s="312"/>
    </row>
    <row r="349" ht="12.75">
      <c r="G349" s="312"/>
    </row>
    <row r="350" ht="12.75">
      <c r="G350" s="312"/>
    </row>
    <row r="351" ht="12.75">
      <c r="G351" s="312"/>
    </row>
    <row r="352" ht="12.75">
      <c r="G352" s="312"/>
    </row>
    <row r="353" ht="12.75">
      <c r="G353" s="312"/>
    </row>
    <row r="354" ht="12.75">
      <c r="G354" s="312"/>
    </row>
    <row r="355" ht="12.75">
      <c r="G355" s="312"/>
    </row>
    <row r="356" ht="12.75">
      <c r="G356" s="312"/>
    </row>
    <row r="357" ht="12.75">
      <c r="G357" s="312"/>
    </row>
    <row r="358" ht="12.75">
      <c r="G358" s="312"/>
    </row>
    <row r="359" ht="12.75">
      <c r="G359" s="312"/>
    </row>
    <row r="360" ht="12.75">
      <c r="G360" s="312"/>
    </row>
    <row r="361" ht="12.75">
      <c r="G361" s="312"/>
    </row>
    <row r="362" ht="12.75">
      <c r="G362" s="312"/>
    </row>
    <row r="363" ht="12.75">
      <c r="G363" s="312"/>
    </row>
    <row r="364" ht="12.75">
      <c r="G364" s="312"/>
    </row>
    <row r="365" ht="12.75">
      <c r="G365" s="312"/>
    </row>
    <row r="366" ht="12.75">
      <c r="G366" s="312"/>
    </row>
    <row r="367" ht="12.75">
      <c r="G367" s="312"/>
    </row>
    <row r="368" ht="12.75">
      <c r="G368" s="312"/>
    </row>
    <row r="369" ht="12.75">
      <c r="G369" s="312"/>
    </row>
    <row r="370" ht="12.75">
      <c r="G370" s="312"/>
    </row>
    <row r="371" ht="12.75">
      <c r="G371" s="312"/>
    </row>
    <row r="372" ht="12.75">
      <c r="G372" s="312"/>
    </row>
    <row r="373" ht="12.75">
      <c r="G373" s="312"/>
    </row>
    <row r="374" ht="12.75">
      <c r="G374" s="312"/>
    </row>
    <row r="375" ht="12.75">
      <c r="G375" s="312"/>
    </row>
    <row r="376" ht="12.75">
      <c r="G376" s="312"/>
    </row>
    <row r="377" ht="12.75">
      <c r="G377" s="312"/>
    </row>
    <row r="378" ht="12.75">
      <c r="G378" s="312"/>
    </row>
    <row r="379" ht="12.75">
      <c r="G379" s="312"/>
    </row>
    <row r="380" ht="12.75">
      <c r="G380" s="312"/>
    </row>
    <row r="381" ht="12.75">
      <c r="G381" s="312"/>
    </row>
    <row r="382" ht="12.75">
      <c r="G382" s="312"/>
    </row>
    <row r="383" ht="12.75">
      <c r="G383" s="312"/>
    </row>
    <row r="384" ht="12.75">
      <c r="G384" s="312"/>
    </row>
    <row r="385" ht="12.75">
      <c r="G385" s="312"/>
    </row>
    <row r="386" ht="12.75">
      <c r="G386" s="312"/>
    </row>
    <row r="387" ht="12.75">
      <c r="G387" s="312"/>
    </row>
    <row r="388" ht="12.75">
      <c r="G388" s="312"/>
    </row>
    <row r="389" ht="12.75">
      <c r="G389" s="312"/>
    </row>
    <row r="390" ht="12.75">
      <c r="G390" s="312"/>
    </row>
    <row r="391" ht="12.75">
      <c r="G391" s="312"/>
    </row>
    <row r="392" ht="12.75">
      <c r="G392" s="312"/>
    </row>
    <row r="393" ht="12.75">
      <c r="G393" s="312"/>
    </row>
    <row r="394" ht="12.75">
      <c r="G394" s="312"/>
    </row>
    <row r="395" ht="12.75">
      <c r="G395" s="312"/>
    </row>
    <row r="396" ht="12.75">
      <c r="G396" s="312"/>
    </row>
    <row r="397" ht="12.75">
      <c r="G397" s="312"/>
    </row>
    <row r="398" ht="12.75">
      <c r="G398" s="312"/>
    </row>
    <row r="399" ht="12.75">
      <c r="G399" s="312"/>
    </row>
    <row r="400" ht="12.75">
      <c r="G400" s="312"/>
    </row>
    <row r="401" ht="12.75">
      <c r="G401" s="312"/>
    </row>
    <row r="402" ht="12.75">
      <c r="G402" s="312"/>
    </row>
    <row r="403" ht="12.75">
      <c r="G403" s="312"/>
    </row>
    <row r="404" ht="12.75">
      <c r="G404" s="312"/>
    </row>
    <row r="405" ht="12.75">
      <c r="G405" s="312"/>
    </row>
    <row r="406" ht="12.75">
      <c r="G406" s="312"/>
    </row>
    <row r="407" ht="12.75">
      <c r="G407" s="312"/>
    </row>
    <row r="408" ht="12.75">
      <c r="G408" s="312"/>
    </row>
    <row r="409" ht="12.75">
      <c r="G409" s="312"/>
    </row>
    <row r="410" ht="12.75">
      <c r="G410" s="312"/>
    </row>
    <row r="411" ht="12.75">
      <c r="G411" s="312"/>
    </row>
    <row r="412" ht="12.75">
      <c r="G412" s="312"/>
    </row>
    <row r="413" ht="12.75">
      <c r="G413" s="312"/>
    </row>
    <row r="414" ht="12.75">
      <c r="G414" s="312"/>
    </row>
    <row r="415" ht="12.75">
      <c r="G415" s="312"/>
    </row>
    <row r="416" ht="12.75">
      <c r="G416" s="312"/>
    </row>
    <row r="417" ht="12.75">
      <c r="G417" s="312"/>
    </row>
    <row r="418" ht="12.75">
      <c r="G418" s="312"/>
    </row>
    <row r="419" ht="12.75">
      <c r="G419" s="312"/>
    </row>
    <row r="420" ht="12.75">
      <c r="G420" s="312"/>
    </row>
    <row r="421" ht="12.75">
      <c r="G421" s="312"/>
    </row>
    <row r="422" ht="12.75">
      <c r="G422" s="312"/>
    </row>
    <row r="423" ht="12.75">
      <c r="G423" s="312"/>
    </row>
    <row r="424" ht="12.75">
      <c r="G424" s="312"/>
    </row>
    <row r="425" ht="12.75">
      <c r="G425" s="312"/>
    </row>
    <row r="426" ht="12.75">
      <c r="G426" s="312"/>
    </row>
    <row r="427" ht="12.75">
      <c r="G427" s="312"/>
    </row>
    <row r="428" ht="12.75">
      <c r="G428" s="312"/>
    </row>
    <row r="429" ht="12.75">
      <c r="G429" s="312"/>
    </row>
    <row r="430" ht="12.75">
      <c r="G430" s="312"/>
    </row>
    <row r="431" ht="12.75">
      <c r="G431" s="312"/>
    </row>
    <row r="432" ht="12.75">
      <c r="G432" s="312"/>
    </row>
    <row r="433" ht="12.75">
      <c r="G433" s="312"/>
    </row>
    <row r="434" ht="12.75">
      <c r="G434" s="312"/>
    </row>
    <row r="435" ht="12.75">
      <c r="G435" s="312"/>
    </row>
    <row r="436" ht="12.75">
      <c r="G436" s="312"/>
    </row>
    <row r="437" ht="12.75">
      <c r="G437" s="312"/>
    </row>
    <row r="438" ht="12.75">
      <c r="G438" s="312"/>
    </row>
    <row r="439" ht="12.75">
      <c r="G439" s="312"/>
    </row>
    <row r="440" ht="12.75">
      <c r="G440" s="312"/>
    </row>
    <row r="441" ht="12.75">
      <c r="G441" s="312"/>
    </row>
    <row r="442" ht="12.75">
      <c r="G442" s="312"/>
    </row>
    <row r="443" ht="12.75">
      <c r="G443" s="312"/>
    </row>
    <row r="444" ht="12.75">
      <c r="G444" s="312"/>
    </row>
    <row r="445" ht="12.75">
      <c r="G445" s="312"/>
    </row>
    <row r="446" ht="12.75">
      <c r="G446" s="312"/>
    </row>
    <row r="447" ht="12.75">
      <c r="G447" s="312"/>
    </row>
    <row r="448" ht="12.75">
      <c r="G448" s="312"/>
    </row>
    <row r="449" ht="12.75">
      <c r="G449" s="312"/>
    </row>
    <row r="450" ht="12.75">
      <c r="G450" s="312"/>
    </row>
    <row r="451" ht="12.75">
      <c r="G451" s="312"/>
    </row>
    <row r="452" ht="12.75">
      <c r="G452" s="312"/>
    </row>
    <row r="453" ht="12.75">
      <c r="G453" s="312"/>
    </row>
    <row r="454" ht="12.75">
      <c r="G454" s="312"/>
    </row>
    <row r="455" ht="12.75">
      <c r="G455" s="312"/>
    </row>
    <row r="456" ht="12.75">
      <c r="G456" s="312"/>
    </row>
    <row r="457" ht="12.75">
      <c r="G457" s="312"/>
    </row>
    <row r="458" ht="12.75">
      <c r="G458" s="312"/>
    </row>
    <row r="459" ht="12.75">
      <c r="G459" s="312"/>
    </row>
    <row r="460" ht="12.75">
      <c r="G460" s="312"/>
    </row>
    <row r="461" ht="12.75">
      <c r="G461" s="312"/>
    </row>
    <row r="462" ht="12.75">
      <c r="G462" s="312"/>
    </row>
    <row r="463" ht="12.75">
      <c r="G463" s="312"/>
    </row>
    <row r="464" ht="12.75">
      <c r="G464" s="312"/>
    </row>
    <row r="465" ht="12.75">
      <c r="G465" s="312"/>
    </row>
    <row r="466" ht="12.75">
      <c r="G466" s="312"/>
    </row>
    <row r="467" ht="12.75">
      <c r="G467" s="312"/>
    </row>
    <row r="468" ht="12.75">
      <c r="G468" s="312"/>
    </row>
    <row r="469" ht="12.75">
      <c r="G469" s="312"/>
    </row>
    <row r="470" ht="12.75">
      <c r="G470" s="312"/>
    </row>
    <row r="471" ht="12.75">
      <c r="G471" s="312"/>
    </row>
    <row r="472" ht="12.75">
      <c r="G472" s="312"/>
    </row>
    <row r="473" ht="12.75">
      <c r="G473" s="312"/>
    </row>
    <row r="474" ht="12.75">
      <c r="G474" s="312"/>
    </row>
    <row r="475" ht="12.75">
      <c r="G475" s="312"/>
    </row>
    <row r="476" ht="12.75">
      <c r="G476" s="312"/>
    </row>
    <row r="477" ht="12.75">
      <c r="G477" s="312"/>
    </row>
    <row r="478" ht="12.75">
      <c r="G478" s="312"/>
    </row>
  </sheetData>
  <sheetProtection/>
  <printOptions/>
  <pageMargins left="0.75" right="0.75" top="0.5905511811023623" bottom="0.5905511811023623" header="0" footer="0"/>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sheetPr>
    <pageSetUpPr fitToPage="1"/>
  </sheetPr>
  <dimension ref="A1:N549"/>
  <sheetViews>
    <sheetView tabSelected="1" zoomScale="75" zoomScaleNormal="75"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4" sqref="A14"/>
    </sheetView>
  </sheetViews>
  <sheetFormatPr defaultColWidth="11.421875" defaultRowHeight="12.75" outlineLevelRow="1"/>
  <cols>
    <col min="1" max="1" width="51.28125" style="374" customWidth="1"/>
    <col min="2" max="2" width="21.00390625" style="468" customWidth="1"/>
    <col min="3" max="3" width="25.140625" style="468" customWidth="1"/>
    <col min="4" max="4" width="20.421875" style="374" customWidth="1"/>
    <col min="5" max="5" width="17.57421875" style="374" customWidth="1"/>
    <col min="6" max="6" width="20.421875" style="374" customWidth="1"/>
    <col min="7" max="7" width="17.140625" style="374" customWidth="1"/>
    <col min="8" max="8" width="18.421875" style="374" bestFit="1" customWidth="1"/>
    <col min="9" max="9" width="18.00390625" style="374" bestFit="1" customWidth="1"/>
    <col min="10" max="10" width="12.57421875" style="374" bestFit="1" customWidth="1"/>
    <col min="11" max="11" width="16.140625" style="374" bestFit="1" customWidth="1"/>
    <col min="12" max="12" width="12.00390625" style="374" bestFit="1" customWidth="1"/>
    <col min="13" max="13" width="11.8515625" style="374" bestFit="1" customWidth="1"/>
    <col min="14" max="14" width="12.00390625" style="374" bestFit="1" customWidth="1"/>
    <col min="15" max="16384" width="11.421875" style="374" customWidth="1"/>
  </cols>
  <sheetData>
    <row r="1" spans="1:6" ht="15">
      <c r="A1" s="373"/>
      <c r="B1" s="409"/>
      <c r="C1" s="409"/>
      <c r="D1" s="373"/>
      <c r="E1" s="373"/>
      <c r="F1" s="373"/>
    </row>
    <row r="2" spans="1:7" ht="15">
      <c r="A2" s="484" t="s">
        <v>38</v>
      </c>
      <c r="B2" s="484"/>
      <c r="C2" s="484"/>
      <c r="D2" s="484"/>
      <c r="E2" s="484"/>
      <c r="F2" s="484"/>
      <c r="G2" s="484"/>
    </row>
    <row r="3" spans="1:7" ht="15">
      <c r="A3" s="484" t="s">
        <v>34</v>
      </c>
      <c r="B3" s="484"/>
      <c r="C3" s="484"/>
      <c r="D3" s="484"/>
      <c r="E3" s="484"/>
      <c r="F3" s="484"/>
      <c r="G3" s="484"/>
    </row>
    <row r="4" spans="1:9" ht="15">
      <c r="A4" s="484" t="s">
        <v>255</v>
      </c>
      <c r="B4" s="484"/>
      <c r="C4" s="484"/>
      <c r="D4" s="484"/>
      <c r="E4" s="484"/>
      <c r="F4" s="484"/>
      <c r="G4" s="484"/>
      <c r="I4" s="410"/>
    </row>
    <row r="5" spans="1:6" ht="15">
      <c r="A5" s="411"/>
      <c r="B5" s="412"/>
      <c r="C5" s="412"/>
      <c r="D5" s="413"/>
      <c r="E5" s="413"/>
      <c r="F5" s="413"/>
    </row>
    <row r="6" spans="1:7" ht="15">
      <c r="A6" s="485" t="s">
        <v>0</v>
      </c>
      <c r="B6" s="485"/>
      <c r="C6" s="485"/>
      <c r="D6" s="485"/>
      <c r="E6" s="485"/>
      <c r="F6" s="485"/>
      <c r="G6" s="485"/>
    </row>
    <row r="7" spans="1:6" ht="15.75" thickBot="1">
      <c r="A7" s="375"/>
      <c r="B7" s="375"/>
      <c r="C7" s="375"/>
      <c r="D7" s="376">
        <f>+D13/3433</f>
        <v>2303796.2734499997</v>
      </c>
      <c r="E7" s="376"/>
      <c r="F7" s="376"/>
    </row>
    <row r="8" spans="1:7" ht="15">
      <c r="A8" s="488" t="s">
        <v>12</v>
      </c>
      <c r="B8" s="414" t="s">
        <v>136</v>
      </c>
      <c r="C8" s="415" t="s">
        <v>136</v>
      </c>
      <c r="D8" s="377" t="s">
        <v>136</v>
      </c>
      <c r="E8" s="377"/>
      <c r="F8" s="472"/>
      <c r="G8" s="377" t="s">
        <v>136</v>
      </c>
    </row>
    <row r="9" spans="1:8" ht="16.5">
      <c r="A9" s="489"/>
      <c r="B9" s="416" t="s">
        <v>222</v>
      </c>
      <c r="C9" s="417" t="s">
        <v>223</v>
      </c>
      <c r="D9" s="378"/>
      <c r="E9" s="378" t="s">
        <v>221</v>
      </c>
      <c r="F9" s="473" t="s">
        <v>267</v>
      </c>
      <c r="G9" s="418" t="s">
        <v>223</v>
      </c>
      <c r="H9" s="419"/>
    </row>
    <row r="10" spans="1:8" ht="15.75" thickBot="1">
      <c r="A10" s="490"/>
      <c r="B10" s="420" t="s">
        <v>224</v>
      </c>
      <c r="C10" s="421" t="s">
        <v>224</v>
      </c>
      <c r="D10" s="379" t="s">
        <v>256</v>
      </c>
      <c r="E10" s="379"/>
      <c r="F10" s="474"/>
      <c r="G10" s="379" t="s">
        <v>256</v>
      </c>
      <c r="H10" s="422"/>
    </row>
    <row r="11" spans="1:7" ht="15">
      <c r="A11" s="380" t="s">
        <v>225</v>
      </c>
      <c r="B11" s="423">
        <f>+B13+B17+SUPERA2004</f>
        <v>8430977661.591364</v>
      </c>
      <c r="C11" s="415">
        <f>+C13+C17+SUPERA2005</f>
        <v>8869081883</v>
      </c>
      <c r="D11" s="424">
        <f>+D13+D17+D21</f>
        <v>9804351505.062569</v>
      </c>
      <c r="E11" s="424">
        <f>+E13+E17+E21</f>
        <v>222695456</v>
      </c>
      <c r="F11" s="475">
        <f>+F13+F17+F21</f>
        <v>0</v>
      </c>
      <c r="G11" s="424">
        <f>+G13+G17+G21</f>
        <v>10027046961.062569</v>
      </c>
    </row>
    <row r="12" spans="1:7" ht="13.5" customHeight="1">
      <c r="A12" s="381"/>
      <c r="B12" s="425"/>
      <c r="C12" s="426"/>
      <c r="D12" s="427"/>
      <c r="E12" s="427"/>
      <c r="F12" s="469"/>
      <c r="G12" s="427"/>
    </row>
    <row r="13" spans="1:12" ht="15">
      <c r="A13" s="382" t="s">
        <v>226</v>
      </c>
      <c r="B13" s="428">
        <f>+B14+B15</f>
        <v>7519745378.5901165</v>
      </c>
      <c r="C13" s="429">
        <f>+C14+C15</f>
        <v>7207986264</v>
      </c>
      <c r="D13" s="430">
        <f>+D14+D15</f>
        <v>7908932606.753849</v>
      </c>
      <c r="E13" s="430">
        <f>+E14+E15</f>
        <v>0</v>
      </c>
      <c r="F13" s="476"/>
      <c r="G13" s="430">
        <f>+G14+G15</f>
        <v>7908932606.753849</v>
      </c>
      <c r="H13" s="431"/>
      <c r="L13" s="391"/>
    </row>
    <row r="14" spans="1:14" ht="15">
      <c r="A14" s="381" t="s">
        <v>227</v>
      </c>
      <c r="B14" s="425">
        <v>5639809033.942587</v>
      </c>
      <c r="C14" s="432">
        <v>5405989698</v>
      </c>
      <c r="D14" s="433">
        <f>+CABEZAS_PROYEC*FOMENTO</f>
        <v>5931699455.065387</v>
      </c>
      <c r="E14" s="433"/>
      <c r="F14" s="470"/>
      <c r="G14" s="441">
        <f>+E14+D14</f>
        <v>5931699455.065387</v>
      </c>
      <c r="K14" s="431"/>
      <c r="N14" s="391"/>
    </row>
    <row r="15" spans="1:14" ht="15">
      <c r="A15" s="381" t="s">
        <v>228</v>
      </c>
      <c r="B15" s="425">
        <v>1879936344.6475291</v>
      </c>
      <c r="C15" s="432">
        <v>1801996566</v>
      </c>
      <c r="D15" s="433">
        <f>+CABEZAS_PROYEC*EPPC</f>
        <v>1977233151.6884623</v>
      </c>
      <c r="E15" s="433"/>
      <c r="F15" s="470"/>
      <c r="G15" s="441">
        <f>+E15+D15</f>
        <v>1977233151.6884623</v>
      </c>
      <c r="H15" s="396"/>
      <c r="K15" s="391"/>
      <c r="N15" s="391"/>
    </row>
    <row r="16" spans="1:14" ht="15">
      <c r="A16" s="381"/>
      <c r="B16" s="425"/>
      <c r="C16" s="426"/>
      <c r="D16" s="433"/>
      <c r="E16" s="433"/>
      <c r="F16" s="470"/>
      <c r="G16" s="433"/>
      <c r="H16" s="391"/>
      <c r="K16" s="434"/>
      <c r="N16" s="391"/>
    </row>
    <row r="17" spans="1:11" ht="15">
      <c r="A17" s="383" t="s">
        <v>229</v>
      </c>
      <c r="B17" s="435">
        <f>+B18+B19</f>
        <v>86666666.66666666</v>
      </c>
      <c r="C17" s="436">
        <f>+C18+C19</f>
        <v>316310831</v>
      </c>
      <c r="D17" s="437">
        <f>+D18+D19</f>
        <v>110000000</v>
      </c>
      <c r="E17" s="437">
        <f>+E18+E19</f>
        <v>0</v>
      </c>
      <c r="F17" s="477"/>
      <c r="G17" s="437">
        <f>+G18+G19</f>
        <v>110000000</v>
      </c>
      <c r="H17" s="391"/>
      <c r="K17" s="391"/>
    </row>
    <row r="18" spans="1:11" ht="15">
      <c r="A18" s="381" t="s">
        <v>227</v>
      </c>
      <c r="B18" s="425">
        <v>65000000</v>
      </c>
      <c r="C18" s="426">
        <v>235157311</v>
      </c>
      <c r="D18" s="427">
        <v>82500000</v>
      </c>
      <c r="E18" s="427"/>
      <c r="F18" s="469"/>
      <c r="G18" s="441">
        <f>+E18+D18</f>
        <v>82500000</v>
      </c>
      <c r="H18" s="422"/>
      <c r="K18" s="391"/>
    </row>
    <row r="19" spans="1:11" ht="15">
      <c r="A19" s="381" t="s">
        <v>228</v>
      </c>
      <c r="B19" s="425">
        <v>21666666.666666664</v>
      </c>
      <c r="C19" s="426">
        <v>81153520</v>
      </c>
      <c r="D19" s="427">
        <v>27500000</v>
      </c>
      <c r="E19" s="427"/>
      <c r="F19" s="470"/>
      <c r="G19" s="441">
        <f>+E19+D19</f>
        <v>27500000</v>
      </c>
      <c r="H19" s="391"/>
      <c r="K19" s="391"/>
    </row>
    <row r="20" spans="1:12" ht="15">
      <c r="A20" s="381"/>
      <c r="B20" s="425"/>
      <c r="C20" s="426"/>
      <c r="D20" s="433"/>
      <c r="E20" s="433"/>
      <c r="F20" s="477"/>
      <c r="G20" s="433"/>
      <c r="K20" s="438"/>
      <c r="L20" s="391"/>
    </row>
    <row r="21" spans="1:11" ht="15">
      <c r="A21" s="383" t="s">
        <v>230</v>
      </c>
      <c r="B21" s="435">
        <f aca="true" t="shared" si="0" ref="B21:G21">+B22+B23</f>
        <v>824565616.3345804</v>
      </c>
      <c r="C21" s="436">
        <f t="shared" si="0"/>
        <v>1344784788</v>
      </c>
      <c r="D21" s="439">
        <f t="shared" si="0"/>
        <v>1785418898.3087187</v>
      </c>
      <c r="E21" s="478">
        <f t="shared" si="0"/>
        <v>222695456</v>
      </c>
      <c r="F21" s="478">
        <f t="shared" si="0"/>
        <v>0</v>
      </c>
      <c r="G21" s="439">
        <f t="shared" si="0"/>
        <v>2008114354.3087187</v>
      </c>
      <c r="K21" s="384"/>
    </row>
    <row r="22" spans="1:11" ht="15">
      <c r="A22" s="381" t="s">
        <v>227</v>
      </c>
      <c r="B22" s="440">
        <v>679133734.1263447</v>
      </c>
      <c r="C22" s="426">
        <v>647808283</v>
      </c>
      <c r="D22" s="441">
        <f>+'[4]Superavit 2009'!I7:I7</f>
        <v>1584365993.4872904</v>
      </c>
      <c r="E22" s="479">
        <v>85002304</v>
      </c>
      <c r="F22" s="470"/>
      <c r="G22" s="441">
        <f>+E22+D22+F22</f>
        <v>1669368297.4872904</v>
      </c>
      <c r="K22" s="442"/>
    </row>
    <row r="23" spans="1:11" ht="15">
      <c r="A23" s="381" t="s">
        <v>228</v>
      </c>
      <c r="B23" s="425">
        <v>145431882.20823574</v>
      </c>
      <c r="C23" s="426">
        <v>696976505</v>
      </c>
      <c r="D23" s="433">
        <f>+'[4]Superavit 2009'!I12</f>
        <v>201052904.8214283</v>
      </c>
      <c r="E23" s="479">
        <v>137693152</v>
      </c>
      <c r="F23" s="477"/>
      <c r="G23" s="433">
        <f>+E23+D23</f>
        <v>338746056.8214283</v>
      </c>
      <c r="H23" s="422"/>
      <c r="K23" s="403"/>
    </row>
    <row r="24" spans="1:11" ht="15">
      <c r="A24" s="381"/>
      <c r="B24" s="425"/>
      <c r="C24" s="426"/>
      <c r="D24" s="427"/>
      <c r="E24" s="427"/>
      <c r="F24" s="469"/>
      <c r="G24" s="427"/>
      <c r="K24" s="403"/>
    </row>
    <row r="25" spans="1:11" ht="15">
      <c r="A25" s="383" t="s">
        <v>231</v>
      </c>
      <c r="B25" s="435">
        <f aca="true" t="shared" si="1" ref="B25:G25">+B27+B31</f>
        <v>7039562253.162424</v>
      </c>
      <c r="C25" s="436">
        <f t="shared" si="1"/>
        <v>6318583139</v>
      </c>
      <c r="D25" s="437">
        <f t="shared" si="1"/>
        <v>6547615040.510017</v>
      </c>
      <c r="E25" s="437">
        <f t="shared" si="1"/>
        <v>0</v>
      </c>
      <c r="F25" s="470">
        <f t="shared" si="1"/>
        <v>-542884987</v>
      </c>
      <c r="G25" s="437">
        <f t="shared" si="1"/>
        <v>6004730053.510017</v>
      </c>
      <c r="K25" s="384"/>
    </row>
    <row r="26" spans="1:11" ht="15">
      <c r="A26" s="381"/>
      <c r="B26" s="425"/>
      <c r="C26" s="426"/>
      <c r="D26" s="427"/>
      <c r="E26" s="427"/>
      <c r="F26" s="477"/>
      <c r="G26" s="427"/>
      <c r="K26" s="391"/>
    </row>
    <row r="27" spans="1:8" ht="15">
      <c r="A27" s="383" t="s">
        <v>143</v>
      </c>
      <c r="B27" s="435">
        <f>+B28+B29</f>
        <v>33000000</v>
      </c>
      <c r="C27" s="436">
        <f>+C28</f>
        <v>33000000</v>
      </c>
      <c r="D27" s="437">
        <f>+D28+D29</f>
        <v>65823042.857142866</v>
      </c>
      <c r="E27" s="437">
        <f>+E28+E29</f>
        <v>0</v>
      </c>
      <c r="F27" s="477"/>
      <c r="G27" s="437">
        <f>+G28+G29</f>
        <v>65823042.857142866</v>
      </c>
      <c r="H27" s="391"/>
    </row>
    <row r="28" spans="1:11" ht="15">
      <c r="A28" s="381" t="s">
        <v>232</v>
      </c>
      <c r="B28" s="425">
        <v>33000000</v>
      </c>
      <c r="C28" s="426">
        <v>33000000</v>
      </c>
      <c r="D28" s="427">
        <f>+C64</f>
        <v>65823042.857142866</v>
      </c>
      <c r="E28" s="427"/>
      <c r="F28" s="469"/>
      <c r="G28" s="441">
        <f>+E28+D28</f>
        <v>65823042.857142866</v>
      </c>
      <c r="H28" s="391"/>
      <c r="K28" s="391"/>
    </row>
    <row r="29" spans="1:11" ht="15">
      <c r="A29" s="381" t="s">
        <v>233</v>
      </c>
      <c r="B29" s="425">
        <v>0</v>
      </c>
      <c r="C29" s="426">
        <v>0</v>
      </c>
      <c r="D29" s="427">
        <v>0</v>
      </c>
      <c r="E29" s="427"/>
      <c r="F29" s="469"/>
      <c r="G29" s="427">
        <v>0</v>
      </c>
      <c r="K29" s="391"/>
    </row>
    <row r="30" spans="1:7" ht="15">
      <c r="A30" s="381"/>
      <c r="B30" s="425"/>
      <c r="C30" s="426"/>
      <c r="D30" s="427"/>
      <c r="E30" s="427"/>
      <c r="F30" s="469"/>
      <c r="G30" s="427"/>
    </row>
    <row r="31" spans="1:7" ht="15">
      <c r="A31" s="383" t="s">
        <v>234</v>
      </c>
      <c r="B31" s="435">
        <f aca="true" t="shared" si="2" ref="B31:G31">SUM(B32:B37)</f>
        <v>7006562253.162424</v>
      </c>
      <c r="C31" s="436">
        <f t="shared" si="2"/>
        <v>6285583139</v>
      </c>
      <c r="D31" s="437">
        <f t="shared" si="2"/>
        <v>6481791997.652875</v>
      </c>
      <c r="E31" s="437">
        <f t="shared" si="2"/>
        <v>0</v>
      </c>
      <c r="F31" s="437">
        <f t="shared" si="2"/>
        <v>-542884987</v>
      </c>
      <c r="G31" s="437">
        <f t="shared" si="2"/>
        <v>5938907010.652875</v>
      </c>
    </row>
    <row r="32" spans="1:7" ht="15">
      <c r="A32" s="381" t="s">
        <v>235</v>
      </c>
      <c r="B32" s="425">
        <v>3946232500</v>
      </c>
      <c r="C32" s="426">
        <v>3546131286</v>
      </c>
      <c r="D32" s="427">
        <f>+C62</f>
        <v>4134851486.4000006</v>
      </c>
      <c r="E32" s="427"/>
      <c r="F32" s="469"/>
      <c r="G32" s="441">
        <f aca="true" t="shared" si="3" ref="G32:G37">+E32+D32</f>
        <v>4134851486.4000006</v>
      </c>
    </row>
    <row r="33" spans="1:7" ht="15">
      <c r="A33" s="385" t="s">
        <v>236</v>
      </c>
      <c r="B33" s="443">
        <v>3852000</v>
      </c>
      <c r="C33" s="444">
        <v>11453630</v>
      </c>
      <c r="D33" s="445">
        <f>+C68</f>
        <v>33559548</v>
      </c>
      <c r="E33" s="445"/>
      <c r="F33" s="471"/>
      <c r="G33" s="441">
        <f>+E33+D33</f>
        <v>33559548</v>
      </c>
    </row>
    <row r="34" spans="1:7" ht="15">
      <c r="A34" s="385" t="s">
        <v>237</v>
      </c>
      <c r="B34" s="443">
        <v>2400000</v>
      </c>
      <c r="C34" s="444">
        <v>61566524</v>
      </c>
      <c r="D34" s="445">
        <f>+C69</f>
        <v>9348838.285714285</v>
      </c>
      <c r="E34" s="445"/>
      <c r="F34" s="471"/>
      <c r="G34" s="441">
        <f t="shared" si="3"/>
        <v>9348838.285714285</v>
      </c>
    </row>
    <row r="35" spans="1:7" ht="15">
      <c r="A35" s="385" t="s">
        <v>238</v>
      </c>
      <c r="B35" s="443">
        <v>149087650</v>
      </c>
      <c r="C35" s="444">
        <v>127244250</v>
      </c>
      <c r="D35" s="445">
        <f>+'[4]Otros ingresos'!C13</f>
        <v>124905842.28571428</v>
      </c>
      <c r="E35" s="445"/>
      <c r="F35" s="471"/>
      <c r="G35" s="441">
        <f t="shared" si="3"/>
        <v>124905842.28571428</v>
      </c>
    </row>
    <row r="36" spans="1:8" ht="15">
      <c r="A36" s="385" t="s">
        <v>239</v>
      </c>
      <c r="B36" s="443">
        <v>2044990103.1624238</v>
      </c>
      <c r="C36" s="444">
        <v>1679187449</v>
      </c>
      <c r="D36" s="445">
        <f>+'[4]Otros ingresos'!C27</f>
        <v>1821222682.6814463</v>
      </c>
      <c r="E36" s="445"/>
      <c r="F36" s="480">
        <f>-552884987+10000000</f>
        <v>-542884987</v>
      </c>
      <c r="G36" s="441">
        <f>+E36+D36+F36</f>
        <v>1278337695.6814463</v>
      </c>
      <c r="H36" s="391"/>
    </row>
    <row r="37" spans="1:7" ht="15">
      <c r="A37" s="385" t="s">
        <v>240</v>
      </c>
      <c r="B37" s="443">
        <v>860000000</v>
      </c>
      <c r="C37" s="444">
        <v>860000000</v>
      </c>
      <c r="D37" s="445">
        <f>+'[4]Otros ingresos'!C34</f>
        <v>357903600</v>
      </c>
      <c r="E37" s="445"/>
      <c r="F37" s="471"/>
      <c r="G37" s="441">
        <f t="shared" si="3"/>
        <v>357903600</v>
      </c>
    </row>
    <row r="38" spans="1:7" ht="15.75" thickBot="1">
      <c r="A38" s="385"/>
      <c r="B38" s="443"/>
      <c r="C38" s="444"/>
      <c r="D38" s="445"/>
      <c r="E38" s="445"/>
      <c r="F38" s="471"/>
      <c r="G38" s="445"/>
    </row>
    <row r="39" spans="1:8" ht="15.75" thickBot="1">
      <c r="A39" s="446" t="s">
        <v>144</v>
      </c>
      <c r="B39" s="447">
        <f aca="true" t="shared" si="4" ref="B39:G39">+B25+B11</f>
        <v>15470539914.753788</v>
      </c>
      <c r="C39" s="448">
        <f t="shared" si="4"/>
        <v>15187665022</v>
      </c>
      <c r="D39" s="449">
        <f t="shared" si="4"/>
        <v>16351966545.572586</v>
      </c>
      <c r="E39" s="449">
        <f t="shared" si="4"/>
        <v>222695456</v>
      </c>
      <c r="F39" s="449">
        <f t="shared" si="4"/>
        <v>-542884987</v>
      </c>
      <c r="G39" s="449">
        <f t="shared" si="4"/>
        <v>16031777014.572586</v>
      </c>
      <c r="H39" s="450"/>
    </row>
    <row r="40" spans="1:6" ht="15.75" hidden="1" outlineLevel="1">
      <c r="A40" s="386"/>
      <c r="B40" s="390"/>
      <c r="C40" s="390"/>
      <c r="D40" s="387"/>
      <c r="E40" s="387"/>
      <c r="F40" s="387"/>
    </row>
    <row r="41" spans="1:8" ht="16.5" hidden="1" outlineLevel="1">
      <c r="A41" s="388" t="s">
        <v>257</v>
      </c>
      <c r="B41" s="390"/>
      <c r="C41" s="390"/>
      <c r="D41" s="389"/>
      <c r="E41" s="389"/>
      <c r="F41" s="389"/>
      <c r="G41" s="486" t="s">
        <v>258</v>
      </c>
      <c r="H41" s="487"/>
    </row>
    <row r="42" spans="1:9" ht="16.5" hidden="1" outlineLevel="1">
      <c r="A42" s="388"/>
      <c r="B42" s="390"/>
      <c r="C42" s="390"/>
      <c r="D42" s="389"/>
      <c r="E42" s="389"/>
      <c r="F42" s="389"/>
      <c r="G42" s="451" t="s">
        <v>259</v>
      </c>
      <c r="H42" s="452">
        <f>+D14+D18+D22+D28+D33+D35+D36</f>
        <v>9644076564.37698</v>
      </c>
      <c r="I42" s="453"/>
    </row>
    <row r="43" spans="1:9" ht="16.5" hidden="1" outlineLevel="1">
      <c r="A43" s="386"/>
      <c r="B43" s="390"/>
      <c r="C43" s="390"/>
      <c r="D43" s="389"/>
      <c r="E43" s="389"/>
      <c r="F43" s="389"/>
      <c r="G43" s="451" t="s">
        <v>260</v>
      </c>
      <c r="H43" s="452">
        <f>+CUOTAPPC2005+D19+D23+D29+VTAS2005+D34+D37</f>
        <v>6707889981.195605</v>
      </c>
      <c r="I43" s="453"/>
    </row>
    <row r="44" spans="1:14" ht="15.75" hidden="1" outlineLevel="1">
      <c r="A44" s="386" t="s">
        <v>261</v>
      </c>
      <c r="B44" s="390"/>
      <c r="C44" s="390">
        <f>(2174521*+(1+0.9%))</f>
        <v>2194091.689</v>
      </c>
      <c r="D44" s="389"/>
      <c r="E44" s="389"/>
      <c r="F44" s="389"/>
      <c r="L44" s="390"/>
      <c r="M44" s="390"/>
      <c r="N44" s="390"/>
    </row>
    <row r="45" spans="1:11" ht="15.75" hidden="1" outlineLevel="1">
      <c r="A45" s="386" t="s">
        <v>241</v>
      </c>
      <c r="B45" s="390"/>
      <c r="C45" s="454">
        <v>0.05</v>
      </c>
      <c r="D45" s="389"/>
      <c r="E45" s="389"/>
      <c r="F45" s="389"/>
      <c r="K45" s="391"/>
    </row>
    <row r="46" spans="1:10" ht="16.5" hidden="1" outlineLevel="1">
      <c r="A46" s="392" t="s">
        <v>262</v>
      </c>
      <c r="B46" s="386"/>
      <c r="C46" s="390">
        <f>+C44*(1+C45)</f>
        <v>2303796.2734499997</v>
      </c>
      <c r="D46" s="389"/>
      <c r="E46" s="389"/>
      <c r="F46" s="389"/>
      <c r="H46" s="455"/>
      <c r="I46" s="456"/>
      <c r="J46" s="457"/>
    </row>
    <row r="47" spans="1:10" ht="16.5" hidden="1" outlineLevel="1">
      <c r="A47" s="386"/>
      <c r="B47" s="386"/>
      <c r="C47" s="386"/>
      <c r="D47" s="393"/>
      <c r="E47" s="393"/>
      <c r="F47" s="393"/>
      <c r="H47" s="458"/>
      <c r="I47" s="459"/>
      <c r="J47" s="459"/>
    </row>
    <row r="48" spans="1:6" ht="15.75" hidden="1" outlineLevel="1">
      <c r="A48" s="392" t="s">
        <v>263</v>
      </c>
      <c r="B48" s="386"/>
      <c r="C48" s="460">
        <v>496900</v>
      </c>
      <c r="D48" s="394"/>
      <c r="E48" s="394"/>
      <c r="F48" s="394"/>
    </row>
    <row r="49" spans="1:6" ht="15.75" hidden="1" outlineLevel="1">
      <c r="A49" s="386" t="s">
        <v>241</v>
      </c>
      <c r="B49" s="386"/>
      <c r="C49" s="461">
        <v>0.0364218</v>
      </c>
      <c r="D49" s="395"/>
      <c r="E49" s="395"/>
      <c r="F49" s="395"/>
    </row>
    <row r="50" spans="1:8" ht="15.75" hidden="1" outlineLevel="1">
      <c r="A50" s="386" t="s">
        <v>242</v>
      </c>
      <c r="B50" s="390"/>
      <c r="C50" s="460">
        <f>+C48*(1+C49)+2.01</f>
        <v>515000.00242000003</v>
      </c>
      <c r="D50" s="462"/>
      <c r="E50" s="462"/>
      <c r="F50" s="462"/>
      <c r="G50" s="462"/>
      <c r="H50" s="422"/>
    </row>
    <row r="51" spans="1:9" ht="15.75" hidden="1" outlineLevel="1">
      <c r="A51" s="392" t="s">
        <v>264</v>
      </c>
      <c r="B51" s="390"/>
      <c r="C51" s="460">
        <f>ROUND(C50/30,0)-1</f>
        <v>17166</v>
      </c>
      <c r="D51" s="462"/>
      <c r="E51" s="462"/>
      <c r="F51" s="462"/>
      <c r="G51" s="462"/>
      <c r="H51" s="462"/>
      <c r="I51" s="396"/>
    </row>
    <row r="52" spans="1:6" ht="15.75" hidden="1" outlineLevel="1">
      <c r="A52" s="386"/>
      <c r="B52" s="390"/>
      <c r="C52" s="390"/>
      <c r="D52" s="386"/>
      <c r="E52" s="386"/>
      <c r="F52" s="386"/>
    </row>
    <row r="53" spans="1:6" ht="15.75" hidden="1" outlineLevel="1">
      <c r="A53" s="392" t="s">
        <v>265</v>
      </c>
      <c r="B53" s="390"/>
      <c r="C53" s="460">
        <f>+C55/4*3</f>
        <v>2574.75</v>
      </c>
      <c r="D53" s="454"/>
      <c r="E53" s="454"/>
      <c r="F53" s="454"/>
    </row>
    <row r="54" spans="1:7" ht="15.75" hidden="1" outlineLevel="1">
      <c r="A54" s="386" t="s">
        <v>266</v>
      </c>
      <c r="B54" s="390"/>
      <c r="C54" s="460">
        <f>+C55/4</f>
        <v>858.25</v>
      </c>
      <c r="D54" s="463"/>
      <c r="E54" s="463"/>
      <c r="F54" s="463"/>
      <c r="G54" s="397"/>
    </row>
    <row r="55" spans="1:7" ht="15.75" hidden="1" outlineLevel="1">
      <c r="A55" s="386" t="s">
        <v>243</v>
      </c>
      <c r="B55" s="390"/>
      <c r="C55" s="460">
        <f>+ROUND(C51*20%,0)</f>
        <v>3433</v>
      </c>
      <c r="D55" s="390"/>
      <c r="E55" s="390"/>
      <c r="F55" s="390"/>
      <c r="G55" s="397"/>
    </row>
    <row r="56" spans="1:11" ht="15.75" hidden="1" outlineLevel="1">
      <c r="A56" s="386"/>
      <c r="B56" s="390"/>
      <c r="C56" s="460"/>
      <c r="D56" s="398"/>
      <c r="E56" s="398"/>
      <c r="F56" s="398"/>
      <c r="G56" s="399"/>
      <c r="H56" s="399"/>
      <c r="I56" s="399"/>
      <c r="J56" s="399"/>
      <c r="K56" s="399"/>
    </row>
    <row r="57" spans="1:11" ht="15.75" hidden="1" outlineLevel="1">
      <c r="A57" s="400" t="s">
        <v>225</v>
      </c>
      <c r="B57" s="464"/>
      <c r="C57" s="465">
        <f>+C62+C63+C66+C67+C70+C71</f>
        <v>6547615040.510018</v>
      </c>
      <c r="D57" s="401"/>
      <c r="E57" s="401"/>
      <c r="F57" s="401"/>
      <c r="G57" s="399"/>
      <c r="H57" s="399"/>
      <c r="I57" s="399"/>
      <c r="J57" s="399"/>
      <c r="K57" s="399"/>
    </row>
    <row r="58" spans="1:11" ht="15.75" hidden="1" outlineLevel="1">
      <c r="A58" s="386" t="s">
        <v>244</v>
      </c>
      <c r="B58" s="386"/>
      <c r="C58" s="460">
        <f>+'[4]Escenario PPC'!B135</f>
        <v>60900000</v>
      </c>
      <c r="D58" s="402" t="s">
        <v>245</v>
      </c>
      <c r="E58" s="402"/>
      <c r="F58" s="402"/>
      <c r="G58" s="399"/>
      <c r="H58" s="399"/>
      <c r="I58" s="399"/>
      <c r="J58" s="399"/>
      <c r="K58" s="399"/>
    </row>
    <row r="59" spans="1:11" ht="15.75" hidden="1" outlineLevel="1">
      <c r="A59" s="386" t="s">
        <v>246</v>
      </c>
      <c r="B59" s="386"/>
      <c r="C59" s="460">
        <f>+'[4]Escenario PPC'!B142</f>
        <v>0</v>
      </c>
      <c r="D59" s="402" t="s">
        <v>245</v>
      </c>
      <c r="E59" s="402"/>
      <c r="F59" s="402"/>
      <c r="G59" s="399"/>
      <c r="H59" s="399"/>
      <c r="I59" s="399"/>
      <c r="J59" s="399"/>
      <c r="K59" s="399"/>
    </row>
    <row r="60" spans="1:11" ht="15.75" hidden="1" outlineLevel="1">
      <c r="A60" s="386" t="s">
        <v>247</v>
      </c>
      <c r="B60" s="386"/>
      <c r="C60" s="460">
        <f>+'[4]Escenario PPC'!G109</f>
        <v>1372587241.6000001</v>
      </c>
      <c r="D60" s="402" t="s">
        <v>248</v>
      </c>
      <c r="E60" s="402"/>
      <c r="F60" s="402"/>
      <c r="G60" s="403"/>
      <c r="H60" s="399"/>
      <c r="I60" s="399"/>
      <c r="J60" s="399"/>
      <c r="K60" s="399"/>
    </row>
    <row r="61" spans="1:11" ht="15.75" hidden="1" outlineLevel="1">
      <c r="A61" s="386" t="s">
        <v>249</v>
      </c>
      <c r="B61" s="386"/>
      <c r="C61" s="460">
        <f>+'[4]Escenario PPC'!L121</f>
        <v>2701364244.8</v>
      </c>
      <c r="D61" s="402" t="s">
        <v>245</v>
      </c>
      <c r="E61" s="402"/>
      <c r="F61" s="402"/>
      <c r="G61" s="403"/>
      <c r="H61" s="399"/>
      <c r="I61" s="399"/>
      <c r="J61" s="399"/>
      <c r="K61" s="399"/>
    </row>
    <row r="62" spans="1:11" ht="15.75" hidden="1" outlineLevel="1">
      <c r="A62" s="400" t="s">
        <v>250</v>
      </c>
      <c r="B62" s="386"/>
      <c r="C62" s="466">
        <f>SUM(C58:C61)</f>
        <v>4134851486.4000006</v>
      </c>
      <c r="D62" s="402"/>
      <c r="E62" s="402"/>
      <c r="F62" s="402"/>
      <c r="G62" s="399"/>
      <c r="H62" s="399"/>
      <c r="I62" s="399"/>
      <c r="J62" s="399"/>
      <c r="K62" s="399"/>
    </row>
    <row r="63" spans="1:11" ht="15.75" hidden="1" outlineLevel="1">
      <c r="A63" s="404" t="s">
        <v>251</v>
      </c>
      <c r="B63" s="386"/>
      <c r="C63" s="466">
        <f>+C64+C65</f>
        <v>65823042.857142866</v>
      </c>
      <c r="D63" s="405"/>
      <c r="E63" s="405"/>
      <c r="F63" s="405"/>
      <c r="G63" s="399"/>
      <c r="H63" s="399"/>
      <c r="I63" s="399"/>
      <c r="J63" s="399"/>
      <c r="K63" s="399"/>
    </row>
    <row r="64" spans="1:11" ht="15.75" hidden="1" outlineLevel="1">
      <c r="A64" s="386" t="s">
        <v>236</v>
      </c>
      <c r="B64" s="386"/>
      <c r="C64" s="460">
        <f>+(38396775/7)*12</f>
        <v>65823042.857142866</v>
      </c>
      <c r="D64" s="405"/>
      <c r="E64" s="405"/>
      <c r="F64" s="405"/>
      <c r="G64" s="399"/>
      <c r="H64" s="399"/>
      <c r="I64" s="399"/>
      <c r="J64" s="399"/>
      <c r="K64" s="399"/>
    </row>
    <row r="65" spans="1:11" ht="15.75" hidden="1" outlineLevel="1">
      <c r="A65" s="386" t="s">
        <v>237</v>
      </c>
      <c r="B65" s="386"/>
      <c r="C65" s="460">
        <v>0</v>
      </c>
      <c r="D65" s="405"/>
      <c r="E65" s="405"/>
      <c r="F65" s="405"/>
      <c r="G65" s="399"/>
      <c r="H65" s="399"/>
      <c r="I65" s="399"/>
      <c r="J65" s="399"/>
      <c r="K65" s="399"/>
    </row>
    <row r="66" spans="1:11" ht="15.75" hidden="1" outlineLevel="1">
      <c r="A66" s="400" t="s">
        <v>252</v>
      </c>
      <c r="B66" s="386"/>
      <c r="C66" s="466">
        <f>+'[4]Otros ingresos'!C13</f>
        <v>124905842.28571428</v>
      </c>
      <c r="D66" s="406"/>
      <c r="E66" s="406"/>
      <c r="F66" s="406"/>
      <c r="G66" s="399"/>
      <c r="H66" s="399"/>
      <c r="I66" s="399"/>
      <c r="J66" s="399"/>
      <c r="K66" s="399"/>
    </row>
    <row r="67" spans="1:11" ht="15.75" hidden="1" outlineLevel="1">
      <c r="A67" s="400" t="s">
        <v>253</v>
      </c>
      <c r="B67" s="386"/>
      <c r="C67" s="466">
        <f>+C68+C69</f>
        <v>42908386.28571428</v>
      </c>
      <c r="D67" s="407" t="s">
        <v>254</v>
      </c>
      <c r="E67" s="407"/>
      <c r="F67" s="407"/>
      <c r="G67" s="399"/>
      <c r="H67" s="399"/>
      <c r="I67" s="399"/>
      <c r="J67" s="399"/>
      <c r="K67" s="399"/>
    </row>
    <row r="68" spans="1:11" ht="15.75" hidden="1" outlineLevel="1">
      <c r="A68" s="386" t="s">
        <v>236</v>
      </c>
      <c r="B68" s="386"/>
      <c r="C68" s="460">
        <f>+(19576403/7)*12</f>
        <v>33559548</v>
      </c>
      <c r="D68" s="407" t="s">
        <v>254</v>
      </c>
      <c r="E68" s="407"/>
      <c r="F68" s="407"/>
      <c r="G68" s="399"/>
      <c r="H68" s="399"/>
      <c r="I68" s="399"/>
      <c r="J68" s="399"/>
      <c r="K68" s="399"/>
    </row>
    <row r="69" spans="1:11" ht="15.75" hidden="1" outlineLevel="1">
      <c r="A69" s="386" t="s">
        <v>237</v>
      </c>
      <c r="B69"/>
      <c r="C69" s="460">
        <f>(2903489/7)*12+(2550000/7)*12</f>
        <v>9348838.285714285</v>
      </c>
      <c r="D69" s="408"/>
      <c r="E69" s="408"/>
      <c r="F69" s="408"/>
      <c r="G69" s="399"/>
      <c r="H69" s="399"/>
      <c r="I69" s="399"/>
      <c r="J69" s="399"/>
      <c r="K69" s="399"/>
    </row>
    <row r="70" spans="1:11" ht="15.75" hidden="1" outlineLevel="1">
      <c r="A70" s="400" t="s">
        <v>239</v>
      </c>
      <c r="B70" s="374"/>
      <c r="C70" s="466">
        <f>+'[4]Otros ingresos'!C27</f>
        <v>1821222682.6814463</v>
      </c>
      <c r="D70" s="399"/>
      <c r="E70" s="399"/>
      <c r="F70" s="399"/>
      <c r="G70" s="399"/>
      <c r="H70" s="399"/>
      <c r="I70" s="399"/>
      <c r="J70" s="399"/>
      <c r="K70" s="399"/>
    </row>
    <row r="71" spans="1:3" ht="15.75" hidden="1" collapsed="1">
      <c r="A71" s="400" t="s">
        <v>240</v>
      </c>
      <c r="B71" s="374"/>
      <c r="C71" s="466">
        <f>+'[4]Otros ingresos'!C34</f>
        <v>357903600</v>
      </c>
    </row>
    <row r="72" spans="1:3" ht="15">
      <c r="A72"/>
      <c r="B72" s="374"/>
      <c r="C72" s="374"/>
    </row>
    <row r="73" spans="1:3" ht="15">
      <c r="A73"/>
      <c r="B73" s="374"/>
      <c r="C73" s="467"/>
    </row>
    <row r="74" spans="1:3" ht="15">
      <c r="A74"/>
      <c r="B74" s="374"/>
      <c r="C74" s="374"/>
    </row>
    <row r="75" spans="1:3" ht="15">
      <c r="A75"/>
      <c r="B75" s="374"/>
      <c r="C75" s="374"/>
    </row>
    <row r="76" spans="1:3" ht="15">
      <c r="A76"/>
      <c r="B76" s="374"/>
      <c r="C76" s="374"/>
    </row>
    <row r="77" spans="1:3" ht="15">
      <c r="A77"/>
      <c r="B77" s="374"/>
      <c r="C77" s="374"/>
    </row>
    <row r="78" spans="1:3" ht="15">
      <c r="A78"/>
      <c r="B78" s="374"/>
      <c r="C78" s="374"/>
    </row>
    <row r="79" spans="1:3" ht="15">
      <c r="A79"/>
      <c r="B79" s="374"/>
      <c r="C79" s="374"/>
    </row>
    <row r="80" spans="1:3" ht="15">
      <c r="A80"/>
      <c r="B80" s="374"/>
      <c r="C80" s="374"/>
    </row>
    <row r="81" spans="1:3" ht="15">
      <c r="A81"/>
      <c r="B81" s="374"/>
      <c r="C81" s="374"/>
    </row>
    <row r="82" spans="1:3" ht="15">
      <c r="A82"/>
      <c r="B82" s="374"/>
      <c r="C82" s="374"/>
    </row>
    <row r="83" spans="1:3" ht="15">
      <c r="A83"/>
      <c r="B83" s="374"/>
      <c r="C83" s="374"/>
    </row>
    <row r="84" spans="1:3" ht="15">
      <c r="A84"/>
      <c r="B84" s="374"/>
      <c r="C84" s="374"/>
    </row>
    <row r="85" spans="1:3" ht="15">
      <c r="A85"/>
      <c r="B85" s="374"/>
      <c r="C85" s="374"/>
    </row>
    <row r="86" spans="1:3" ht="15">
      <c r="A86"/>
      <c r="B86" s="374"/>
      <c r="C86" s="374"/>
    </row>
    <row r="87" spans="1:3" ht="15">
      <c r="A87"/>
      <c r="B87" s="374"/>
      <c r="C87" s="374"/>
    </row>
    <row r="88" spans="1:3" ht="15">
      <c r="A88"/>
      <c r="B88" s="374"/>
      <c r="C88" s="374"/>
    </row>
    <row r="89" spans="1:3" ht="15">
      <c r="A89"/>
      <c r="B89" s="374"/>
      <c r="C89" s="374"/>
    </row>
    <row r="90" spans="1:3" ht="15">
      <c r="A90"/>
      <c r="B90" s="374"/>
      <c r="C90" s="374"/>
    </row>
    <row r="91" spans="1:3" ht="15">
      <c r="A91"/>
      <c r="B91" s="374"/>
      <c r="C91" s="374"/>
    </row>
    <row r="92" spans="1:3" ht="15">
      <c r="A92"/>
      <c r="B92" s="374"/>
      <c r="C92" s="374"/>
    </row>
    <row r="93" spans="1:3" ht="15">
      <c r="A93"/>
      <c r="B93" s="374"/>
      <c r="C93" s="374"/>
    </row>
    <row r="94" spans="1:3" ht="15">
      <c r="A94"/>
      <c r="B94" s="374"/>
      <c r="C94" s="374"/>
    </row>
    <row r="95" spans="1:3" ht="15">
      <c r="A95"/>
      <c r="B95" s="374"/>
      <c r="C95" s="374"/>
    </row>
    <row r="96" spans="1:3" ht="15">
      <c r="A96"/>
      <c r="B96" s="374"/>
      <c r="C96" s="374"/>
    </row>
    <row r="97" spans="1:3" ht="15">
      <c r="A97"/>
      <c r="B97" s="374"/>
      <c r="C97" s="374"/>
    </row>
    <row r="98" spans="1:3" ht="15">
      <c r="A98"/>
      <c r="B98" s="374"/>
      <c r="C98" s="374"/>
    </row>
    <row r="99" spans="1:3" ht="15">
      <c r="A99"/>
      <c r="B99" s="374"/>
      <c r="C99" s="374"/>
    </row>
    <row r="100" spans="1:3" ht="15">
      <c r="A100"/>
      <c r="B100" s="374"/>
      <c r="C100" s="374"/>
    </row>
    <row r="101" spans="1:3" ht="15">
      <c r="A101"/>
      <c r="B101" s="374"/>
      <c r="C101" s="374"/>
    </row>
    <row r="102" spans="1:3" ht="15">
      <c r="A102"/>
      <c r="B102" s="374"/>
      <c r="C102" s="374"/>
    </row>
    <row r="103" spans="1:3" ht="15">
      <c r="A103"/>
      <c r="B103" s="374"/>
      <c r="C103" s="374"/>
    </row>
    <row r="104" spans="1:3" ht="15">
      <c r="A104"/>
      <c r="B104" s="374"/>
      <c r="C104" s="374"/>
    </row>
    <row r="105" spans="1:3" ht="15">
      <c r="A105"/>
      <c r="B105" s="374"/>
      <c r="C105" s="374"/>
    </row>
    <row r="106" spans="1:3" ht="15">
      <c r="A106"/>
      <c r="B106" s="374"/>
      <c r="C106" s="374"/>
    </row>
    <row r="107" spans="1:3" ht="15">
      <c r="A107"/>
      <c r="B107" s="374"/>
      <c r="C107" s="374"/>
    </row>
    <row r="108" spans="1:3" ht="15">
      <c r="A108"/>
      <c r="B108" s="374"/>
      <c r="C108" s="374"/>
    </row>
    <row r="109" spans="1:3" ht="15">
      <c r="A109"/>
      <c r="B109" s="374"/>
      <c r="C109" s="374"/>
    </row>
    <row r="110" spans="1:3" ht="15">
      <c r="A110"/>
      <c r="B110" s="374"/>
      <c r="C110" s="374"/>
    </row>
    <row r="111" spans="1:3" ht="15">
      <c r="A111"/>
      <c r="B111" s="374"/>
      <c r="C111" s="374"/>
    </row>
    <row r="112" spans="1:3" ht="15">
      <c r="A112"/>
      <c r="B112" s="374"/>
      <c r="C112" s="374"/>
    </row>
    <row r="113" spans="1:3" ht="15">
      <c r="A113"/>
      <c r="B113" s="374"/>
      <c r="C113" s="374"/>
    </row>
    <row r="114" spans="1:3" ht="15">
      <c r="A114"/>
      <c r="B114" s="374"/>
      <c r="C114" s="374"/>
    </row>
    <row r="115" spans="1:3" ht="15">
      <c r="A115"/>
      <c r="B115" s="374"/>
      <c r="C115" s="374"/>
    </row>
    <row r="116" spans="1:3" ht="15">
      <c r="A116"/>
      <c r="B116" s="374"/>
      <c r="C116" s="374"/>
    </row>
    <row r="117" spans="1:3" ht="15">
      <c r="A117"/>
      <c r="B117" s="374"/>
      <c r="C117" s="374"/>
    </row>
    <row r="118" spans="1:3" ht="15">
      <c r="A118"/>
      <c r="B118" s="374"/>
      <c r="C118" s="374"/>
    </row>
    <row r="119" spans="1:3" ht="15">
      <c r="A119"/>
      <c r="B119" s="374"/>
      <c r="C119" s="374"/>
    </row>
    <row r="120" spans="1:3" ht="15">
      <c r="A120"/>
      <c r="B120" s="374"/>
      <c r="C120" s="374"/>
    </row>
    <row r="121" spans="1:3" ht="15">
      <c r="A121"/>
      <c r="B121" s="374"/>
      <c r="C121" s="374"/>
    </row>
    <row r="122" spans="1:3" ht="15">
      <c r="A122"/>
      <c r="B122" s="374"/>
      <c r="C122" s="374"/>
    </row>
    <row r="123" spans="1:3" ht="15">
      <c r="A123"/>
      <c r="B123" s="374"/>
      <c r="C123" s="374"/>
    </row>
    <row r="124" spans="1:3" ht="15">
      <c r="A124"/>
      <c r="B124" s="374"/>
      <c r="C124" s="374"/>
    </row>
    <row r="125" spans="1:3" ht="15">
      <c r="A125"/>
      <c r="B125" s="374"/>
      <c r="C125" s="374"/>
    </row>
    <row r="126" spans="1:3" ht="15">
      <c r="A126"/>
      <c r="B126" s="374"/>
      <c r="C126" s="374"/>
    </row>
    <row r="127" spans="1:3" ht="15">
      <c r="A127"/>
      <c r="B127" s="374"/>
      <c r="C127" s="374"/>
    </row>
    <row r="128" spans="1:3" ht="15">
      <c r="A128"/>
      <c r="B128" s="374"/>
      <c r="C128" s="374"/>
    </row>
    <row r="129" spans="1:3" ht="15">
      <c r="A129"/>
      <c r="B129" s="374"/>
      <c r="C129" s="374"/>
    </row>
    <row r="130" spans="1:3" ht="15">
      <c r="A130"/>
      <c r="B130" s="374"/>
      <c r="C130" s="374"/>
    </row>
    <row r="131" spans="1:3" ht="15">
      <c r="A131"/>
      <c r="B131" s="374"/>
      <c r="C131" s="374"/>
    </row>
    <row r="132" spans="1:3" ht="15">
      <c r="A132"/>
      <c r="B132" s="374"/>
      <c r="C132" s="374"/>
    </row>
    <row r="133" spans="1:3" ht="15">
      <c r="A133"/>
      <c r="B133" s="374"/>
      <c r="C133" s="374"/>
    </row>
    <row r="134" spans="2:3" ht="15">
      <c r="B134" s="374"/>
      <c r="C134" s="374"/>
    </row>
    <row r="135" spans="2:3" ht="15">
      <c r="B135" s="374"/>
      <c r="C135" s="374"/>
    </row>
    <row r="136" spans="2:3" ht="15">
      <c r="B136" s="374"/>
      <c r="C136" s="374"/>
    </row>
    <row r="137" spans="2:3" ht="15">
      <c r="B137" s="374"/>
      <c r="C137" s="374"/>
    </row>
    <row r="138" spans="2:3" ht="15">
      <c r="B138" s="374"/>
      <c r="C138" s="374"/>
    </row>
    <row r="139" spans="2:3" ht="15">
      <c r="B139" s="374"/>
      <c r="C139" s="374"/>
    </row>
    <row r="140" spans="2:3" ht="15">
      <c r="B140" s="374"/>
      <c r="C140" s="374"/>
    </row>
    <row r="141" spans="2:3" ht="15">
      <c r="B141" s="374"/>
      <c r="C141" s="374"/>
    </row>
    <row r="142" spans="2:3" ht="15">
      <c r="B142" s="374"/>
      <c r="C142" s="374"/>
    </row>
    <row r="143" spans="2:3" ht="15">
      <c r="B143" s="374"/>
      <c r="C143" s="374"/>
    </row>
    <row r="144" spans="2:3" ht="15">
      <c r="B144" s="374"/>
      <c r="C144" s="374"/>
    </row>
    <row r="145" spans="2:3" ht="15">
      <c r="B145" s="374"/>
      <c r="C145" s="374"/>
    </row>
    <row r="146" spans="2:3" ht="15">
      <c r="B146" s="374"/>
      <c r="C146" s="374"/>
    </row>
    <row r="147" spans="2:3" ht="15">
      <c r="B147" s="374"/>
      <c r="C147" s="374"/>
    </row>
    <row r="148" spans="2:3" ht="15">
      <c r="B148" s="374"/>
      <c r="C148" s="374"/>
    </row>
    <row r="149" spans="2:3" ht="15">
      <c r="B149" s="374"/>
      <c r="C149" s="374"/>
    </row>
    <row r="150" spans="2:3" ht="15">
      <c r="B150" s="374"/>
      <c r="C150" s="374"/>
    </row>
    <row r="151" spans="2:3" ht="15">
      <c r="B151" s="374"/>
      <c r="C151" s="374"/>
    </row>
    <row r="152" spans="2:3" ht="15">
      <c r="B152" s="374"/>
      <c r="C152" s="374"/>
    </row>
    <row r="153" spans="2:3" ht="15">
      <c r="B153" s="374"/>
      <c r="C153" s="374"/>
    </row>
    <row r="154" spans="2:3" ht="15">
      <c r="B154" s="374"/>
      <c r="C154" s="374"/>
    </row>
    <row r="155" spans="2:3" ht="15">
      <c r="B155" s="374"/>
      <c r="C155" s="374"/>
    </row>
    <row r="156" spans="2:3" ht="15">
      <c r="B156" s="374"/>
      <c r="C156" s="374"/>
    </row>
    <row r="157" spans="2:3" ht="15">
      <c r="B157" s="374"/>
      <c r="C157" s="374"/>
    </row>
    <row r="158" spans="2:3" ht="15">
      <c r="B158" s="374"/>
      <c r="C158" s="374"/>
    </row>
    <row r="159" spans="2:3" ht="15">
      <c r="B159" s="374"/>
      <c r="C159" s="374"/>
    </row>
    <row r="160" spans="2:3" ht="15">
      <c r="B160" s="374"/>
      <c r="C160" s="374"/>
    </row>
    <row r="161" spans="2:3" ht="15">
      <c r="B161" s="374"/>
      <c r="C161" s="374"/>
    </row>
    <row r="162" spans="2:3" ht="15">
      <c r="B162" s="374"/>
      <c r="C162" s="374"/>
    </row>
    <row r="163" spans="2:3" ht="15">
      <c r="B163" s="374"/>
      <c r="C163" s="374"/>
    </row>
    <row r="164" spans="2:3" ht="15">
      <c r="B164" s="374"/>
      <c r="C164" s="374"/>
    </row>
    <row r="165" spans="2:3" ht="15">
      <c r="B165" s="374"/>
      <c r="C165" s="374"/>
    </row>
    <row r="166" spans="2:3" ht="15">
      <c r="B166" s="374"/>
      <c r="C166" s="374"/>
    </row>
    <row r="167" spans="2:3" ht="15">
      <c r="B167" s="374"/>
      <c r="C167" s="374"/>
    </row>
    <row r="168" spans="2:3" ht="15">
      <c r="B168" s="374"/>
      <c r="C168" s="374"/>
    </row>
    <row r="169" spans="2:3" ht="15">
      <c r="B169" s="374"/>
      <c r="C169" s="374"/>
    </row>
    <row r="170" spans="2:3" ht="15">
      <c r="B170" s="374"/>
      <c r="C170" s="374"/>
    </row>
    <row r="171" spans="2:3" ht="15">
      <c r="B171" s="374"/>
      <c r="C171" s="374"/>
    </row>
    <row r="172" spans="2:3" ht="15">
      <c r="B172" s="374"/>
      <c r="C172" s="374"/>
    </row>
    <row r="173" spans="2:3" ht="15">
      <c r="B173" s="374"/>
      <c r="C173" s="374"/>
    </row>
    <row r="174" spans="2:3" ht="15">
      <c r="B174" s="374"/>
      <c r="C174" s="374"/>
    </row>
    <row r="175" spans="2:3" ht="15">
      <c r="B175" s="374"/>
      <c r="C175" s="374"/>
    </row>
    <row r="176" spans="2:3" ht="15">
      <c r="B176" s="374"/>
      <c r="C176" s="374"/>
    </row>
    <row r="177" spans="2:3" ht="15">
      <c r="B177" s="374"/>
      <c r="C177" s="374"/>
    </row>
    <row r="178" spans="2:3" ht="15">
      <c r="B178" s="374"/>
      <c r="C178" s="374"/>
    </row>
    <row r="179" spans="2:3" ht="15">
      <c r="B179" s="374"/>
      <c r="C179" s="374"/>
    </row>
    <row r="180" spans="2:3" ht="15">
      <c r="B180" s="374"/>
      <c r="C180" s="374"/>
    </row>
    <row r="181" spans="2:3" ht="15">
      <c r="B181" s="374"/>
      <c r="C181" s="374"/>
    </row>
    <row r="182" spans="2:3" ht="15">
      <c r="B182" s="374"/>
      <c r="C182" s="374"/>
    </row>
    <row r="183" spans="2:3" ht="15">
      <c r="B183" s="374"/>
      <c r="C183" s="374"/>
    </row>
    <row r="184" spans="2:3" ht="15">
      <c r="B184" s="374"/>
      <c r="C184" s="374"/>
    </row>
    <row r="185" spans="2:3" ht="15">
      <c r="B185" s="374"/>
      <c r="C185" s="374"/>
    </row>
    <row r="186" spans="2:3" ht="15">
      <c r="B186" s="374"/>
      <c r="C186" s="374"/>
    </row>
    <row r="187" spans="2:3" ht="15">
      <c r="B187" s="374"/>
      <c r="C187" s="374"/>
    </row>
    <row r="188" spans="2:3" ht="15">
      <c r="B188" s="374"/>
      <c r="C188" s="374"/>
    </row>
    <row r="189" spans="2:3" ht="15">
      <c r="B189" s="374"/>
      <c r="C189" s="374"/>
    </row>
    <row r="190" spans="2:3" ht="15">
      <c r="B190" s="374"/>
      <c r="C190" s="374"/>
    </row>
    <row r="191" spans="2:3" ht="15">
      <c r="B191" s="374"/>
      <c r="C191" s="374"/>
    </row>
    <row r="192" spans="2:3" ht="15">
      <c r="B192" s="374"/>
      <c r="C192" s="374"/>
    </row>
    <row r="193" spans="2:3" ht="15">
      <c r="B193" s="374"/>
      <c r="C193" s="374"/>
    </row>
    <row r="194" spans="2:3" ht="15">
      <c r="B194" s="374"/>
      <c r="C194" s="374"/>
    </row>
    <row r="195" spans="2:3" ht="15">
      <c r="B195" s="374"/>
      <c r="C195" s="374"/>
    </row>
    <row r="196" spans="2:3" ht="15">
      <c r="B196" s="374"/>
      <c r="C196" s="374"/>
    </row>
    <row r="197" spans="2:3" ht="15">
      <c r="B197" s="374"/>
      <c r="C197" s="374"/>
    </row>
    <row r="198" spans="2:3" ht="15">
      <c r="B198" s="374"/>
      <c r="C198" s="374"/>
    </row>
    <row r="199" spans="2:3" ht="15">
      <c r="B199" s="374"/>
      <c r="C199" s="374"/>
    </row>
    <row r="200" spans="2:3" ht="15">
      <c r="B200" s="374"/>
      <c r="C200" s="374"/>
    </row>
    <row r="201" spans="2:3" ht="15">
      <c r="B201" s="374"/>
      <c r="C201" s="374"/>
    </row>
    <row r="202" spans="2:3" ht="15">
      <c r="B202" s="374"/>
      <c r="C202" s="374"/>
    </row>
    <row r="203" spans="2:3" ht="15">
      <c r="B203" s="374"/>
      <c r="C203" s="374"/>
    </row>
    <row r="204" spans="2:3" ht="15">
      <c r="B204" s="374"/>
      <c r="C204" s="374"/>
    </row>
    <row r="205" spans="2:3" ht="15">
      <c r="B205" s="374"/>
      <c r="C205" s="374"/>
    </row>
    <row r="206" spans="2:3" ht="15">
      <c r="B206" s="374"/>
      <c r="C206" s="374"/>
    </row>
    <row r="207" spans="2:3" ht="15">
      <c r="B207" s="374"/>
      <c r="C207" s="374"/>
    </row>
    <row r="208" spans="2:3" ht="15">
      <c r="B208" s="374"/>
      <c r="C208" s="374"/>
    </row>
    <row r="209" spans="2:3" ht="15">
      <c r="B209" s="374"/>
      <c r="C209" s="374"/>
    </row>
    <row r="210" spans="2:3" ht="15">
      <c r="B210" s="374"/>
      <c r="C210" s="374"/>
    </row>
    <row r="211" spans="2:3" ht="15">
      <c r="B211" s="374"/>
      <c r="C211" s="374"/>
    </row>
    <row r="212" spans="2:3" ht="15">
      <c r="B212" s="374"/>
      <c r="C212" s="374"/>
    </row>
    <row r="213" spans="2:3" ht="15">
      <c r="B213" s="374"/>
      <c r="C213" s="374"/>
    </row>
    <row r="214" spans="2:3" ht="15">
      <c r="B214" s="374"/>
      <c r="C214" s="374"/>
    </row>
    <row r="215" spans="2:3" ht="15">
      <c r="B215" s="374"/>
      <c r="C215" s="374"/>
    </row>
    <row r="216" spans="2:3" ht="15">
      <c r="B216" s="374"/>
      <c r="C216" s="374"/>
    </row>
    <row r="217" spans="2:3" ht="15">
      <c r="B217" s="374"/>
      <c r="C217" s="374"/>
    </row>
    <row r="218" spans="2:3" ht="15">
      <c r="B218" s="374"/>
      <c r="C218" s="374"/>
    </row>
    <row r="219" spans="2:3" ht="15">
      <c r="B219" s="374"/>
      <c r="C219" s="374"/>
    </row>
    <row r="220" spans="2:3" ht="15">
      <c r="B220" s="374"/>
      <c r="C220" s="374"/>
    </row>
    <row r="221" spans="2:3" ht="15">
      <c r="B221" s="374"/>
      <c r="C221" s="374"/>
    </row>
    <row r="222" spans="2:3" ht="15">
      <c r="B222" s="374"/>
      <c r="C222" s="374"/>
    </row>
    <row r="223" spans="2:3" ht="15">
      <c r="B223" s="374"/>
      <c r="C223" s="374"/>
    </row>
    <row r="224" spans="2:3" ht="15">
      <c r="B224" s="374"/>
      <c r="C224" s="374"/>
    </row>
    <row r="225" spans="2:3" ht="15">
      <c r="B225" s="374"/>
      <c r="C225" s="374"/>
    </row>
    <row r="226" spans="2:3" ht="15">
      <c r="B226" s="374"/>
      <c r="C226" s="374"/>
    </row>
    <row r="227" spans="2:3" ht="15">
      <c r="B227" s="374"/>
      <c r="C227" s="374"/>
    </row>
    <row r="228" spans="2:3" ht="15">
      <c r="B228" s="374"/>
      <c r="C228" s="374"/>
    </row>
    <row r="229" spans="2:3" ht="15">
      <c r="B229" s="374"/>
      <c r="C229" s="374"/>
    </row>
    <row r="230" spans="2:3" ht="15">
      <c r="B230" s="374"/>
      <c r="C230" s="374"/>
    </row>
    <row r="231" spans="2:3" ht="15">
      <c r="B231" s="374"/>
      <c r="C231" s="374"/>
    </row>
    <row r="232" spans="2:3" ht="15">
      <c r="B232" s="374"/>
      <c r="C232" s="374"/>
    </row>
    <row r="233" spans="2:3" ht="15">
      <c r="B233" s="374"/>
      <c r="C233" s="374"/>
    </row>
    <row r="234" spans="2:3" ht="15">
      <c r="B234" s="374"/>
      <c r="C234" s="374"/>
    </row>
    <row r="235" spans="2:3" ht="15">
      <c r="B235" s="374"/>
      <c r="C235" s="374"/>
    </row>
    <row r="236" spans="2:3" ht="15">
      <c r="B236" s="374"/>
      <c r="C236" s="374"/>
    </row>
    <row r="237" spans="2:3" ht="15">
      <c r="B237" s="374"/>
      <c r="C237" s="374"/>
    </row>
    <row r="238" spans="2:3" ht="15">
      <c r="B238" s="374"/>
      <c r="C238" s="374"/>
    </row>
    <row r="239" spans="2:3" ht="15">
      <c r="B239" s="374"/>
      <c r="C239" s="374"/>
    </row>
    <row r="240" spans="2:3" ht="15">
      <c r="B240" s="374"/>
      <c r="C240" s="374"/>
    </row>
    <row r="241" spans="2:3" ht="15">
      <c r="B241" s="374"/>
      <c r="C241" s="374"/>
    </row>
    <row r="242" spans="2:3" ht="15">
      <c r="B242" s="374"/>
      <c r="C242" s="374"/>
    </row>
    <row r="243" spans="2:3" ht="15">
      <c r="B243" s="374"/>
      <c r="C243" s="374"/>
    </row>
    <row r="244" spans="2:3" ht="15">
      <c r="B244" s="374"/>
      <c r="C244" s="374"/>
    </row>
    <row r="245" spans="2:3" ht="15">
      <c r="B245" s="374"/>
      <c r="C245" s="374"/>
    </row>
    <row r="246" spans="2:3" ht="15">
      <c r="B246" s="374"/>
      <c r="C246" s="374"/>
    </row>
    <row r="247" spans="2:3" ht="15">
      <c r="B247" s="374"/>
      <c r="C247" s="374"/>
    </row>
    <row r="248" spans="2:3" ht="15">
      <c r="B248" s="374"/>
      <c r="C248" s="374"/>
    </row>
    <row r="249" spans="2:3" ht="15">
      <c r="B249" s="374"/>
      <c r="C249" s="374"/>
    </row>
    <row r="250" spans="2:3" ht="15">
      <c r="B250" s="374"/>
      <c r="C250" s="374"/>
    </row>
    <row r="251" spans="2:3" ht="15">
      <c r="B251" s="374"/>
      <c r="C251" s="374"/>
    </row>
    <row r="252" spans="2:3" ht="15">
      <c r="B252" s="374"/>
      <c r="C252" s="374"/>
    </row>
    <row r="253" spans="2:3" ht="15">
      <c r="B253" s="374"/>
      <c r="C253" s="374"/>
    </row>
    <row r="254" spans="2:3" ht="15">
      <c r="B254" s="374"/>
      <c r="C254" s="374"/>
    </row>
    <row r="255" spans="2:3" ht="15">
      <c r="B255" s="374"/>
      <c r="C255" s="374"/>
    </row>
    <row r="256" spans="2:3" ht="15">
      <c r="B256" s="374"/>
      <c r="C256" s="374"/>
    </row>
    <row r="257" spans="2:3" ht="15">
      <c r="B257" s="374"/>
      <c r="C257" s="374"/>
    </row>
    <row r="258" spans="2:3" ht="15">
      <c r="B258" s="374"/>
      <c r="C258" s="374"/>
    </row>
    <row r="259" spans="2:3" ht="15">
      <c r="B259" s="374"/>
      <c r="C259" s="374"/>
    </row>
    <row r="260" spans="2:3" ht="15">
      <c r="B260" s="374"/>
      <c r="C260" s="374"/>
    </row>
    <row r="261" spans="2:3" ht="15">
      <c r="B261" s="374"/>
      <c r="C261" s="374"/>
    </row>
    <row r="262" spans="2:3" ht="15">
      <c r="B262" s="374"/>
      <c r="C262" s="374"/>
    </row>
    <row r="263" spans="2:3" ht="15">
      <c r="B263" s="374"/>
      <c r="C263" s="374"/>
    </row>
    <row r="264" spans="2:3" ht="15">
      <c r="B264" s="374"/>
      <c r="C264" s="374"/>
    </row>
    <row r="265" spans="2:3" ht="15">
      <c r="B265" s="374"/>
      <c r="C265" s="374"/>
    </row>
    <row r="266" spans="2:3" ht="15">
      <c r="B266" s="374"/>
      <c r="C266" s="374"/>
    </row>
    <row r="267" spans="2:3" ht="15">
      <c r="B267" s="374"/>
      <c r="C267" s="374"/>
    </row>
    <row r="268" spans="2:3" ht="15">
      <c r="B268" s="374"/>
      <c r="C268" s="374"/>
    </row>
    <row r="269" spans="2:3" ht="15">
      <c r="B269" s="374"/>
      <c r="C269" s="374"/>
    </row>
    <row r="270" spans="2:3" ht="15">
      <c r="B270" s="374"/>
      <c r="C270" s="374"/>
    </row>
    <row r="271" spans="2:3" ht="15">
      <c r="B271" s="374"/>
      <c r="C271" s="374"/>
    </row>
    <row r="272" spans="2:3" ht="15">
      <c r="B272" s="374"/>
      <c r="C272" s="374"/>
    </row>
    <row r="273" spans="2:3" ht="15">
      <c r="B273" s="374"/>
      <c r="C273" s="374"/>
    </row>
    <row r="274" spans="2:3" ht="15">
      <c r="B274" s="374"/>
      <c r="C274" s="374"/>
    </row>
    <row r="275" spans="2:3" ht="15">
      <c r="B275" s="374"/>
      <c r="C275" s="374"/>
    </row>
    <row r="276" spans="2:3" ht="15">
      <c r="B276" s="374"/>
      <c r="C276" s="374"/>
    </row>
    <row r="277" spans="2:3" ht="15">
      <c r="B277" s="374"/>
      <c r="C277" s="374"/>
    </row>
    <row r="278" spans="2:3" ht="15">
      <c r="B278" s="374"/>
      <c r="C278" s="374"/>
    </row>
    <row r="279" spans="2:3" ht="15">
      <c r="B279" s="374"/>
      <c r="C279" s="374"/>
    </row>
    <row r="280" spans="2:3" ht="15">
      <c r="B280" s="374"/>
      <c r="C280" s="374"/>
    </row>
    <row r="281" spans="2:3" ht="15">
      <c r="B281" s="374"/>
      <c r="C281" s="374"/>
    </row>
    <row r="282" spans="2:3" ht="15">
      <c r="B282" s="374"/>
      <c r="C282" s="374"/>
    </row>
    <row r="283" spans="2:3" ht="15">
      <c r="B283" s="374"/>
      <c r="C283" s="374"/>
    </row>
    <row r="284" spans="2:3" ht="15">
      <c r="B284" s="374"/>
      <c r="C284" s="374"/>
    </row>
    <row r="285" spans="2:3" ht="15">
      <c r="B285" s="374"/>
      <c r="C285" s="374"/>
    </row>
    <row r="286" spans="2:3" ht="15">
      <c r="B286" s="374"/>
      <c r="C286" s="374"/>
    </row>
    <row r="287" spans="2:3" ht="15">
      <c r="B287" s="374"/>
      <c r="C287" s="374"/>
    </row>
    <row r="288" spans="2:3" ht="15">
      <c r="B288" s="374"/>
      <c r="C288" s="374"/>
    </row>
    <row r="289" spans="2:3" ht="15">
      <c r="B289" s="374"/>
      <c r="C289" s="374"/>
    </row>
    <row r="290" spans="2:3" ht="15">
      <c r="B290" s="374"/>
      <c r="C290" s="374"/>
    </row>
    <row r="291" spans="2:3" ht="15">
      <c r="B291" s="374"/>
      <c r="C291" s="374"/>
    </row>
    <row r="292" spans="2:3" ht="15">
      <c r="B292" s="374"/>
      <c r="C292" s="374"/>
    </row>
    <row r="293" spans="2:3" ht="15">
      <c r="B293" s="374"/>
      <c r="C293" s="374"/>
    </row>
    <row r="294" spans="2:3" ht="15">
      <c r="B294" s="374"/>
      <c r="C294" s="374"/>
    </row>
    <row r="295" spans="2:3" ht="15">
      <c r="B295" s="374"/>
      <c r="C295" s="374"/>
    </row>
    <row r="296" spans="2:3" ht="15">
      <c r="B296" s="374"/>
      <c r="C296" s="374"/>
    </row>
    <row r="297" spans="2:3" ht="15">
      <c r="B297" s="374"/>
      <c r="C297" s="374"/>
    </row>
    <row r="298" spans="2:3" ht="15">
      <c r="B298" s="374"/>
      <c r="C298" s="374"/>
    </row>
    <row r="299" spans="2:3" ht="15">
      <c r="B299" s="374"/>
      <c r="C299" s="374"/>
    </row>
    <row r="300" spans="2:3" ht="15">
      <c r="B300" s="374"/>
      <c r="C300" s="374"/>
    </row>
    <row r="301" spans="2:3" ht="15">
      <c r="B301" s="374"/>
      <c r="C301" s="374"/>
    </row>
    <row r="302" spans="2:3" ht="15">
      <c r="B302" s="374"/>
      <c r="C302" s="374"/>
    </row>
    <row r="303" spans="2:3" ht="15">
      <c r="B303" s="374"/>
      <c r="C303" s="374"/>
    </row>
    <row r="304" spans="2:3" ht="15">
      <c r="B304" s="374"/>
      <c r="C304" s="374"/>
    </row>
    <row r="305" spans="2:3" ht="15">
      <c r="B305" s="374"/>
      <c r="C305" s="374"/>
    </row>
    <row r="306" spans="2:3" ht="15">
      <c r="B306" s="374"/>
      <c r="C306" s="374"/>
    </row>
    <row r="307" spans="2:3" ht="15">
      <c r="B307" s="374"/>
      <c r="C307" s="374"/>
    </row>
    <row r="308" spans="2:3" ht="15">
      <c r="B308" s="374"/>
      <c r="C308" s="374"/>
    </row>
    <row r="309" spans="2:3" ht="15">
      <c r="B309" s="374"/>
      <c r="C309" s="374"/>
    </row>
    <row r="310" spans="2:3" ht="15">
      <c r="B310" s="374"/>
      <c r="C310" s="374"/>
    </row>
    <row r="311" spans="2:3" ht="15">
      <c r="B311" s="374"/>
      <c r="C311" s="374"/>
    </row>
    <row r="312" spans="2:3" ht="15">
      <c r="B312" s="374"/>
      <c r="C312" s="374"/>
    </row>
    <row r="313" spans="2:3" ht="15">
      <c r="B313" s="374"/>
      <c r="C313" s="374"/>
    </row>
    <row r="314" spans="2:3" ht="15">
      <c r="B314" s="374"/>
      <c r="C314" s="374"/>
    </row>
    <row r="315" spans="2:3" ht="15">
      <c r="B315" s="374"/>
      <c r="C315" s="374"/>
    </row>
    <row r="316" spans="2:3" ht="15">
      <c r="B316" s="374"/>
      <c r="C316" s="374"/>
    </row>
    <row r="317" spans="2:3" ht="15">
      <c r="B317" s="374"/>
      <c r="C317" s="374"/>
    </row>
    <row r="318" spans="2:3" ht="15">
      <c r="B318" s="374"/>
      <c r="C318" s="374"/>
    </row>
    <row r="319" spans="2:3" ht="15">
      <c r="B319" s="374"/>
      <c r="C319" s="374"/>
    </row>
    <row r="320" spans="2:3" ht="15">
      <c r="B320" s="374"/>
      <c r="C320" s="374"/>
    </row>
    <row r="321" spans="2:3" ht="15">
      <c r="B321" s="374"/>
      <c r="C321" s="374"/>
    </row>
    <row r="322" spans="2:3" ht="15">
      <c r="B322" s="374"/>
      <c r="C322" s="374"/>
    </row>
    <row r="323" spans="2:3" ht="15">
      <c r="B323" s="374"/>
      <c r="C323" s="374"/>
    </row>
    <row r="324" spans="2:3" ht="15">
      <c r="B324" s="374"/>
      <c r="C324" s="374"/>
    </row>
    <row r="325" spans="2:3" ht="15">
      <c r="B325" s="374"/>
      <c r="C325" s="374"/>
    </row>
    <row r="326" spans="2:3" ht="15">
      <c r="B326" s="374"/>
      <c r="C326" s="374"/>
    </row>
    <row r="327" spans="2:3" ht="15">
      <c r="B327" s="374"/>
      <c r="C327" s="374"/>
    </row>
    <row r="328" spans="2:3" ht="15">
      <c r="B328" s="374"/>
      <c r="C328" s="374"/>
    </row>
    <row r="329" spans="2:3" ht="15">
      <c r="B329" s="374"/>
      <c r="C329" s="374"/>
    </row>
    <row r="330" spans="2:3" ht="15">
      <c r="B330" s="374"/>
      <c r="C330" s="374"/>
    </row>
    <row r="331" spans="2:3" ht="15">
      <c r="B331" s="374"/>
      <c r="C331" s="374"/>
    </row>
    <row r="332" spans="2:3" ht="15">
      <c r="B332" s="374"/>
      <c r="C332" s="374"/>
    </row>
    <row r="333" spans="2:3" ht="15">
      <c r="B333" s="374"/>
      <c r="C333" s="374"/>
    </row>
    <row r="334" spans="2:3" ht="15">
      <c r="B334" s="374"/>
      <c r="C334" s="374"/>
    </row>
    <row r="335" spans="2:3" ht="15">
      <c r="B335" s="374"/>
      <c r="C335" s="374"/>
    </row>
    <row r="336" spans="2:3" ht="15">
      <c r="B336" s="374"/>
      <c r="C336" s="374"/>
    </row>
    <row r="337" spans="2:3" ht="15">
      <c r="B337" s="374"/>
      <c r="C337" s="374"/>
    </row>
    <row r="338" spans="2:3" ht="15">
      <c r="B338" s="374"/>
      <c r="C338" s="374"/>
    </row>
    <row r="339" spans="2:3" ht="15">
      <c r="B339" s="374"/>
      <c r="C339" s="374"/>
    </row>
    <row r="340" spans="2:3" ht="15">
      <c r="B340" s="374"/>
      <c r="C340" s="374"/>
    </row>
    <row r="341" spans="2:3" ht="15">
      <c r="B341" s="374"/>
      <c r="C341" s="374"/>
    </row>
    <row r="342" spans="2:3" ht="15">
      <c r="B342" s="374"/>
      <c r="C342" s="374"/>
    </row>
    <row r="343" spans="2:3" ht="15">
      <c r="B343" s="374"/>
      <c r="C343" s="374"/>
    </row>
    <row r="344" spans="2:3" ht="15">
      <c r="B344" s="374"/>
      <c r="C344" s="374"/>
    </row>
    <row r="345" spans="2:3" ht="15">
      <c r="B345" s="374"/>
      <c r="C345" s="374"/>
    </row>
    <row r="346" spans="2:3" ht="15">
      <c r="B346" s="374"/>
      <c r="C346" s="374"/>
    </row>
    <row r="347" spans="2:3" ht="15">
      <c r="B347" s="374"/>
      <c r="C347" s="374"/>
    </row>
    <row r="348" spans="2:3" ht="15">
      <c r="B348" s="374"/>
      <c r="C348" s="374"/>
    </row>
    <row r="349" spans="2:3" ht="15">
      <c r="B349" s="374"/>
      <c r="C349" s="374"/>
    </row>
    <row r="350" spans="2:3" ht="15">
      <c r="B350" s="374"/>
      <c r="C350" s="374"/>
    </row>
    <row r="351" spans="2:3" ht="15">
      <c r="B351" s="374"/>
      <c r="C351" s="374"/>
    </row>
    <row r="352" spans="2:3" ht="15">
      <c r="B352" s="374"/>
      <c r="C352" s="374"/>
    </row>
    <row r="353" spans="2:3" ht="15">
      <c r="B353" s="374"/>
      <c r="C353" s="374"/>
    </row>
    <row r="354" spans="2:3" ht="15">
      <c r="B354" s="374"/>
      <c r="C354" s="374"/>
    </row>
    <row r="355" spans="2:3" ht="15">
      <c r="B355" s="374"/>
      <c r="C355" s="374"/>
    </row>
    <row r="356" spans="2:3" ht="15">
      <c r="B356" s="374"/>
      <c r="C356" s="374"/>
    </row>
    <row r="357" spans="2:3" ht="15">
      <c r="B357" s="374"/>
      <c r="C357" s="374"/>
    </row>
    <row r="358" spans="2:3" ht="15">
      <c r="B358" s="374"/>
      <c r="C358" s="374"/>
    </row>
    <row r="359" spans="2:3" ht="15">
      <c r="B359" s="374"/>
      <c r="C359" s="374"/>
    </row>
    <row r="360" spans="2:3" ht="15">
      <c r="B360" s="374"/>
      <c r="C360" s="374"/>
    </row>
    <row r="361" spans="2:3" ht="15">
      <c r="B361" s="374"/>
      <c r="C361" s="374"/>
    </row>
    <row r="362" spans="2:3" ht="15">
      <c r="B362" s="374"/>
      <c r="C362" s="374"/>
    </row>
    <row r="363" spans="2:3" ht="15">
      <c r="B363" s="374"/>
      <c r="C363" s="374"/>
    </row>
    <row r="364" spans="2:3" ht="15">
      <c r="B364" s="374"/>
      <c r="C364" s="374"/>
    </row>
    <row r="365" spans="2:3" ht="15">
      <c r="B365" s="374"/>
      <c r="C365" s="374"/>
    </row>
    <row r="366" spans="2:3" ht="15">
      <c r="B366" s="374"/>
      <c r="C366" s="374"/>
    </row>
    <row r="367" spans="2:3" ht="15">
      <c r="B367" s="374"/>
      <c r="C367" s="374"/>
    </row>
    <row r="368" spans="2:3" ht="15">
      <c r="B368" s="374"/>
      <c r="C368" s="374"/>
    </row>
    <row r="369" spans="2:3" ht="15">
      <c r="B369" s="374"/>
      <c r="C369" s="374"/>
    </row>
    <row r="370" spans="2:3" ht="15">
      <c r="B370" s="374"/>
      <c r="C370" s="374"/>
    </row>
    <row r="371" spans="2:3" ht="15">
      <c r="B371" s="374"/>
      <c r="C371" s="374"/>
    </row>
    <row r="372" spans="2:3" ht="15">
      <c r="B372" s="374"/>
      <c r="C372" s="374"/>
    </row>
    <row r="373" spans="2:3" ht="15">
      <c r="B373" s="374"/>
      <c r="C373" s="374"/>
    </row>
    <row r="374" spans="2:3" ht="15">
      <c r="B374" s="374"/>
      <c r="C374" s="374"/>
    </row>
    <row r="375" spans="2:3" ht="15">
      <c r="B375" s="374"/>
      <c r="C375" s="374"/>
    </row>
    <row r="376" spans="2:3" ht="15">
      <c r="B376" s="374"/>
      <c r="C376" s="374"/>
    </row>
    <row r="377" spans="2:3" ht="15">
      <c r="B377" s="374"/>
      <c r="C377" s="374"/>
    </row>
    <row r="378" spans="2:3" ht="15">
      <c r="B378" s="374"/>
      <c r="C378" s="374"/>
    </row>
    <row r="379" spans="2:3" ht="15">
      <c r="B379" s="374"/>
      <c r="C379" s="374"/>
    </row>
    <row r="380" spans="2:3" ht="15">
      <c r="B380" s="374"/>
      <c r="C380" s="374"/>
    </row>
    <row r="381" spans="2:3" ht="15">
      <c r="B381" s="374"/>
      <c r="C381" s="374"/>
    </row>
    <row r="382" spans="2:3" ht="15">
      <c r="B382" s="374"/>
      <c r="C382" s="374"/>
    </row>
    <row r="383" spans="2:3" ht="15">
      <c r="B383" s="374"/>
      <c r="C383" s="374"/>
    </row>
    <row r="384" spans="2:3" ht="15">
      <c r="B384" s="374"/>
      <c r="C384" s="374"/>
    </row>
    <row r="385" spans="2:3" ht="15">
      <c r="B385" s="374"/>
      <c r="C385" s="374"/>
    </row>
    <row r="386" spans="2:3" ht="15">
      <c r="B386" s="374"/>
      <c r="C386" s="374"/>
    </row>
    <row r="387" spans="2:3" ht="15">
      <c r="B387" s="374"/>
      <c r="C387" s="374"/>
    </row>
    <row r="388" spans="2:3" ht="15">
      <c r="B388" s="374"/>
      <c r="C388" s="374"/>
    </row>
    <row r="389" spans="2:3" ht="15">
      <c r="B389" s="374"/>
      <c r="C389" s="374"/>
    </row>
    <row r="390" spans="2:3" ht="15">
      <c r="B390" s="374"/>
      <c r="C390" s="374"/>
    </row>
    <row r="391" spans="2:3" ht="15">
      <c r="B391" s="374"/>
      <c r="C391" s="374"/>
    </row>
    <row r="392" spans="2:3" ht="15">
      <c r="B392" s="374"/>
      <c r="C392" s="374"/>
    </row>
    <row r="393" spans="2:3" ht="15">
      <c r="B393" s="374"/>
      <c r="C393" s="374"/>
    </row>
    <row r="394" spans="2:3" ht="15">
      <c r="B394" s="374"/>
      <c r="C394" s="374"/>
    </row>
    <row r="395" spans="2:3" ht="15">
      <c r="B395" s="374"/>
      <c r="C395" s="374"/>
    </row>
    <row r="396" spans="2:3" ht="15">
      <c r="B396" s="374"/>
      <c r="C396" s="374"/>
    </row>
    <row r="397" spans="2:3" ht="15">
      <c r="B397" s="374"/>
      <c r="C397" s="374"/>
    </row>
    <row r="398" spans="2:3" ht="15">
      <c r="B398" s="374"/>
      <c r="C398" s="374"/>
    </row>
    <row r="399" spans="2:3" ht="15">
      <c r="B399" s="374"/>
      <c r="C399" s="374"/>
    </row>
    <row r="400" spans="2:3" ht="15">
      <c r="B400" s="374"/>
      <c r="C400" s="374"/>
    </row>
    <row r="401" spans="2:3" ht="15">
      <c r="B401" s="374"/>
      <c r="C401" s="374"/>
    </row>
    <row r="402" spans="2:3" ht="15">
      <c r="B402" s="374"/>
      <c r="C402" s="374"/>
    </row>
    <row r="403" spans="2:3" ht="15">
      <c r="B403" s="374"/>
      <c r="C403" s="374"/>
    </row>
    <row r="404" spans="2:3" ht="15">
      <c r="B404" s="374"/>
      <c r="C404" s="374"/>
    </row>
    <row r="405" spans="2:3" ht="15">
      <c r="B405" s="374"/>
      <c r="C405" s="374"/>
    </row>
    <row r="406" spans="2:3" ht="15">
      <c r="B406" s="374"/>
      <c r="C406" s="374"/>
    </row>
    <row r="407" spans="2:3" ht="15">
      <c r="B407" s="374"/>
      <c r="C407" s="374"/>
    </row>
    <row r="408" spans="2:3" ht="15">
      <c r="B408" s="374"/>
      <c r="C408" s="374"/>
    </row>
    <row r="409" spans="2:3" ht="15">
      <c r="B409" s="374"/>
      <c r="C409" s="374"/>
    </row>
    <row r="410" spans="2:3" ht="15">
      <c r="B410" s="374"/>
      <c r="C410" s="374"/>
    </row>
    <row r="411" spans="2:3" ht="15">
      <c r="B411" s="374"/>
      <c r="C411" s="374"/>
    </row>
    <row r="412" spans="2:3" ht="15">
      <c r="B412" s="374"/>
      <c r="C412" s="374"/>
    </row>
    <row r="413" spans="2:3" ht="15">
      <c r="B413" s="374"/>
      <c r="C413" s="374"/>
    </row>
    <row r="414" spans="2:3" ht="15">
      <c r="B414" s="374"/>
      <c r="C414" s="374"/>
    </row>
    <row r="415" spans="2:3" ht="15">
      <c r="B415" s="374"/>
      <c r="C415" s="374"/>
    </row>
    <row r="416" spans="2:3" ht="15">
      <c r="B416" s="374"/>
      <c r="C416" s="374"/>
    </row>
    <row r="417" spans="2:3" ht="15">
      <c r="B417" s="374"/>
      <c r="C417" s="374"/>
    </row>
    <row r="418" spans="2:3" ht="15">
      <c r="B418" s="374"/>
      <c r="C418" s="374"/>
    </row>
    <row r="419" spans="2:3" ht="15">
      <c r="B419" s="374"/>
      <c r="C419" s="374"/>
    </row>
    <row r="420" spans="2:3" ht="15">
      <c r="B420" s="374"/>
      <c r="C420" s="374"/>
    </row>
    <row r="421" spans="2:3" ht="15">
      <c r="B421" s="374"/>
      <c r="C421" s="374"/>
    </row>
    <row r="422" spans="2:3" ht="15">
      <c r="B422" s="374"/>
      <c r="C422" s="374"/>
    </row>
    <row r="423" spans="2:3" ht="15">
      <c r="B423" s="374"/>
      <c r="C423" s="374"/>
    </row>
    <row r="424" spans="2:3" ht="15">
      <c r="B424" s="374"/>
      <c r="C424" s="374"/>
    </row>
    <row r="425" spans="2:3" ht="15">
      <c r="B425" s="374"/>
      <c r="C425" s="374"/>
    </row>
    <row r="426" spans="2:3" ht="15">
      <c r="B426" s="374"/>
      <c r="C426" s="374"/>
    </row>
    <row r="427" spans="2:3" ht="15">
      <c r="B427" s="374"/>
      <c r="C427" s="374"/>
    </row>
    <row r="428" spans="2:3" ht="15">
      <c r="B428" s="374"/>
      <c r="C428" s="374"/>
    </row>
    <row r="429" spans="2:3" ht="15">
      <c r="B429" s="374"/>
      <c r="C429" s="374"/>
    </row>
    <row r="430" spans="2:3" ht="15">
      <c r="B430" s="374"/>
      <c r="C430" s="374"/>
    </row>
    <row r="431" spans="2:3" ht="15">
      <c r="B431" s="374"/>
      <c r="C431" s="374"/>
    </row>
    <row r="432" spans="2:3" ht="15">
      <c r="B432" s="374"/>
      <c r="C432" s="374"/>
    </row>
    <row r="433" spans="2:3" ht="15">
      <c r="B433" s="374"/>
      <c r="C433" s="374"/>
    </row>
    <row r="434" spans="2:3" ht="15">
      <c r="B434" s="374"/>
      <c r="C434" s="374"/>
    </row>
    <row r="435" spans="2:3" ht="15">
      <c r="B435" s="374"/>
      <c r="C435" s="374"/>
    </row>
    <row r="436" spans="2:3" ht="15">
      <c r="B436" s="374"/>
      <c r="C436" s="374"/>
    </row>
    <row r="437" spans="2:3" ht="15">
      <c r="B437" s="374"/>
      <c r="C437" s="374"/>
    </row>
    <row r="438" spans="2:3" ht="15">
      <c r="B438" s="374"/>
      <c r="C438" s="374"/>
    </row>
    <row r="439" spans="2:3" ht="15">
      <c r="B439" s="374"/>
      <c r="C439" s="374"/>
    </row>
    <row r="440" spans="2:3" ht="15">
      <c r="B440" s="374"/>
      <c r="C440" s="374"/>
    </row>
    <row r="441" spans="2:3" ht="15">
      <c r="B441" s="374"/>
      <c r="C441" s="374"/>
    </row>
    <row r="442" spans="2:3" ht="15">
      <c r="B442" s="374"/>
      <c r="C442" s="374"/>
    </row>
    <row r="443" spans="2:3" ht="15">
      <c r="B443" s="374"/>
      <c r="C443" s="374"/>
    </row>
    <row r="444" spans="2:3" ht="15">
      <c r="B444" s="374"/>
      <c r="C444" s="374"/>
    </row>
    <row r="445" spans="2:3" ht="15">
      <c r="B445" s="374"/>
      <c r="C445" s="374"/>
    </row>
    <row r="446" spans="2:3" ht="15">
      <c r="B446" s="374"/>
      <c r="C446" s="374"/>
    </row>
    <row r="447" spans="2:3" ht="15">
      <c r="B447" s="374"/>
      <c r="C447" s="374"/>
    </row>
    <row r="448" spans="2:3" ht="15">
      <c r="B448" s="374"/>
      <c r="C448" s="374"/>
    </row>
    <row r="449" spans="2:3" ht="15">
      <c r="B449" s="374"/>
      <c r="C449" s="374"/>
    </row>
    <row r="450" spans="2:3" ht="15">
      <c r="B450" s="374"/>
      <c r="C450" s="374"/>
    </row>
    <row r="451" spans="2:3" ht="15">
      <c r="B451" s="374"/>
      <c r="C451" s="374"/>
    </row>
    <row r="452" spans="2:3" ht="15">
      <c r="B452" s="374"/>
      <c r="C452" s="374"/>
    </row>
    <row r="453" spans="2:3" ht="15">
      <c r="B453" s="374"/>
      <c r="C453" s="374"/>
    </row>
    <row r="454" spans="2:3" ht="15">
      <c r="B454" s="374"/>
      <c r="C454" s="374"/>
    </row>
    <row r="455" spans="2:3" ht="15">
      <c r="B455" s="374"/>
      <c r="C455" s="374"/>
    </row>
    <row r="456" spans="2:3" ht="15">
      <c r="B456" s="374"/>
      <c r="C456" s="374"/>
    </row>
    <row r="457" spans="2:3" ht="15">
      <c r="B457" s="374"/>
      <c r="C457" s="374"/>
    </row>
    <row r="458" spans="2:3" ht="15">
      <c r="B458" s="374"/>
      <c r="C458" s="374"/>
    </row>
    <row r="459" spans="2:3" ht="15">
      <c r="B459" s="374"/>
      <c r="C459" s="374"/>
    </row>
    <row r="460" spans="2:3" ht="15">
      <c r="B460" s="374"/>
      <c r="C460" s="374"/>
    </row>
    <row r="461" spans="2:3" ht="15">
      <c r="B461" s="374"/>
      <c r="C461" s="374"/>
    </row>
    <row r="462" spans="2:3" ht="15">
      <c r="B462" s="374"/>
      <c r="C462" s="374"/>
    </row>
    <row r="463" spans="2:3" ht="15">
      <c r="B463" s="374"/>
      <c r="C463" s="374"/>
    </row>
    <row r="464" spans="2:3" ht="15">
      <c r="B464" s="374"/>
      <c r="C464" s="374"/>
    </row>
    <row r="465" spans="2:3" ht="15">
      <c r="B465" s="374"/>
      <c r="C465" s="374"/>
    </row>
    <row r="466" spans="2:3" ht="15">
      <c r="B466" s="374"/>
      <c r="C466" s="374"/>
    </row>
    <row r="467" spans="2:3" ht="15">
      <c r="B467" s="374"/>
      <c r="C467" s="374"/>
    </row>
    <row r="468" spans="2:3" ht="15">
      <c r="B468" s="374"/>
      <c r="C468" s="374"/>
    </row>
    <row r="469" spans="2:3" ht="15">
      <c r="B469" s="374"/>
      <c r="C469" s="374"/>
    </row>
    <row r="470" spans="2:3" ht="15">
      <c r="B470" s="374"/>
      <c r="C470" s="374"/>
    </row>
    <row r="471" spans="2:3" ht="15">
      <c r="B471" s="374"/>
      <c r="C471" s="374"/>
    </row>
    <row r="472" spans="2:3" ht="15">
      <c r="B472" s="374"/>
      <c r="C472" s="374"/>
    </row>
    <row r="473" spans="2:3" ht="15">
      <c r="B473" s="374"/>
      <c r="C473" s="374"/>
    </row>
    <row r="474" spans="2:3" ht="15">
      <c r="B474" s="374"/>
      <c r="C474" s="374"/>
    </row>
    <row r="475" spans="2:3" ht="15">
      <c r="B475" s="374"/>
      <c r="C475" s="374"/>
    </row>
    <row r="476" spans="2:3" ht="15">
      <c r="B476" s="374"/>
      <c r="C476" s="374"/>
    </row>
    <row r="477" spans="2:3" ht="15">
      <c r="B477" s="374"/>
      <c r="C477" s="374"/>
    </row>
    <row r="478" spans="2:3" ht="15">
      <c r="B478" s="374"/>
      <c r="C478" s="374"/>
    </row>
    <row r="479" spans="2:3" ht="15">
      <c r="B479" s="374"/>
      <c r="C479" s="374"/>
    </row>
    <row r="480" spans="2:3" ht="15">
      <c r="B480" s="374"/>
      <c r="C480" s="374"/>
    </row>
    <row r="481" spans="2:3" ht="15">
      <c r="B481" s="374"/>
      <c r="C481" s="374"/>
    </row>
    <row r="482" spans="2:3" ht="15">
      <c r="B482" s="374"/>
      <c r="C482" s="374"/>
    </row>
    <row r="483" spans="2:3" ht="15">
      <c r="B483" s="374"/>
      <c r="C483" s="374"/>
    </row>
    <row r="484" spans="2:3" ht="15">
      <c r="B484" s="374"/>
      <c r="C484" s="374"/>
    </row>
    <row r="485" spans="2:3" ht="15">
      <c r="B485" s="374"/>
      <c r="C485" s="374"/>
    </row>
    <row r="486" spans="2:3" ht="15">
      <c r="B486" s="374"/>
      <c r="C486" s="374"/>
    </row>
    <row r="487" spans="2:3" ht="15">
      <c r="B487" s="374"/>
      <c r="C487" s="374"/>
    </row>
    <row r="488" spans="2:3" ht="15">
      <c r="B488" s="374"/>
      <c r="C488" s="374"/>
    </row>
    <row r="489" spans="2:3" ht="15">
      <c r="B489" s="374"/>
      <c r="C489" s="374"/>
    </row>
    <row r="490" spans="2:3" ht="15">
      <c r="B490" s="374"/>
      <c r="C490" s="374"/>
    </row>
    <row r="491" spans="2:3" ht="15">
      <c r="B491" s="374"/>
      <c r="C491" s="374"/>
    </row>
    <row r="492" spans="2:3" ht="15">
      <c r="B492" s="374"/>
      <c r="C492" s="374"/>
    </row>
    <row r="493" spans="2:3" ht="15">
      <c r="B493" s="374"/>
      <c r="C493" s="374"/>
    </row>
    <row r="494" spans="2:3" ht="15">
      <c r="B494" s="374"/>
      <c r="C494" s="374"/>
    </row>
    <row r="495" spans="2:3" ht="15">
      <c r="B495" s="374"/>
      <c r="C495" s="374"/>
    </row>
    <row r="496" spans="2:3" ht="15">
      <c r="B496" s="374"/>
      <c r="C496" s="374"/>
    </row>
    <row r="497" spans="2:3" ht="15">
      <c r="B497" s="374"/>
      <c r="C497" s="374"/>
    </row>
    <row r="498" spans="2:3" ht="15">
      <c r="B498" s="374"/>
      <c r="C498" s="374"/>
    </row>
    <row r="499" spans="2:3" ht="15">
      <c r="B499" s="374"/>
      <c r="C499" s="374"/>
    </row>
    <row r="500" spans="2:3" ht="15">
      <c r="B500" s="374"/>
      <c r="C500" s="374"/>
    </row>
    <row r="501" spans="2:3" ht="15">
      <c r="B501" s="374"/>
      <c r="C501" s="374"/>
    </row>
    <row r="502" spans="2:3" ht="15">
      <c r="B502" s="374"/>
      <c r="C502" s="374"/>
    </row>
    <row r="503" spans="2:3" ht="15">
      <c r="B503" s="374"/>
      <c r="C503" s="374"/>
    </row>
    <row r="504" spans="2:3" ht="15">
      <c r="B504" s="374"/>
      <c r="C504" s="374"/>
    </row>
    <row r="505" spans="2:3" ht="15">
      <c r="B505" s="374"/>
      <c r="C505" s="374"/>
    </row>
    <row r="506" spans="2:3" ht="15">
      <c r="B506" s="374"/>
      <c r="C506" s="374"/>
    </row>
    <row r="507" spans="2:3" ht="15">
      <c r="B507" s="374"/>
      <c r="C507" s="374"/>
    </row>
    <row r="508" spans="2:3" ht="15">
      <c r="B508" s="374"/>
      <c r="C508" s="374"/>
    </row>
    <row r="509" spans="2:3" ht="15">
      <c r="B509" s="374"/>
      <c r="C509" s="374"/>
    </row>
    <row r="510" spans="2:3" ht="15">
      <c r="B510" s="374"/>
      <c r="C510" s="374"/>
    </row>
    <row r="511" spans="2:3" ht="15">
      <c r="B511" s="374"/>
      <c r="C511" s="374"/>
    </row>
    <row r="512" spans="2:3" ht="15">
      <c r="B512" s="374"/>
      <c r="C512" s="374"/>
    </row>
    <row r="513" spans="2:3" ht="15">
      <c r="B513" s="374"/>
      <c r="C513" s="374"/>
    </row>
    <row r="514" spans="2:3" ht="15">
      <c r="B514" s="374"/>
      <c r="C514" s="374"/>
    </row>
    <row r="515" spans="2:3" ht="15">
      <c r="B515" s="374"/>
      <c r="C515" s="374"/>
    </row>
    <row r="516" spans="2:3" ht="15">
      <c r="B516" s="374"/>
      <c r="C516" s="374"/>
    </row>
    <row r="517" spans="2:3" ht="15">
      <c r="B517" s="374"/>
      <c r="C517" s="374"/>
    </row>
    <row r="518" spans="2:3" ht="15">
      <c r="B518" s="374"/>
      <c r="C518" s="374"/>
    </row>
    <row r="519" spans="2:3" ht="15">
      <c r="B519" s="374"/>
      <c r="C519" s="374"/>
    </row>
    <row r="520" spans="2:3" ht="15">
      <c r="B520" s="374"/>
      <c r="C520" s="374"/>
    </row>
    <row r="521" spans="2:3" ht="15">
      <c r="B521" s="374"/>
      <c r="C521" s="374"/>
    </row>
    <row r="522" spans="2:3" ht="15">
      <c r="B522" s="374"/>
      <c r="C522" s="374"/>
    </row>
    <row r="523" spans="2:3" ht="15">
      <c r="B523" s="374"/>
      <c r="C523" s="374"/>
    </row>
    <row r="524" spans="2:3" ht="15">
      <c r="B524" s="374"/>
      <c r="C524" s="374"/>
    </row>
    <row r="525" spans="2:3" ht="15">
      <c r="B525" s="374"/>
      <c r="C525" s="374"/>
    </row>
    <row r="526" spans="2:3" ht="15">
      <c r="B526" s="374"/>
      <c r="C526" s="374"/>
    </row>
    <row r="527" spans="2:3" ht="15">
      <c r="B527" s="374"/>
      <c r="C527" s="374"/>
    </row>
    <row r="528" spans="2:3" ht="15">
      <c r="B528" s="374"/>
      <c r="C528" s="374"/>
    </row>
    <row r="529" spans="2:3" ht="15">
      <c r="B529" s="374"/>
      <c r="C529" s="374"/>
    </row>
    <row r="530" spans="2:3" ht="15">
      <c r="B530" s="374"/>
      <c r="C530" s="374"/>
    </row>
    <row r="531" spans="2:3" ht="15">
      <c r="B531" s="374"/>
      <c r="C531" s="374"/>
    </row>
    <row r="532" spans="2:3" ht="15">
      <c r="B532" s="374"/>
      <c r="C532" s="374"/>
    </row>
    <row r="533" spans="2:3" ht="15">
      <c r="B533" s="374"/>
      <c r="C533" s="374"/>
    </row>
    <row r="534" spans="2:3" ht="15">
      <c r="B534" s="374"/>
      <c r="C534" s="374"/>
    </row>
    <row r="535" spans="2:3" ht="15">
      <c r="B535" s="374"/>
      <c r="C535" s="374"/>
    </row>
    <row r="536" spans="2:3" ht="15">
      <c r="B536" s="374"/>
      <c r="C536" s="374"/>
    </row>
    <row r="537" spans="2:3" ht="15">
      <c r="B537" s="374"/>
      <c r="C537" s="374"/>
    </row>
    <row r="538" spans="2:3" ht="15">
      <c r="B538" s="374"/>
      <c r="C538" s="374"/>
    </row>
    <row r="539" spans="2:3" ht="15">
      <c r="B539" s="374"/>
      <c r="C539" s="374"/>
    </row>
    <row r="540" spans="2:3" ht="15">
      <c r="B540" s="374"/>
      <c r="C540" s="374"/>
    </row>
    <row r="541" spans="2:3" ht="15">
      <c r="B541" s="374"/>
      <c r="C541" s="374"/>
    </row>
    <row r="542" spans="2:3" ht="15">
      <c r="B542" s="374"/>
      <c r="C542" s="374"/>
    </row>
    <row r="543" spans="2:3" ht="15">
      <c r="B543" s="374"/>
      <c r="C543" s="374"/>
    </row>
    <row r="544" spans="2:3" ht="15">
      <c r="B544" s="374"/>
      <c r="C544" s="374"/>
    </row>
    <row r="545" spans="2:3" ht="15">
      <c r="B545" s="374"/>
      <c r="C545" s="374"/>
    </row>
    <row r="546" spans="2:3" ht="15">
      <c r="B546" s="374"/>
      <c r="C546" s="374"/>
    </row>
    <row r="547" spans="2:3" ht="15">
      <c r="B547" s="374"/>
      <c r="C547" s="374"/>
    </row>
    <row r="548" spans="2:3" ht="15">
      <c r="B548" s="374"/>
      <c r="C548" s="374"/>
    </row>
    <row r="549" spans="2:3" ht="15">
      <c r="B549" s="374"/>
      <c r="C549" s="374"/>
    </row>
  </sheetData>
  <sheetProtection/>
  <mergeCells count="6">
    <mergeCell ref="A2:G2"/>
    <mergeCell ref="A6:G6"/>
    <mergeCell ref="G41:H41"/>
    <mergeCell ref="A8:A10"/>
    <mergeCell ref="A4:G4"/>
    <mergeCell ref="A3:G3"/>
  </mergeCells>
  <printOptions horizontalCentered="1"/>
  <pageMargins left="0.3937007874015748" right="0.3937007874015748" top="0.5905511811023623" bottom="0.5905511811023623" header="0.5118110236220472" footer="0.5118110236220472"/>
  <pageSetup fitToHeight="1" fitToWidth="1" horizontalDpi="300" verticalDpi="300" orientation="landscape" scale="78" r:id="rId3"/>
  <rowBreaks count="1" manualBreakCount="1">
    <brk id="39" max="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58" bestFit="1" customWidth="1"/>
    <col min="2" max="2" width="17.00390625" style="291" customWidth="1"/>
    <col min="3" max="3" width="18.421875" style="258" customWidth="1"/>
    <col min="4" max="4" width="10.140625" style="258" bestFit="1" customWidth="1"/>
    <col min="5" max="5" width="13.7109375" style="258" bestFit="1" customWidth="1"/>
    <col min="6" max="6" width="13.8515625" style="258" bestFit="1" customWidth="1"/>
    <col min="7" max="16384" width="11.421875" style="258" customWidth="1"/>
  </cols>
  <sheetData>
    <row r="1" spans="1:3" ht="15">
      <c r="A1" s="491" t="s">
        <v>1</v>
      </c>
      <c r="B1" s="491"/>
      <c r="C1" s="491"/>
    </row>
    <row r="2" spans="1:3" ht="15">
      <c r="A2" s="492" t="s">
        <v>34</v>
      </c>
      <c r="B2" s="491"/>
      <c r="C2" s="491"/>
    </row>
    <row r="3" spans="1:3" ht="15">
      <c r="A3" s="491" t="s">
        <v>140</v>
      </c>
      <c r="B3" s="491"/>
      <c r="C3" s="491"/>
    </row>
    <row r="4" spans="1:3" ht="15.75" thickBot="1">
      <c r="A4" s="493"/>
      <c r="B4" s="493"/>
      <c r="C4" s="493"/>
    </row>
    <row r="5" spans="1:4" ht="38.25" customHeight="1" thickTop="1">
      <c r="A5" s="259" t="s">
        <v>12</v>
      </c>
      <c r="B5" s="260" t="s">
        <v>44</v>
      </c>
      <c r="C5" s="261" t="s">
        <v>8</v>
      </c>
      <c r="D5" s="262" t="s">
        <v>22</v>
      </c>
    </row>
    <row r="6" spans="1:4" ht="15">
      <c r="A6" s="263" t="s">
        <v>2</v>
      </c>
      <c r="B6" s="263" t="e">
        <f>+B7</f>
        <v>#REF!</v>
      </c>
      <c r="C6" s="264" t="e">
        <f>+C7</f>
        <v>#REF!</v>
      </c>
      <c r="D6" s="265" t="e">
        <f>+C6/C105*100</f>
        <v>#REF!</v>
      </c>
    </row>
    <row r="7" spans="1:4" ht="15">
      <c r="A7" s="266" t="s">
        <v>45</v>
      </c>
      <c r="B7" s="266" t="e">
        <f>+#REF!-[0]!AUXBODEGA-[0]!ASISDESPACHOS-[0]!ASISCONTABPPC-[0]!ASISCALLCENTER-ASISICA+HONORAUDI_JURIDIC</f>
        <v>#REF!</v>
      </c>
      <c r="C7" s="267" t="e">
        <f>+B7</f>
        <v>#REF!</v>
      </c>
      <c r="D7" s="268"/>
    </row>
    <row r="8" spans="1:4" ht="15">
      <c r="A8" s="266"/>
      <c r="B8" s="269"/>
      <c r="C8" s="264"/>
      <c r="D8" s="270"/>
    </row>
    <row r="9" spans="1:4" ht="15">
      <c r="A9" s="263" t="s">
        <v>4</v>
      </c>
      <c r="B9" s="264">
        <f>SUM(B10:B23)</f>
        <v>304667803.38</v>
      </c>
      <c r="C9" s="264">
        <f>SUM(C10:C23)</f>
        <v>304667803.38</v>
      </c>
      <c r="D9" s="265" t="e">
        <f>+C9/C105*100</f>
        <v>#REF!</v>
      </c>
    </row>
    <row r="10" spans="1:4" ht="15">
      <c r="A10" s="269" t="s">
        <v>164</v>
      </c>
      <c r="B10" s="232">
        <v>21500000</v>
      </c>
      <c r="C10" s="267">
        <f>+SUM(B10:B10)</f>
        <v>21500000</v>
      </c>
      <c r="D10" s="268" t="e">
        <f>(+C10/C105)*100</f>
        <v>#REF!</v>
      </c>
    </row>
    <row r="11" spans="1:4" ht="15">
      <c r="A11" s="269" t="s">
        <v>25</v>
      </c>
      <c r="B11" s="232">
        <v>5924000</v>
      </c>
      <c r="C11" s="267">
        <f>+SUM(B11:B11)</f>
        <v>5924000</v>
      </c>
      <c r="D11" s="268" t="e">
        <f>+C11/C105*100</f>
        <v>#REF!</v>
      </c>
    </row>
    <row r="12" spans="1:4" ht="15">
      <c r="A12" s="269" t="s">
        <v>26</v>
      </c>
      <c r="B12" s="232">
        <v>15000000</v>
      </c>
      <c r="C12" s="267">
        <f>+SUM(B12:B12)</f>
        <v>15000000</v>
      </c>
      <c r="D12" s="268" t="e">
        <f>+C12/C105*100</f>
        <v>#REF!</v>
      </c>
    </row>
    <row r="13" spans="1:4" ht="15">
      <c r="A13" s="269" t="s">
        <v>5</v>
      </c>
      <c r="B13" s="232">
        <v>16571515</v>
      </c>
      <c r="C13" s="267">
        <f aca="true" t="shared" si="0" ref="C13:C23">+SUM(B13:B13)</f>
        <v>16571515</v>
      </c>
      <c r="D13" s="268" t="e">
        <f>+C13/C105*100</f>
        <v>#REF!</v>
      </c>
    </row>
    <row r="14" spans="1:4" ht="15">
      <c r="A14" s="269" t="s">
        <v>27</v>
      </c>
      <c r="B14" s="232">
        <v>33250000</v>
      </c>
      <c r="C14" s="267">
        <f t="shared" si="0"/>
        <v>33250000</v>
      </c>
      <c r="D14" s="268" t="e">
        <f>+C14/C105*100</f>
        <v>#REF!</v>
      </c>
    </row>
    <row r="15" spans="1:4" ht="15">
      <c r="A15" s="269" t="s">
        <v>6</v>
      </c>
      <c r="B15" s="232">
        <v>30729600</v>
      </c>
      <c r="C15" s="267">
        <f t="shared" si="0"/>
        <v>30729600</v>
      </c>
      <c r="D15" s="268" t="e">
        <f>+C15/C105*100</f>
        <v>#REF!</v>
      </c>
    </row>
    <row r="16" spans="1:4" ht="15">
      <c r="A16" s="269" t="s">
        <v>28</v>
      </c>
      <c r="B16" s="232">
        <v>8900000</v>
      </c>
      <c r="C16" s="267">
        <f t="shared" si="0"/>
        <v>8900000</v>
      </c>
      <c r="D16" s="268" t="e">
        <f>+C16/C105*100</f>
        <v>#REF!</v>
      </c>
    </row>
    <row r="17" spans="1:4" ht="15">
      <c r="A17" s="269" t="s">
        <v>165</v>
      </c>
      <c r="B17" s="232">
        <v>20000000</v>
      </c>
      <c r="C17" s="267">
        <f t="shared" si="0"/>
        <v>20000000</v>
      </c>
      <c r="D17" s="268" t="e">
        <f>+C17/C105*100</f>
        <v>#REF!</v>
      </c>
    </row>
    <row r="18" spans="1:4" ht="15">
      <c r="A18" s="269" t="s">
        <v>7</v>
      </c>
      <c r="B18" s="232">
        <v>42250000</v>
      </c>
      <c r="C18" s="267">
        <f t="shared" si="0"/>
        <v>42250000</v>
      </c>
      <c r="D18" s="268" t="e">
        <f>+C18/C105*100</f>
        <v>#REF!</v>
      </c>
    </row>
    <row r="19" spans="1:4" ht="15">
      <c r="A19" s="269" t="s">
        <v>23</v>
      </c>
      <c r="B19" s="232">
        <v>3032800</v>
      </c>
      <c r="C19" s="267">
        <f t="shared" si="0"/>
        <v>3032800</v>
      </c>
      <c r="D19" s="268" t="e">
        <f>+C19/C105*100</f>
        <v>#REF!</v>
      </c>
    </row>
    <row r="20" spans="1:4" ht="15">
      <c r="A20" s="269" t="s">
        <v>29</v>
      </c>
      <c r="B20" s="232">
        <v>26833000</v>
      </c>
      <c r="C20" s="267">
        <f t="shared" si="0"/>
        <v>26833000</v>
      </c>
      <c r="D20" s="268" t="e">
        <f>+C20/C105*100</f>
        <v>#REF!</v>
      </c>
    </row>
    <row r="21" spans="1:4" ht="15">
      <c r="A21" s="269" t="s">
        <v>30</v>
      </c>
      <c r="B21" s="232">
        <v>8900000</v>
      </c>
      <c r="C21" s="267">
        <f t="shared" si="0"/>
        <v>8900000</v>
      </c>
      <c r="D21" s="268" t="e">
        <f>+C21/C105*100</f>
        <v>#REF!</v>
      </c>
    </row>
    <row r="22" spans="1:4" ht="15">
      <c r="A22" s="269" t="s">
        <v>31</v>
      </c>
      <c r="B22" s="232">
        <v>60000000</v>
      </c>
      <c r="C22" s="267">
        <f t="shared" si="0"/>
        <v>60000000</v>
      </c>
      <c r="D22" s="268" t="e">
        <f>+C22/C105*100</f>
        <v>#REF!</v>
      </c>
    </row>
    <row r="23" spans="1:4" ht="15">
      <c r="A23" s="269" t="s">
        <v>32</v>
      </c>
      <c r="B23" s="232">
        <v>11776888.38</v>
      </c>
      <c r="C23" s="267">
        <f t="shared" si="0"/>
        <v>11776888.38</v>
      </c>
      <c r="D23" s="268" t="e">
        <f>+C23/C105*100</f>
        <v>#REF!</v>
      </c>
    </row>
    <row r="24" spans="1:4" ht="15">
      <c r="A24" s="271" t="s">
        <v>170</v>
      </c>
      <c r="B24" s="272">
        <f>SUM(B10:B23)</f>
        <v>304667803.38</v>
      </c>
      <c r="C24" s="272" t="e">
        <f>+C9+C6</f>
        <v>#REF!</v>
      </c>
      <c r="D24" s="273" t="e">
        <f>+D9+D6</f>
        <v>#REF!</v>
      </c>
    </row>
    <row r="25" spans="1:4" ht="15">
      <c r="A25" s="274"/>
      <c r="B25" s="269"/>
      <c r="C25" s="274"/>
      <c r="D25" s="270"/>
    </row>
    <row r="26" spans="1:5" ht="15">
      <c r="A26" s="271" t="s">
        <v>14</v>
      </c>
      <c r="B26" s="271"/>
      <c r="C26" s="272" t="e">
        <f>SUM(C28:C96)</f>
        <v>#REF!</v>
      </c>
      <c r="D26" s="273" t="e">
        <f>SUM(D28:D101)</f>
        <v>#REF!</v>
      </c>
      <c r="E26" s="275"/>
    </row>
    <row r="27" spans="1:4" ht="15">
      <c r="A27" s="274"/>
      <c r="B27" s="269"/>
      <c r="C27" s="267"/>
      <c r="D27" s="270"/>
    </row>
    <row r="28" spans="1:4" ht="15">
      <c r="A28" s="276" t="s">
        <v>33</v>
      </c>
      <c r="B28" s="277"/>
      <c r="C28" s="264" t="e">
        <f>B29+B33</f>
        <v>#REF!</v>
      </c>
      <c r="D28" s="268" t="e">
        <f>+C28/C105*100</f>
        <v>#REF!</v>
      </c>
    </row>
    <row r="29" spans="1:4" ht="15">
      <c r="A29" s="276" t="s">
        <v>46</v>
      </c>
      <c r="B29" s="234">
        <v>145800000</v>
      </c>
      <c r="C29" s="264"/>
      <c r="D29" s="268"/>
    </row>
    <row r="30" spans="1:6" ht="15">
      <c r="A30" s="279" t="s">
        <v>47</v>
      </c>
      <c r="B30" s="280" t="e">
        <f>+#REF!</f>
        <v>#REF!</v>
      </c>
      <c r="C30" s="264"/>
      <c r="D30" s="268"/>
      <c r="E30" s="281"/>
      <c r="F30" s="281"/>
    </row>
    <row r="31" spans="1:6" ht="15">
      <c r="A31" s="279" t="s">
        <v>48</v>
      </c>
      <c r="B31" s="280" t="e">
        <f>+#REF!</f>
        <v>#REF!</v>
      </c>
      <c r="C31" s="264"/>
      <c r="D31" s="268"/>
      <c r="F31" s="281"/>
    </row>
    <row r="32" spans="1:6" ht="15">
      <c r="A32" s="279" t="s">
        <v>49</v>
      </c>
      <c r="B32" s="280" t="e">
        <f>+#REF!+#REF!</f>
        <v>#REF!</v>
      </c>
      <c r="C32" s="264"/>
      <c r="D32" s="268"/>
      <c r="F32" s="281"/>
    </row>
    <row r="33" spans="1:6" ht="15">
      <c r="A33" s="276" t="s">
        <v>50</v>
      </c>
      <c r="B33" s="278" t="e">
        <f>SUM(B30:B32)</f>
        <v>#REF!</v>
      </c>
      <c r="C33" s="264"/>
      <c r="D33" s="268"/>
      <c r="F33" s="281"/>
    </row>
    <row r="34" spans="1:6" ht="15">
      <c r="A34" s="279"/>
      <c r="B34" s="278"/>
      <c r="C34" s="264"/>
      <c r="D34" s="268"/>
      <c r="F34" s="281"/>
    </row>
    <row r="35" spans="1:6" ht="15">
      <c r="A35" s="282" t="s">
        <v>37</v>
      </c>
      <c r="B35" s="277"/>
      <c r="C35" s="264" t="e">
        <f>B36+B43</f>
        <v>#REF!</v>
      </c>
      <c r="D35" s="268" t="e">
        <f>+C35/C105*100</f>
        <v>#REF!</v>
      </c>
      <c r="F35" s="281"/>
    </row>
    <row r="36" spans="1:6" ht="15">
      <c r="A36" s="282" t="s">
        <v>46</v>
      </c>
      <c r="B36" s="234">
        <v>3826475436</v>
      </c>
      <c r="C36" s="264"/>
      <c r="D36" s="268"/>
      <c r="F36" s="281"/>
    </row>
    <row r="37" spans="1:6" ht="15">
      <c r="A37" s="283" t="s">
        <v>51</v>
      </c>
      <c r="B37" s="280" t="e">
        <f>+#REF!+#REF!</f>
        <v>#REF!</v>
      </c>
      <c r="C37" s="264"/>
      <c r="D37" s="268"/>
      <c r="F37" s="281"/>
    </row>
    <row r="38" spans="1:6" ht="13.5" customHeight="1">
      <c r="A38" s="283" t="s">
        <v>47</v>
      </c>
      <c r="B38" s="280" t="e">
        <f>+#REF!</f>
        <v>#REF!</v>
      </c>
      <c r="C38" s="264"/>
      <c r="D38" s="268"/>
      <c r="F38" s="281"/>
    </row>
    <row r="39" spans="1:6" ht="13.5" customHeight="1">
      <c r="A39" s="283" t="s">
        <v>52</v>
      </c>
      <c r="B39" s="280" t="e">
        <f>+#REF!/3</f>
        <v>#REF!</v>
      </c>
      <c r="C39" s="264"/>
      <c r="D39" s="268"/>
      <c r="F39" s="281"/>
    </row>
    <row r="40" spans="1:6" ht="13.5" customHeight="1">
      <c r="A40" s="283" t="s">
        <v>53</v>
      </c>
      <c r="B40" s="280" t="e">
        <f>+#REF!</f>
        <v>#REF!</v>
      </c>
      <c r="C40" s="264"/>
      <c r="D40" s="268"/>
      <c r="F40" s="281"/>
    </row>
    <row r="41" spans="1:6" ht="13.5" customHeight="1">
      <c r="A41" s="283" t="s">
        <v>54</v>
      </c>
      <c r="B41" s="280" t="e">
        <f>+#REF!</f>
        <v>#REF!</v>
      </c>
      <c r="C41" s="264"/>
      <c r="D41" s="268"/>
      <c r="F41" s="281"/>
    </row>
    <row r="42" spans="1:6" ht="13.5" customHeight="1">
      <c r="A42" s="283" t="s">
        <v>55</v>
      </c>
      <c r="B42" s="280" t="e">
        <f>+#REF!</f>
        <v>#REF!</v>
      </c>
      <c r="C42" s="264"/>
      <c r="D42" s="268"/>
      <c r="F42" s="281"/>
    </row>
    <row r="43" spans="1:6" ht="13.5" customHeight="1">
      <c r="A43" s="282" t="s">
        <v>50</v>
      </c>
      <c r="B43" s="278" t="e">
        <f>SUM(B37:B42)</f>
        <v>#REF!</v>
      </c>
      <c r="C43" s="264"/>
      <c r="D43" s="268"/>
      <c r="F43" s="281"/>
    </row>
    <row r="44" spans="1:6" ht="13.5" customHeight="1">
      <c r="A44" s="283"/>
      <c r="B44" s="278"/>
      <c r="C44" s="264"/>
      <c r="D44" s="268"/>
      <c r="F44" s="281"/>
    </row>
    <row r="45" spans="1:6" ht="13.5" customHeight="1">
      <c r="A45" s="276" t="s">
        <v>15</v>
      </c>
      <c r="B45" s="269"/>
      <c r="C45" s="264" t="e">
        <f>B46+B52</f>
        <v>#REF!</v>
      </c>
      <c r="D45" s="284" t="e">
        <f>+C45/C105*100</f>
        <v>#REF!</v>
      </c>
      <c r="F45" s="281"/>
    </row>
    <row r="46" spans="1:6" ht="13.5" customHeight="1">
      <c r="A46" s="282" t="s">
        <v>46</v>
      </c>
      <c r="B46" s="285">
        <f>B47+B48+B49+B50</f>
        <v>372000000</v>
      </c>
      <c r="C46" s="264"/>
      <c r="D46" s="284"/>
      <c r="F46" s="281"/>
    </row>
    <row r="47" spans="1:6" ht="13.5" customHeight="1">
      <c r="A47" s="279" t="s">
        <v>56</v>
      </c>
      <c r="B47" s="233">
        <v>50000000</v>
      </c>
      <c r="C47" s="264"/>
      <c r="D47" s="270"/>
      <c r="F47" s="281"/>
    </row>
    <row r="48" spans="1:4" ht="15">
      <c r="A48" s="279" t="s">
        <v>57</v>
      </c>
      <c r="B48" s="233">
        <v>86000000</v>
      </c>
      <c r="C48" s="264"/>
      <c r="D48" s="270"/>
    </row>
    <row r="49" spans="1:4" ht="15">
      <c r="A49" s="279" t="s">
        <v>161</v>
      </c>
      <c r="B49" s="233">
        <v>236000000</v>
      </c>
      <c r="C49" s="264"/>
      <c r="D49" s="270"/>
    </row>
    <row r="50" spans="1:4" ht="15" hidden="1" outlineLevel="1">
      <c r="A50" s="283" t="s">
        <v>58</v>
      </c>
      <c r="B50" s="277">
        <v>0</v>
      </c>
      <c r="C50" s="264"/>
      <c r="D50" s="270"/>
    </row>
    <row r="51" spans="1:4" ht="15" collapsed="1">
      <c r="A51" s="283" t="s">
        <v>47</v>
      </c>
      <c r="B51" s="280" t="e">
        <f>+#REF!</f>
        <v>#REF!</v>
      </c>
      <c r="C51" s="264"/>
      <c r="D51" s="270"/>
    </row>
    <row r="52" spans="1:4" ht="15">
      <c r="A52" s="276" t="s">
        <v>50</v>
      </c>
      <c r="B52" s="278" t="e">
        <f>B51</f>
        <v>#REF!</v>
      </c>
      <c r="C52" s="264"/>
      <c r="D52" s="270"/>
    </row>
    <row r="53" spans="1:4" ht="15">
      <c r="A53" s="276"/>
      <c r="B53" s="277"/>
      <c r="C53" s="264"/>
      <c r="D53" s="270"/>
    </row>
    <row r="54" spans="1:4" ht="15">
      <c r="A54" s="282" t="s">
        <v>213</v>
      </c>
      <c r="B54" s="277"/>
      <c r="C54" s="264" t="e">
        <f>B55+B63</f>
        <v>#REF!</v>
      </c>
      <c r="D54" s="268" t="e">
        <f>+C54/C105*100</f>
        <v>#REF!</v>
      </c>
    </row>
    <row r="55" spans="1:4" ht="16.5" customHeight="1">
      <c r="A55" s="282" t="s">
        <v>46</v>
      </c>
      <c r="B55" s="278">
        <f>SUM(B56:B59)</f>
        <v>769208400</v>
      </c>
      <c r="C55" s="264"/>
      <c r="D55" s="268"/>
    </row>
    <row r="56" spans="1:4" ht="13.5" customHeight="1">
      <c r="A56" s="283" t="s">
        <v>17</v>
      </c>
      <c r="B56" s="233">
        <v>170000000</v>
      </c>
      <c r="C56" s="267"/>
      <c r="D56" s="270"/>
    </row>
    <row r="57" spans="1:4" ht="15">
      <c r="A57" s="283" t="s">
        <v>138</v>
      </c>
      <c r="B57" s="233">
        <v>260000000</v>
      </c>
      <c r="C57" s="267"/>
      <c r="D57" s="270"/>
    </row>
    <row r="58" spans="1:4" ht="15">
      <c r="A58" s="283" t="s">
        <v>216</v>
      </c>
      <c r="B58" s="233">
        <v>289208400</v>
      </c>
      <c r="C58" s="267"/>
      <c r="D58" s="270"/>
    </row>
    <row r="59" spans="1:4" ht="15">
      <c r="A59" s="283" t="s">
        <v>145</v>
      </c>
      <c r="B59" s="233">
        <v>50000000</v>
      </c>
      <c r="C59" s="267"/>
      <c r="D59" s="270"/>
    </row>
    <row r="60" spans="1:4" ht="15">
      <c r="A60" s="283" t="s">
        <v>47</v>
      </c>
      <c r="B60" s="280" t="e">
        <f>+#REF!</f>
        <v>#REF!</v>
      </c>
      <c r="C60" s="267"/>
      <c r="D60" s="270"/>
    </row>
    <row r="61" spans="1:4" ht="15">
      <c r="A61" s="283" t="s">
        <v>217</v>
      </c>
      <c r="B61" s="277" t="e">
        <f>+#REF!</f>
        <v>#REF!</v>
      </c>
      <c r="C61" s="267"/>
      <c r="D61" s="270"/>
    </row>
    <row r="62" spans="1:4" ht="15">
      <c r="A62" s="283" t="s">
        <v>160</v>
      </c>
      <c r="B62" s="277" t="e">
        <f>+#REF!</f>
        <v>#REF!</v>
      </c>
      <c r="C62" s="267"/>
      <c r="D62" s="270"/>
    </row>
    <row r="63" spans="1:4" ht="15">
      <c r="A63" s="276" t="s">
        <v>50</v>
      </c>
      <c r="B63" s="278" t="e">
        <f>SUM(B60:B62)</f>
        <v>#REF!</v>
      </c>
      <c r="C63" s="267"/>
      <c r="D63" s="270"/>
    </row>
    <row r="64" spans="1:4" ht="15">
      <c r="A64" s="276"/>
      <c r="B64" s="277"/>
      <c r="C64" s="267"/>
      <c r="D64" s="270"/>
    </row>
    <row r="65" spans="1:4" ht="15">
      <c r="A65" s="282" t="s">
        <v>9</v>
      </c>
      <c r="B65" s="277"/>
      <c r="C65" s="264" t="e">
        <f>B66+B70</f>
        <v>#REF!</v>
      </c>
      <c r="D65" s="268" t="e">
        <f>+C65/C105*100</f>
        <v>#REF!</v>
      </c>
    </row>
    <row r="66" spans="1:4" ht="15">
      <c r="A66" s="282" t="s">
        <v>46</v>
      </c>
      <c r="B66" s="234">
        <v>340000000</v>
      </c>
      <c r="C66" s="264"/>
      <c r="D66" s="268"/>
    </row>
    <row r="67" spans="1:4" ht="15">
      <c r="A67" s="283" t="s">
        <v>47</v>
      </c>
      <c r="B67" s="280" t="e">
        <f>+#REF!</f>
        <v>#REF!</v>
      </c>
      <c r="C67" s="264"/>
      <c r="D67" s="268"/>
    </row>
    <row r="68" spans="1:4" ht="15">
      <c r="A68" s="283" t="s">
        <v>146</v>
      </c>
      <c r="B68" s="280" t="e">
        <f>+#REF!</f>
        <v>#REF!</v>
      </c>
      <c r="C68" s="264"/>
      <c r="D68" s="268"/>
    </row>
    <row r="69" spans="1:4" ht="17.25" customHeight="1">
      <c r="A69" s="283" t="s">
        <v>147</v>
      </c>
      <c r="B69" s="280" t="e">
        <f>+#REF!</f>
        <v>#REF!</v>
      </c>
      <c r="C69" s="264"/>
      <c r="D69" s="268"/>
    </row>
    <row r="70" spans="1:4" ht="15">
      <c r="A70" s="276" t="s">
        <v>50</v>
      </c>
      <c r="B70" s="278" t="e">
        <f>SUM(B67:B69)</f>
        <v>#REF!</v>
      </c>
      <c r="C70" s="264"/>
      <c r="D70" s="268"/>
    </row>
    <row r="71" spans="1:4" ht="15">
      <c r="A71" s="276"/>
      <c r="B71" s="277"/>
      <c r="C71" s="264"/>
      <c r="D71" s="268"/>
    </row>
    <row r="72" spans="1:4" ht="15">
      <c r="A72" s="282" t="s">
        <v>148</v>
      </c>
      <c r="B72" s="277"/>
      <c r="C72" s="264" t="e">
        <f>+B74+B75+B76+B77+B78</f>
        <v>#REF!</v>
      </c>
      <c r="D72" s="268" t="e">
        <f>+C72/C105*100</f>
        <v>#REF!</v>
      </c>
    </row>
    <row r="73" spans="1:4" ht="15">
      <c r="A73" s="282" t="s">
        <v>46</v>
      </c>
      <c r="B73" s="278">
        <f>SUM(B74:B77)</f>
        <v>472548000</v>
      </c>
      <c r="C73" s="264"/>
      <c r="D73" s="268"/>
    </row>
    <row r="74" spans="1:4" ht="15">
      <c r="A74" s="283" t="s">
        <v>151</v>
      </c>
      <c r="B74" s="233">
        <v>258000000</v>
      </c>
      <c r="C74" s="267"/>
      <c r="D74" s="270"/>
    </row>
    <row r="75" spans="1:4" ht="15">
      <c r="A75" s="283" t="s">
        <v>152</v>
      </c>
      <c r="B75" s="233">
        <v>74148000</v>
      </c>
      <c r="C75" s="267"/>
      <c r="D75" s="270"/>
    </row>
    <row r="76" spans="1:4" ht="15">
      <c r="A76" s="283" t="s">
        <v>40</v>
      </c>
      <c r="B76" s="233">
        <v>130400000</v>
      </c>
      <c r="C76" s="267"/>
      <c r="D76" s="270"/>
    </row>
    <row r="77" spans="1:4" ht="15">
      <c r="A77" s="283" t="s">
        <v>149</v>
      </c>
      <c r="B77" s="233">
        <v>10000000</v>
      </c>
      <c r="C77" s="267"/>
      <c r="D77" s="270"/>
    </row>
    <row r="78" spans="1:4" ht="15">
      <c r="A78" s="283" t="s">
        <v>150</v>
      </c>
      <c r="B78" s="280" t="e">
        <f>+#REF!</f>
        <v>#REF!</v>
      </c>
      <c r="C78" s="267"/>
      <c r="D78" s="270"/>
    </row>
    <row r="79" spans="1:4" ht="15">
      <c r="A79" s="276" t="s">
        <v>50</v>
      </c>
      <c r="B79" s="278" t="e">
        <f>B78</f>
        <v>#REF!</v>
      </c>
      <c r="C79" s="267"/>
      <c r="D79" s="270"/>
    </row>
    <row r="80" spans="1:4" ht="15">
      <c r="A80" s="276"/>
      <c r="B80" s="277"/>
      <c r="C80" s="267"/>
      <c r="D80" s="270"/>
    </row>
    <row r="81" spans="1:4" ht="15">
      <c r="A81" s="282" t="s">
        <v>10</v>
      </c>
      <c r="B81" s="277"/>
      <c r="C81" s="264" t="e">
        <f>B82+B91</f>
        <v>#REF!</v>
      </c>
      <c r="D81" s="268" t="e">
        <f>+C81/C105*100</f>
        <v>#REF!</v>
      </c>
    </row>
    <row r="82" spans="1:4" ht="15">
      <c r="A82" s="282" t="s">
        <v>46</v>
      </c>
      <c r="B82" s="278">
        <f>SUM(B83:B87)</f>
        <v>452000000</v>
      </c>
      <c r="C82" s="264"/>
      <c r="D82" s="268"/>
    </row>
    <row r="83" spans="1:4" ht="15">
      <c r="A83" s="283" t="s">
        <v>153</v>
      </c>
      <c r="B83" s="233">
        <v>220000000</v>
      </c>
      <c r="C83" s="267"/>
      <c r="D83" s="270"/>
    </row>
    <row r="84" spans="1:4" ht="15">
      <c r="A84" s="283" t="s">
        <v>42</v>
      </c>
      <c r="B84" s="233">
        <v>55000000</v>
      </c>
      <c r="C84" s="267"/>
      <c r="D84" s="270"/>
    </row>
    <row r="85" spans="1:4" ht="15">
      <c r="A85" s="283" t="s">
        <v>43</v>
      </c>
      <c r="B85" s="233">
        <v>30000000</v>
      </c>
      <c r="C85" s="267"/>
      <c r="D85" s="270"/>
    </row>
    <row r="86" spans="1:4" ht="15">
      <c r="A86" s="283" t="s">
        <v>154</v>
      </c>
      <c r="B86" s="233">
        <v>117000000</v>
      </c>
      <c r="C86" s="267"/>
      <c r="D86" s="270"/>
    </row>
    <row r="87" spans="1:4" ht="15">
      <c r="A87" s="283" t="s">
        <v>159</v>
      </c>
      <c r="B87" s="233">
        <v>30000000</v>
      </c>
      <c r="C87" s="267"/>
      <c r="D87" s="270"/>
    </row>
    <row r="88" spans="1:4" ht="15">
      <c r="A88" s="283" t="s">
        <v>155</v>
      </c>
      <c r="B88" s="277" t="e">
        <f>+#REF!/3*2</f>
        <v>#REF!</v>
      </c>
      <c r="C88" s="267"/>
      <c r="D88" s="270"/>
    </row>
    <row r="89" spans="1:4" ht="15">
      <c r="A89" s="283" t="s">
        <v>156</v>
      </c>
      <c r="B89" s="277" t="e">
        <f>+#REF!</f>
        <v>#REF!</v>
      </c>
      <c r="C89" s="267"/>
      <c r="D89" s="270"/>
    </row>
    <row r="90" spans="1:4" ht="15">
      <c r="A90" s="283" t="s">
        <v>197</v>
      </c>
      <c r="B90" s="277" t="e">
        <f>+ASISICA</f>
        <v>#REF!</v>
      </c>
      <c r="C90" s="267"/>
      <c r="D90" s="270"/>
    </row>
    <row r="91" spans="1:4" ht="15">
      <c r="A91" s="276" t="s">
        <v>50</v>
      </c>
      <c r="B91" s="278" t="e">
        <f>SUM(B88:B90)</f>
        <v>#REF!</v>
      </c>
      <c r="C91" s="267"/>
      <c r="D91" s="270"/>
    </row>
    <row r="92" spans="1:4" ht="15">
      <c r="A92" s="276"/>
      <c r="B92" s="277"/>
      <c r="C92" s="267"/>
      <c r="D92" s="270"/>
    </row>
    <row r="93" spans="1:4" ht="15">
      <c r="A93" s="276"/>
      <c r="B93" s="277"/>
      <c r="C93" s="264"/>
      <c r="D93" s="268"/>
    </row>
    <row r="94" spans="1:4" ht="15">
      <c r="A94" s="282" t="s">
        <v>158</v>
      </c>
      <c r="B94" s="277"/>
      <c r="C94" s="264" t="e">
        <f>B95+B97</f>
        <v>#REF!</v>
      </c>
      <c r="D94" s="268" t="e">
        <f>+C94/C105*100</f>
        <v>#REF!</v>
      </c>
    </row>
    <row r="95" spans="1:4" ht="15">
      <c r="A95" s="282" t="s">
        <v>46</v>
      </c>
      <c r="B95" s="234">
        <v>73000000</v>
      </c>
      <c r="C95" s="264"/>
      <c r="D95" s="268"/>
    </row>
    <row r="96" spans="1:4" ht="15">
      <c r="A96" s="283" t="s">
        <v>3</v>
      </c>
      <c r="B96" s="277" t="e">
        <f>+#REF!</f>
        <v>#REF!</v>
      </c>
      <c r="C96" s="264"/>
      <c r="D96" s="268"/>
    </row>
    <row r="97" spans="1:4" ht="15">
      <c r="A97" s="276" t="s">
        <v>50</v>
      </c>
      <c r="B97" s="278" t="e">
        <f>+B96</f>
        <v>#REF!</v>
      </c>
      <c r="C97" s="264"/>
      <c r="D97" s="268"/>
    </row>
    <row r="98" spans="1:4" ht="15">
      <c r="A98" s="276"/>
      <c r="B98" s="277"/>
      <c r="C98" s="264"/>
      <c r="D98" s="268"/>
    </row>
    <row r="99" spans="1:4" ht="15">
      <c r="A99" s="282" t="s">
        <v>141</v>
      </c>
      <c r="B99" s="234" t="e">
        <f>SUM(#REF!)*10%</f>
        <v>#REF!</v>
      </c>
      <c r="C99" s="264" t="e">
        <f>+B99</f>
        <v>#REF!</v>
      </c>
      <c r="D99" s="268" t="e">
        <f>+C99/C105*100</f>
        <v>#REF!</v>
      </c>
    </row>
    <row r="100" spans="1:4" ht="15">
      <c r="A100" s="282"/>
      <c r="B100" s="278"/>
      <c r="C100" s="264"/>
      <c r="D100" s="268"/>
    </row>
    <row r="101" spans="1:4" ht="16.5" customHeight="1">
      <c r="A101" s="282" t="s">
        <v>209</v>
      </c>
      <c r="B101" s="278"/>
      <c r="C101" s="264" t="e">
        <f>+B102+B103</f>
        <v>#REF!</v>
      </c>
      <c r="D101" s="268" t="e">
        <f>+C101/C105*100</f>
        <v>#REF!</v>
      </c>
    </row>
    <row r="102" spans="1:4" ht="15">
      <c r="A102" s="283" t="s">
        <v>196</v>
      </c>
      <c r="B102" s="277" t="e">
        <f>+#REF!</f>
        <v>#REF!</v>
      </c>
      <c r="C102" s="267"/>
      <c r="D102" s="270"/>
    </row>
    <row r="103" spans="1:4" ht="15">
      <c r="A103" s="283" t="s">
        <v>187</v>
      </c>
      <c r="B103" s="277" t="e">
        <f>+#REF!</f>
        <v>#REF!</v>
      </c>
      <c r="C103" s="267"/>
      <c r="D103" s="270"/>
    </row>
    <row r="104" spans="1:4" ht="15">
      <c r="A104" s="286"/>
      <c r="B104" s="269"/>
      <c r="C104" s="274"/>
      <c r="D104" s="270"/>
    </row>
    <row r="105" spans="1:4" ht="15">
      <c r="A105" s="271" t="s">
        <v>21</v>
      </c>
      <c r="B105" s="272"/>
      <c r="C105" s="272" t="e">
        <f>+C99+C26+C24+C101</f>
        <v>#REF!</v>
      </c>
      <c r="D105" s="268" t="e">
        <f>+D26+D24</f>
        <v>#REF!</v>
      </c>
    </row>
    <row r="106" spans="1:4" ht="8.25" customHeight="1" thickBot="1">
      <c r="A106" s="287"/>
      <c r="B106" s="288"/>
      <c r="C106" s="289"/>
      <c r="D106" s="290"/>
    </row>
    <row r="107" ht="15.75" thickTop="1">
      <c r="C107" s="292"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5.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6" t="s">
        <v>122</v>
      </c>
      <c r="B1" s="296"/>
      <c r="C1" s="296"/>
      <c r="D1" s="296"/>
      <c r="E1" s="296"/>
      <c r="F1" s="296"/>
      <c r="G1" s="296"/>
      <c r="H1" s="296"/>
      <c r="I1" s="296"/>
      <c r="J1" s="296"/>
    </row>
    <row r="2" spans="1:10" ht="12.75" customHeight="1">
      <c r="A2" s="296" t="s">
        <v>189</v>
      </c>
      <c r="B2" s="296"/>
      <c r="C2" s="296"/>
      <c r="D2" s="296"/>
      <c r="E2" s="296"/>
      <c r="F2" s="296"/>
      <c r="G2" s="296"/>
      <c r="H2" s="296"/>
      <c r="I2" s="296"/>
      <c r="J2" s="296"/>
    </row>
    <row r="3" spans="1:11" ht="13.5" customHeight="1" thickBot="1">
      <c r="A3" s="55"/>
      <c r="B3" s="56"/>
      <c r="C3" s="56"/>
      <c r="D3" s="56"/>
      <c r="E3" s="56"/>
      <c r="F3" s="56"/>
      <c r="G3" s="56"/>
      <c r="H3" s="56"/>
      <c r="I3" s="56"/>
      <c r="J3" s="56"/>
      <c r="K3" s="54"/>
    </row>
    <row r="4" spans="1:11" ht="15" thickBot="1">
      <c r="A4" s="201" t="s">
        <v>101</v>
      </c>
      <c r="B4" s="40" t="s">
        <v>102</v>
      </c>
      <c r="C4" s="186" t="s">
        <v>103</v>
      </c>
      <c r="D4" s="235" t="s">
        <v>103</v>
      </c>
      <c r="E4" s="293" t="s">
        <v>214</v>
      </c>
      <c r="F4" s="293"/>
      <c r="G4" s="299" t="s">
        <v>188</v>
      </c>
      <c r="H4" s="40" t="s">
        <v>190</v>
      </c>
      <c r="I4" s="40" t="s">
        <v>81</v>
      </c>
      <c r="J4" s="297" t="s">
        <v>124</v>
      </c>
      <c r="K4" s="58"/>
    </row>
    <row r="5" spans="1:11" ht="15.75" thickBot="1">
      <c r="A5" s="55"/>
      <c r="B5" s="59"/>
      <c r="C5" s="108" t="s">
        <v>169</v>
      </c>
      <c r="D5" s="236" t="s">
        <v>77</v>
      </c>
      <c r="E5" s="294">
        <v>0.1</v>
      </c>
      <c r="F5" s="294">
        <v>0.06</v>
      </c>
      <c r="G5" s="41">
        <v>0.00966</v>
      </c>
      <c r="H5" s="220">
        <v>0.27022</v>
      </c>
      <c r="I5" s="298" t="s">
        <v>191</v>
      </c>
      <c r="J5" s="60" t="s">
        <v>76</v>
      </c>
      <c r="K5" s="58"/>
    </row>
    <row r="6" spans="1:11" ht="15.75" thickBot="1">
      <c r="A6" s="61" t="s">
        <v>105</v>
      </c>
      <c r="B6" s="62" t="e">
        <f>+B7+B8+B9+B10+B11</f>
        <v>#REF!</v>
      </c>
      <c r="C6" s="217">
        <f aca="true" t="shared" si="0" ref="C6:J6">SUM(C7:C11)</f>
        <v>19000000</v>
      </c>
      <c r="D6" s="295"/>
      <c r="E6" s="218" t="e">
        <f t="shared" si="0"/>
        <v>#REF!</v>
      </c>
      <c r="F6" s="218"/>
      <c r="G6" s="62" t="e">
        <f t="shared" si="0"/>
        <v>#REF!</v>
      </c>
      <c r="H6" s="63">
        <f t="shared" si="0"/>
        <v>580432.56</v>
      </c>
      <c r="I6" s="64" t="e">
        <f t="shared" si="0"/>
        <v>#REF!</v>
      </c>
      <c r="J6" s="62" t="e">
        <f t="shared" si="0"/>
        <v>#REF!</v>
      </c>
      <c r="K6" s="58"/>
    </row>
    <row r="7" spans="1:11" ht="15">
      <c r="A7" s="205" t="e">
        <f>+#REF!</f>
        <v>#REF!</v>
      </c>
      <c r="B7" s="211" t="e">
        <f>+#REF!</f>
        <v>#REF!</v>
      </c>
      <c r="C7" s="188">
        <v>3800000</v>
      </c>
      <c r="D7" s="188" t="e">
        <f>+C7*B7</f>
        <v>#REF!</v>
      </c>
      <c r="E7" s="67" t="e">
        <f>+D7*E5</f>
        <v>#REF!</v>
      </c>
      <c r="F7" s="67"/>
      <c r="G7" s="68" t="e">
        <f>+D7*$G$5</f>
        <v>#REF!</v>
      </c>
      <c r="H7" s="69">
        <f>537000*$H$5</f>
        <v>145108.14</v>
      </c>
      <c r="I7" s="69" t="e">
        <f>+D7-E7-F7-G7-H7</f>
        <v>#REF!</v>
      </c>
      <c r="J7" s="68" t="e">
        <f>+I7*12</f>
        <v>#REF!</v>
      </c>
      <c r="K7" s="72"/>
    </row>
    <row r="8" spans="1:11" ht="15">
      <c r="A8" s="206" t="e">
        <f>+#REF!</f>
        <v>#REF!</v>
      </c>
      <c r="B8" s="212" t="e">
        <f>+#REF!</f>
        <v>#REF!</v>
      </c>
      <c r="C8" s="188">
        <v>3800000</v>
      </c>
      <c r="D8" s="188" t="e">
        <f aca="true" t="shared" si="1" ref="D8:D39">+C8*B8</f>
        <v>#REF!</v>
      </c>
      <c r="E8" s="67" t="e">
        <f>+D8*10%</f>
        <v>#REF!</v>
      </c>
      <c r="F8" s="67"/>
      <c r="G8" s="68" t="e">
        <f>+D8*$G$5</f>
        <v>#REF!</v>
      </c>
      <c r="H8" s="69">
        <f>537000*$H$5</f>
        <v>145108.14</v>
      </c>
      <c r="I8" s="69" t="e">
        <f>+D8-E8-F8-G8-H8</f>
        <v>#REF!</v>
      </c>
      <c r="J8" s="68" t="e">
        <f>+I8*12</f>
        <v>#REF!</v>
      </c>
      <c r="K8" s="72"/>
    </row>
    <row r="9" spans="1:11" ht="15">
      <c r="A9" s="206" t="e">
        <f>+#REF!</f>
        <v>#REF!</v>
      </c>
      <c r="B9" s="212" t="e">
        <f>+#REF!</f>
        <v>#REF!</v>
      </c>
      <c r="C9" s="188">
        <v>3800000</v>
      </c>
      <c r="D9" s="188" t="e">
        <f t="shared" si="1"/>
        <v>#REF!</v>
      </c>
      <c r="E9" s="67" t="e">
        <f>+D9*10%</f>
        <v>#REF!</v>
      </c>
      <c r="F9" s="67"/>
      <c r="G9" s="68" t="e">
        <f>+D9*$G$5</f>
        <v>#REF!</v>
      </c>
      <c r="H9" s="69">
        <f>537000*$H$5</f>
        <v>145108.14</v>
      </c>
      <c r="I9" s="69" t="e">
        <f>+D9-E9-F9-G9-H9</f>
        <v>#REF!</v>
      </c>
      <c r="J9" s="68" t="e">
        <f>+I9*12</f>
        <v>#REF!</v>
      </c>
      <c r="K9" s="72"/>
    </row>
    <row r="10" spans="1:11" ht="15">
      <c r="A10" s="206" t="e">
        <f>+#REF!</f>
        <v>#REF!</v>
      </c>
      <c r="B10" s="212" t="e">
        <f>+#REF!</f>
        <v>#REF!</v>
      </c>
      <c r="C10" s="188">
        <v>3800000</v>
      </c>
      <c r="D10" s="188" t="e">
        <f t="shared" si="1"/>
        <v>#REF!</v>
      </c>
      <c r="E10" s="67" t="e">
        <f>+D10*10%</f>
        <v>#REF!</v>
      </c>
      <c r="F10" s="67"/>
      <c r="G10" s="68" t="e">
        <f>+D10*$G$5</f>
        <v>#REF!</v>
      </c>
      <c r="H10" s="69">
        <v>0</v>
      </c>
      <c r="I10" s="69" t="e">
        <f>+D10-E10-F10-G10-H10</f>
        <v>#REF!</v>
      </c>
      <c r="J10" s="68" t="e">
        <f>+I10*12</f>
        <v>#REF!</v>
      </c>
      <c r="K10" s="72"/>
    </row>
    <row r="11" spans="1:10" ht="15.75" thickBot="1">
      <c r="A11" s="204" t="e">
        <f>+#REF!</f>
        <v>#REF!</v>
      </c>
      <c r="B11" s="215" t="e">
        <f>+#REF!</f>
        <v>#REF!</v>
      </c>
      <c r="C11" s="195">
        <v>3800000</v>
      </c>
      <c r="D11" s="195" t="e">
        <f t="shared" si="1"/>
        <v>#REF!</v>
      </c>
      <c r="E11" s="67" t="e">
        <f>+D11*10%</f>
        <v>#REF!</v>
      </c>
      <c r="F11" s="67"/>
      <c r="G11" s="68" t="e">
        <f>+D11*$G$5</f>
        <v>#REF!</v>
      </c>
      <c r="H11" s="69">
        <f>537000*$H$5</f>
        <v>145108.14</v>
      </c>
      <c r="I11" s="69" t="e">
        <f>+D11-E11-F11-G11-H11</f>
        <v>#REF!</v>
      </c>
      <c r="J11" s="68" t="e">
        <f>+I11*12</f>
        <v>#REF!</v>
      </c>
    </row>
    <row r="12" spans="1:10" ht="15.75" thickBot="1">
      <c r="A12" s="73" t="s">
        <v>107</v>
      </c>
      <c r="B12" s="62" t="e">
        <f aca="true" t="shared" si="2" ref="B12:I12">SUM(B13:B18)</f>
        <v>#REF!</v>
      </c>
      <c r="C12" s="197">
        <f t="shared" si="2"/>
        <v>16000000</v>
      </c>
      <c r="D12" s="197"/>
      <c r="E12" s="62" t="e">
        <f t="shared" si="2"/>
        <v>#REF!</v>
      </c>
      <c r="F12" s="62"/>
      <c r="G12" s="62" t="e">
        <f>SUM(G13:G18)</f>
        <v>#REF!</v>
      </c>
      <c r="H12" s="74">
        <f t="shared" si="2"/>
        <v>870648.8400000001</v>
      </c>
      <c r="I12" s="75" t="e">
        <f t="shared" si="2"/>
        <v>#REF!</v>
      </c>
      <c r="J12" s="62" t="e">
        <f>SUM(J13:J18)</f>
        <v>#REF!</v>
      </c>
    </row>
    <row r="13" spans="1:11" ht="15">
      <c r="A13" s="205" t="e">
        <f>+#REF!</f>
        <v>#REF!</v>
      </c>
      <c r="B13" s="211" t="e">
        <f>+#REF!</f>
        <v>#REF!</v>
      </c>
      <c r="C13" s="188">
        <v>3000000</v>
      </c>
      <c r="D13" s="188"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6" t="e">
        <f>+#REF!</f>
        <v>#REF!</v>
      </c>
      <c r="B14" s="212" t="e">
        <f>+#REF!</f>
        <v>#REF!</v>
      </c>
      <c r="C14" s="188">
        <v>3000000</v>
      </c>
      <c r="D14" s="188" t="e">
        <f t="shared" si="1"/>
        <v>#REF!</v>
      </c>
      <c r="E14" s="67" t="e">
        <f t="shared" si="3"/>
        <v>#REF!</v>
      </c>
      <c r="F14" s="67"/>
      <c r="G14" s="68" t="e">
        <f t="shared" si="4"/>
        <v>#REF!</v>
      </c>
      <c r="H14" s="69">
        <f t="shared" si="5"/>
        <v>145108.14</v>
      </c>
      <c r="I14" s="69" t="e">
        <f t="shared" si="6"/>
        <v>#REF!</v>
      </c>
      <c r="J14" s="68" t="e">
        <f t="shared" si="7"/>
        <v>#REF!</v>
      </c>
      <c r="K14" s="72"/>
    </row>
    <row r="15" spans="1:11" ht="15">
      <c r="A15" s="206" t="e">
        <f>+#REF!</f>
        <v>#REF!</v>
      </c>
      <c r="B15" s="212" t="e">
        <f>+#REF!</f>
        <v>#REF!</v>
      </c>
      <c r="C15" s="188">
        <v>2500000</v>
      </c>
      <c r="D15" s="188" t="e">
        <f t="shared" si="1"/>
        <v>#REF!</v>
      </c>
      <c r="E15" s="67" t="e">
        <f t="shared" si="3"/>
        <v>#REF!</v>
      </c>
      <c r="F15" s="67"/>
      <c r="G15" s="68" t="e">
        <f t="shared" si="4"/>
        <v>#REF!</v>
      </c>
      <c r="H15" s="69">
        <f t="shared" si="5"/>
        <v>145108.14</v>
      </c>
      <c r="I15" s="69" t="e">
        <f t="shared" si="6"/>
        <v>#REF!</v>
      </c>
      <c r="J15" s="68" t="e">
        <f t="shared" si="7"/>
        <v>#REF!</v>
      </c>
      <c r="K15" s="72"/>
    </row>
    <row r="16" spans="1:11" ht="15">
      <c r="A16" s="205" t="e">
        <f>+#REF!</f>
        <v>#REF!</v>
      </c>
      <c r="B16" s="211" t="e">
        <f>+#REF!</f>
        <v>#REF!</v>
      </c>
      <c r="C16" s="188">
        <v>2500000</v>
      </c>
      <c r="D16" s="188" t="e">
        <f t="shared" si="1"/>
        <v>#REF!</v>
      </c>
      <c r="E16" s="67" t="e">
        <f t="shared" si="3"/>
        <v>#REF!</v>
      </c>
      <c r="F16" s="67"/>
      <c r="G16" s="68" t="e">
        <f t="shared" si="4"/>
        <v>#REF!</v>
      </c>
      <c r="H16" s="69">
        <f t="shared" si="5"/>
        <v>145108.14</v>
      </c>
      <c r="I16" s="69" t="e">
        <f t="shared" si="6"/>
        <v>#REF!</v>
      </c>
      <c r="J16" s="68" t="e">
        <f t="shared" si="7"/>
        <v>#REF!</v>
      </c>
      <c r="K16" s="72"/>
    </row>
    <row r="17" spans="1:11" ht="15">
      <c r="A17" s="205" t="e">
        <f>+#REF!</f>
        <v>#REF!</v>
      </c>
      <c r="B17" s="211" t="e">
        <f>+#REF!</f>
        <v>#REF!</v>
      </c>
      <c r="C17" s="188">
        <v>2500000</v>
      </c>
      <c r="D17" s="188" t="e">
        <f t="shared" si="1"/>
        <v>#REF!</v>
      </c>
      <c r="E17" s="67" t="e">
        <f t="shared" si="3"/>
        <v>#REF!</v>
      </c>
      <c r="F17" s="67"/>
      <c r="G17" s="68" t="e">
        <f t="shared" si="4"/>
        <v>#REF!</v>
      </c>
      <c r="H17" s="69">
        <f t="shared" si="5"/>
        <v>145108.14</v>
      </c>
      <c r="I17" s="69" t="e">
        <f t="shared" si="6"/>
        <v>#REF!</v>
      </c>
      <c r="J17" s="68" t="e">
        <f t="shared" si="7"/>
        <v>#REF!</v>
      </c>
      <c r="K17" s="72"/>
    </row>
    <row r="18" spans="1:11" ht="15.75" thickBot="1">
      <c r="A18" s="200" t="e">
        <f>+#REF!</f>
        <v>#REF!</v>
      </c>
      <c r="B18" s="213" t="e">
        <f>+#REF!</f>
        <v>#REF!</v>
      </c>
      <c r="C18" s="188">
        <v>2500000</v>
      </c>
      <c r="D18" s="188"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110</v>
      </c>
      <c r="B19" s="62" t="e">
        <f>+B20+B21+B23+B25</f>
        <v>#REF!</v>
      </c>
      <c r="C19" s="218">
        <f aca="true" t="shared" si="8" ref="C19:J19">SUM(C20:C25)</f>
        <v>7580000</v>
      </c>
      <c r="D19" s="218"/>
      <c r="E19" s="218" t="e">
        <f t="shared" si="8"/>
        <v>#REF!</v>
      </c>
      <c r="F19" s="218"/>
      <c r="G19" s="62" t="e">
        <f t="shared" si="8"/>
        <v>#REF!</v>
      </c>
      <c r="H19" s="74">
        <f t="shared" si="8"/>
        <v>580432.56</v>
      </c>
      <c r="I19" s="75" t="e">
        <f t="shared" si="8"/>
        <v>#REF!</v>
      </c>
      <c r="J19" s="62" t="e">
        <f t="shared" si="8"/>
        <v>#REF!</v>
      </c>
      <c r="K19" s="72"/>
    </row>
    <row r="20" spans="1:11" ht="15">
      <c r="A20" s="207" t="e">
        <f>+#REF!</f>
        <v>#REF!</v>
      </c>
      <c r="B20" s="214" t="e">
        <f>+#REF!</f>
        <v>#REF!</v>
      </c>
      <c r="C20" s="189">
        <v>1800000</v>
      </c>
      <c r="D20" s="188"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5" t="e">
        <f>+#REF!</f>
        <v>#REF!</v>
      </c>
      <c r="B21" s="211" t="e">
        <f>+#REF!</f>
        <v>#REF!</v>
      </c>
      <c r="C21" s="188">
        <v>1800000</v>
      </c>
      <c r="D21" s="188" t="e">
        <f t="shared" si="1"/>
        <v>#REF!</v>
      </c>
      <c r="E21" s="67" t="e">
        <f>+D21*10%</f>
        <v>#REF!</v>
      </c>
      <c r="F21" s="67"/>
      <c r="G21" s="68" t="e">
        <f>+D21*$G$5</f>
        <v>#REF!</v>
      </c>
      <c r="H21" s="69">
        <f>537000*$H$5</f>
        <v>145108.14</v>
      </c>
      <c r="I21" s="69" t="e">
        <f t="shared" si="9"/>
        <v>#REF!</v>
      </c>
      <c r="J21" s="68" t="e">
        <f t="shared" si="10"/>
        <v>#REF!</v>
      </c>
      <c r="K21" s="72"/>
    </row>
    <row r="22" spans="1:11" ht="15">
      <c r="A22" s="205" t="e">
        <f>+#REF!</f>
        <v>#REF!</v>
      </c>
      <c r="B22" s="211" t="e">
        <f>+#REF!</f>
        <v>#REF!</v>
      </c>
      <c r="C22" s="188">
        <v>400000</v>
      </c>
      <c r="D22" s="188" t="e">
        <f t="shared" si="1"/>
        <v>#REF!</v>
      </c>
      <c r="E22" s="67">
        <v>0</v>
      </c>
      <c r="F22" s="67"/>
      <c r="G22" s="68">
        <v>0</v>
      </c>
      <c r="H22" s="69">
        <v>0</v>
      </c>
      <c r="I22" s="69" t="e">
        <f t="shared" si="9"/>
        <v>#REF!</v>
      </c>
      <c r="J22" s="68" t="e">
        <f t="shared" si="10"/>
        <v>#REF!</v>
      </c>
      <c r="K22" s="72"/>
    </row>
    <row r="23" spans="1:11" ht="15">
      <c r="A23" s="205" t="e">
        <f>+#REF!</f>
        <v>#REF!</v>
      </c>
      <c r="B23" s="211" t="e">
        <f>+#REF!</f>
        <v>#REF!</v>
      </c>
      <c r="C23" s="188">
        <v>1380000</v>
      </c>
      <c r="D23" s="188" t="e">
        <f t="shared" si="1"/>
        <v>#REF!</v>
      </c>
      <c r="E23" s="67" t="e">
        <f>+D23*10%</f>
        <v>#REF!</v>
      </c>
      <c r="F23" s="67"/>
      <c r="G23" s="68" t="e">
        <f>+D23*$G$5</f>
        <v>#REF!</v>
      </c>
      <c r="H23" s="69">
        <f>537000*$H$5</f>
        <v>145108.14</v>
      </c>
      <c r="I23" s="69" t="e">
        <f t="shared" si="9"/>
        <v>#REF!</v>
      </c>
      <c r="J23" s="68" t="e">
        <f t="shared" si="10"/>
        <v>#REF!</v>
      </c>
      <c r="K23" s="72"/>
    </row>
    <row r="24" spans="1:11" ht="15">
      <c r="A24" s="200" t="e">
        <f>+#REF!</f>
        <v>#REF!</v>
      </c>
      <c r="B24" s="213" t="e">
        <f>+#REF!</f>
        <v>#REF!</v>
      </c>
      <c r="C24" s="188">
        <v>500000</v>
      </c>
      <c r="D24" s="188" t="e">
        <f t="shared" si="1"/>
        <v>#REF!</v>
      </c>
      <c r="E24" s="67">
        <v>0</v>
      </c>
      <c r="F24" s="67"/>
      <c r="G24" s="68">
        <v>0</v>
      </c>
      <c r="H24" s="69">
        <v>0</v>
      </c>
      <c r="I24" s="69" t="e">
        <f t="shared" si="9"/>
        <v>#REF!</v>
      </c>
      <c r="J24" s="68" t="e">
        <f t="shared" si="10"/>
        <v>#REF!</v>
      </c>
      <c r="K24" s="72"/>
    </row>
    <row r="25" spans="1:11" ht="15.75" thickBot="1">
      <c r="A25" s="204" t="e">
        <f>+#REF!</f>
        <v>#REF!</v>
      </c>
      <c r="B25" s="215" t="e">
        <f>+#REF!</f>
        <v>#REF!</v>
      </c>
      <c r="C25" s="190">
        <v>1700000</v>
      </c>
      <c r="D25" s="188" t="e">
        <f t="shared" si="1"/>
        <v>#REF!</v>
      </c>
      <c r="E25" s="67" t="e">
        <f>+D25*10%</f>
        <v>#REF!</v>
      </c>
      <c r="F25" s="67"/>
      <c r="G25" s="68" t="e">
        <f>+D25*$G$5</f>
        <v>#REF!</v>
      </c>
      <c r="H25" s="69">
        <f>537000*$H$5</f>
        <v>145108.14</v>
      </c>
      <c r="I25" s="69" t="e">
        <f t="shared" si="9"/>
        <v>#REF!</v>
      </c>
      <c r="J25" s="68" t="e">
        <f t="shared" si="10"/>
        <v>#REF!</v>
      </c>
      <c r="K25" s="72"/>
    </row>
    <row r="26" spans="1:11" ht="15.75" thickBot="1">
      <c r="A26" s="73" t="s">
        <v>114</v>
      </c>
      <c r="B26" s="62" t="e">
        <f aca="true" t="shared" si="11" ref="B26:I26">SUM(B27:B39)</f>
        <v>#REF!</v>
      </c>
      <c r="C26" s="218">
        <f t="shared" si="11"/>
        <v>12700000</v>
      </c>
      <c r="D26" s="218"/>
      <c r="E26" s="218" t="e">
        <f t="shared" si="11"/>
        <v>#REF!</v>
      </c>
      <c r="F26" s="218"/>
      <c r="G26" s="62" t="e">
        <f>SUM(G27:G39)</f>
        <v>#REF!</v>
      </c>
      <c r="H26" s="74">
        <f t="shared" si="11"/>
        <v>1886405.8200000008</v>
      </c>
      <c r="I26" s="74" t="e">
        <f t="shared" si="11"/>
        <v>#REF!</v>
      </c>
      <c r="J26" s="62" t="e">
        <f>SUM(J27:J39)</f>
        <v>#REF!</v>
      </c>
      <c r="K26" s="72"/>
    </row>
    <row r="27" spans="1:11" ht="15.75" thickBot="1">
      <c r="A27" s="208" t="e">
        <f>+#REF!</f>
        <v>#REF!</v>
      </c>
      <c r="B27" s="216" t="e">
        <f>+#REF!</f>
        <v>#REF!</v>
      </c>
      <c r="C27" s="191">
        <v>2000000</v>
      </c>
      <c r="D27" s="191"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6" t="e">
        <f>+#REF!</f>
        <v>#REF!</v>
      </c>
      <c r="B28" s="212" t="e">
        <f>+#REF!</f>
        <v>#REF!</v>
      </c>
      <c r="C28" s="189">
        <v>1300000</v>
      </c>
      <c r="D28" s="189" t="e">
        <f t="shared" si="1"/>
        <v>#REF!</v>
      </c>
      <c r="E28" s="79" t="e">
        <f t="shared" si="12"/>
        <v>#REF!</v>
      </c>
      <c r="F28" s="79"/>
      <c r="G28" s="221" t="e">
        <f t="shared" si="13"/>
        <v>#REF!</v>
      </c>
      <c r="H28" s="79">
        <f t="shared" si="14"/>
        <v>145108.14</v>
      </c>
      <c r="I28" s="79" t="e">
        <f t="shared" si="15"/>
        <v>#REF!</v>
      </c>
      <c r="J28" s="70" t="e">
        <f t="shared" si="16"/>
        <v>#REF!</v>
      </c>
      <c r="K28" s="72"/>
    </row>
    <row r="29" spans="1:11" ht="15">
      <c r="A29" s="205" t="e">
        <f>+#REF!</f>
        <v>#REF!</v>
      </c>
      <c r="B29" s="211" t="e">
        <f>+#REF!</f>
        <v>#REF!</v>
      </c>
      <c r="C29" s="188">
        <v>1300000</v>
      </c>
      <c r="D29" s="188" t="e">
        <f t="shared" si="1"/>
        <v>#REF!</v>
      </c>
      <c r="E29" s="67" t="e">
        <f t="shared" si="12"/>
        <v>#REF!</v>
      </c>
      <c r="F29" s="67"/>
      <c r="G29" s="222" t="e">
        <f t="shared" si="13"/>
        <v>#REF!</v>
      </c>
      <c r="H29" s="67">
        <f t="shared" si="14"/>
        <v>145108.14</v>
      </c>
      <c r="I29" s="67" t="e">
        <f t="shared" si="15"/>
        <v>#REF!</v>
      </c>
      <c r="J29" s="68" t="e">
        <f t="shared" si="16"/>
        <v>#REF!</v>
      </c>
      <c r="K29" s="72"/>
    </row>
    <row r="30" spans="1:11" ht="15.75" thickBot="1">
      <c r="A30" s="204" t="e">
        <f>+#REF!</f>
        <v>#REF!</v>
      </c>
      <c r="B30" s="215" t="e">
        <f>+#REF!</f>
        <v>#REF!</v>
      </c>
      <c r="C30" s="190">
        <v>1300000</v>
      </c>
      <c r="D30" s="190" t="e">
        <f t="shared" si="1"/>
        <v>#REF!</v>
      </c>
      <c r="E30" s="81" t="e">
        <f t="shared" si="12"/>
        <v>#REF!</v>
      </c>
      <c r="F30" s="81"/>
      <c r="G30" s="223" t="e">
        <f t="shared" si="13"/>
        <v>#REF!</v>
      </c>
      <c r="H30" s="81">
        <f t="shared" si="14"/>
        <v>145108.14</v>
      </c>
      <c r="I30" s="81" t="e">
        <f t="shared" si="15"/>
        <v>#REF!</v>
      </c>
      <c r="J30" s="71" t="e">
        <f t="shared" si="16"/>
        <v>#REF!</v>
      </c>
      <c r="K30" s="72"/>
    </row>
    <row r="31" spans="1:11" ht="15">
      <c r="A31" s="205" t="e">
        <f>+#REF!</f>
        <v>#REF!</v>
      </c>
      <c r="B31" s="211" t="e">
        <f>+#REF!</f>
        <v>#REF!</v>
      </c>
      <c r="C31" s="188">
        <v>900000</v>
      </c>
      <c r="D31" s="188" t="e">
        <f t="shared" si="1"/>
        <v>#REF!</v>
      </c>
      <c r="E31" s="67" t="e">
        <f t="shared" si="12"/>
        <v>#REF!</v>
      </c>
      <c r="F31" s="67"/>
      <c r="G31" s="222" t="e">
        <f t="shared" si="13"/>
        <v>#REF!</v>
      </c>
      <c r="H31" s="67">
        <f t="shared" si="14"/>
        <v>145108.14</v>
      </c>
      <c r="I31" s="67" t="e">
        <f t="shared" si="15"/>
        <v>#REF!</v>
      </c>
      <c r="J31" s="68" t="e">
        <f t="shared" si="16"/>
        <v>#REF!</v>
      </c>
      <c r="K31" s="72"/>
    </row>
    <row r="32" spans="1:11" ht="15">
      <c r="A32" s="205" t="e">
        <f>+#REF!</f>
        <v>#REF!</v>
      </c>
      <c r="B32" s="211" t="e">
        <f>+#REF!</f>
        <v>#REF!</v>
      </c>
      <c r="C32" s="188">
        <v>900000</v>
      </c>
      <c r="D32" s="188" t="e">
        <f t="shared" si="1"/>
        <v>#REF!</v>
      </c>
      <c r="E32" s="67" t="e">
        <f t="shared" si="12"/>
        <v>#REF!</v>
      </c>
      <c r="F32" s="67"/>
      <c r="G32" s="222" t="e">
        <f t="shared" si="13"/>
        <v>#REF!</v>
      </c>
      <c r="H32" s="67">
        <f t="shared" si="14"/>
        <v>145108.14</v>
      </c>
      <c r="I32" s="67" t="e">
        <f t="shared" si="15"/>
        <v>#REF!</v>
      </c>
      <c r="J32" s="68" t="e">
        <f t="shared" si="16"/>
        <v>#REF!</v>
      </c>
      <c r="K32" s="72"/>
    </row>
    <row r="33" spans="1:11" ht="15">
      <c r="A33" s="205" t="e">
        <f>+#REF!</f>
        <v>#REF!</v>
      </c>
      <c r="B33" s="211" t="e">
        <f>+#REF!</f>
        <v>#REF!</v>
      </c>
      <c r="C33" s="188">
        <v>900000</v>
      </c>
      <c r="D33" s="188" t="e">
        <f t="shared" si="1"/>
        <v>#REF!</v>
      </c>
      <c r="E33" s="67" t="e">
        <f t="shared" si="12"/>
        <v>#REF!</v>
      </c>
      <c r="F33" s="67"/>
      <c r="G33" s="222" t="e">
        <f t="shared" si="13"/>
        <v>#REF!</v>
      </c>
      <c r="H33" s="67">
        <f t="shared" si="14"/>
        <v>145108.14</v>
      </c>
      <c r="I33" s="67" t="e">
        <f t="shared" si="15"/>
        <v>#REF!</v>
      </c>
      <c r="J33" s="68" t="e">
        <f t="shared" si="16"/>
        <v>#REF!</v>
      </c>
      <c r="K33" s="72"/>
    </row>
    <row r="34" spans="1:11" ht="15">
      <c r="A34" s="205" t="e">
        <f>+#REF!</f>
        <v>#REF!</v>
      </c>
      <c r="B34" s="211" t="e">
        <f>+#REF!</f>
        <v>#REF!</v>
      </c>
      <c r="C34" s="188">
        <v>900000</v>
      </c>
      <c r="D34" s="188" t="e">
        <f t="shared" si="1"/>
        <v>#REF!</v>
      </c>
      <c r="E34" s="67" t="e">
        <f t="shared" si="12"/>
        <v>#REF!</v>
      </c>
      <c r="F34" s="67"/>
      <c r="G34" s="222" t="e">
        <f t="shared" si="13"/>
        <v>#REF!</v>
      </c>
      <c r="H34" s="67">
        <f t="shared" si="14"/>
        <v>145108.14</v>
      </c>
      <c r="I34" s="67" t="e">
        <f t="shared" si="15"/>
        <v>#REF!</v>
      </c>
      <c r="J34" s="68" t="e">
        <f t="shared" si="16"/>
        <v>#REF!</v>
      </c>
      <c r="K34" s="72"/>
    </row>
    <row r="35" spans="1:11" ht="15">
      <c r="A35" s="205" t="e">
        <f>+#REF!</f>
        <v>#REF!</v>
      </c>
      <c r="B35" s="211" t="e">
        <f>+#REF!</f>
        <v>#REF!</v>
      </c>
      <c r="C35" s="188">
        <v>700000</v>
      </c>
      <c r="D35" s="188" t="e">
        <f t="shared" si="1"/>
        <v>#REF!</v>
      </c>
      <c r="E35" s="67" t="e">
        <f t="shared" si="12"/>
        <v>#REF!</v>
      </c>
      <c r="F35" s="67"/>
      <c r="G35" s="222" t="e">
        <f t="shared" si="13"/>
        <v>#REF!</v>
      </c>
      <c r="H35" s="67">
        <f t="shared" si="14"/>
        <v>145108.14</v>
      </c>
      <c r="I35" s="67" t="e">
        <f t="shared" si="15"/>
        <v>#REF!</v>
      </c>
      <c r="J35" s="68" t="e">
        <f t="shared" si="16"/>
        <v>#REF!</v>
      </c>
      <c r="K35" s="72"/>
    </row>
    <row r="36" spans="1:11" ht="15">
      <c r="A36" s="205" t="e">
        <f>+#REF!</f>
        <v>#REF!</v>
      </c>
      <c r="B36" s="211" t="e">
        <f>+#REF!</f>
        <v>#REF!</v>
      </c>
      <c r="C36" s="188">
        <v>700000</v>
      </c>
      <c r="D36" s="188" t="e">
        <f t="shared" si="1"/>
        <v>#REF!</v>
      </c>
      <c r="E36" s="67" t="e">
        <f t="shared" si="12"/>
        <v>#REF!</v>
      </c>
      <c r="F36" s="67"/>
      <c r="G36" s="222" t="e">
        <f t="shared" si="13"/>
        <v>#REF!</v>
      </c>
      <c r="H36" s="67">
        <f t="shared" si="14"/>
        <v>145108.14</v>
      </c>
      <c r="I36" s="67" t="e">
        <f t="shared" si="15"/>
        <v>#REF!</v>
      </c>
      <c r="J36" s="68" t="e">
        <f t="shared" si="16"/>
        <v>#REF!</v>
      </c>
      <c r="K36" s="72"/>
    </row>
    <row r="37" spans="1:11" ht="15.75" thickBot="1">
      <c r="A37" s="204" t="e">
        <f>+#REF!</f>
        <v>#REF!</v>
      </c>
      <c r="B37" s="215" t="e">
        <f>+#REF!</f>
        <v>#REF!</v>
      </c>
      <c r="C37" s="190">
        <v>700000</v>
      </c>
      <c r="D37" s="190" t="e">
        <f t="shared" si="1"/>
        <v>#REF!</v>
      </c>
      <c r="E37" s="81" t="e">
        <f t="shared" si="12"/>
        <v>#REF!</v>
      </c>
      <c r="F37" s="81"/>
      <c r="G37" s="223" t="e">
        <f t="shared" si="13"/>
        <v>#REF!</v>
      </c>
      <c r="H37" s="81">
        <f t="shared" si="14"/>
        <v>145108.14</v>
      </c>
      <c r="I37" s="81" t="e">
        <f t="shared" si="15"/>
        <v>#REF!</v>
      </c>
      <c r="J37" s="71" t="e">
        <f t="shared" si="16"/>
        <v>#REF!</v>
      </c>
      <c r="K37" s="72"/>
    </row>
    <row r="38" spans="1:11" ht="15">
      <c r="A38" s="205" t="e">
        <f>+#REF!</f>
        <v>#REF!</v>
      </c>
      <c r="B38" s="211" t="e">
        <f>+#REF!</f>
        <v>#REF!</v>
      </c>
      <c r="C38" s="188">
        <v>550000</v>
      </c>
      <c r="D38" s="188" t="e">
        <f t="shared" si="1"/>
        <v>#REF!</v>
      </c>
      <c r="E38" s="67" t="e">
        <f t="shared" si="12"/>
        <v>#REF!</v>
      </c>
      <c r="F38" s="67"/>
      <c r="G38" s="222" t="e">
        <f t="shared" si="13"/>
        <v>#REF!</v>
      </c>
      <c r="H38" s="67">
        <f t="shared" si="14"/>
        <v>145108.14</v>
      </c>
      <c r="I38" s="67" t="e">
        <f t="shared" si="15"/>
        <v>#REF!</v>
      </c>
      <c r="J38" s="68" t="e">
        <f t="shared" si="16"/>
        <v>#REF!</v>
      </c>
      <c r="K38" s="72"/>
    </row>
    <row r="39" spans="1:11" ht="15.75" thickBot="1">
      <c r="A39" s="184" t="e">
        <f>+#REF!</f>
        <v>#REF!</v>
      </c>
      <c r="B39" s="199" t="e">
        <f>+#REF!</f>
        <v>#REF!</v>
      </c>
      <c r="C39" s="190">
        <v>550000</v>
      </c>
      <c r="D39" s="188"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121</v>
      </c>
      <c r="B40" s="84" t="e">
        <f>+B26+B19+B12+B6</f>
        <v>#REF!</v>
      </c>
      <c r="C40" s="193">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4" t="s">
        <v>192</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xl/worksheets/sheet6.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494" t="s">
        <v>122</v>
      </c>
      <c r="B1" s="495"/>
      <c r="C1" s="495"/>
      <c r="D1" s="495"/>
      <c r="E1" s="495"/>
      <c r="F1" s="495"/>
      <c r="G1" s="495"/>
      <c r="H1" s="495"/>
      <c r="I1" s="495"/>
    </row>
    <row r="2" spans="1:8" ht="15.75" thickBot="1">
      <c r="A2" s="55"/>
      <c r="B2" s="56"/>
      <c r="C2" s="56"/>
      <c r="D2" s="56"/>
      <c r="E2" s="56"/>
      <c r="F2" s="56"/>
      <c r="G2" s="56"/>
      <c r="H2" s="56"/>
    </row>
    <row r="3" spans="1:8" s="58" customFormat="1" ht="14.25">
      <c r="A3" s="201" t="s">
        <v>101</v>
      </c>
      <c r="B3" s="40" t="s">
        <v>102</v>
      </c>
      <c r="C3" s="186" t="s">
        <v>103</v>
      </c>
      <c r="D3" s="40" t="s">
        <v>103</v>
      </c>
      <c r="E3" s="40" t="s">
        <v>123</v>
      </c>
      <c r="F3" s="40" t="s">
        <v>104</v>
      </c>
      <c r="G3" s="40" t="s">
        <v>123</v>
      </c>
      <c r="H3" s="57" t="s">
        <v>124</v>
      </c>
    </row>
    <row r="4" spans="1:8" s="58" customFormat="1" ht="15" customHeight="1" thickBot="1">
      <c r="A4" s="55"/>
      <c r="B4" s="59"/>
      <c r="C4" s="187" t="s">
        <v>169</v>
      </c>
      <c r="D4" s="59" t="s">
        <v>77</v>
      </c>
      <c r="E4" s="41" t="s">
        <v>125</v>
      </c>
      <c r="F4" s="41" t="s">
        <v>82</v>
      </c>
      <c r="G4" s="41" t="s">
        <v>82</v>
      </c>
      <c r="H4" s="60" t="s">
        <v>76</v>
      </c>
    </row>
    <row r="5" spans="1:10" s="58" customFormat="1" ht="15" customHeight="1" thickBot="1">
      <c r="A5" s="61" t="s">
        <v>105</v>
      </c>
      <c r="B5" s="62">
        <f>+B6+B7+B8+B9+B10</f>
        <v>5</v>
      </c>
      <c r="C5" s="217">
        <f aca="true" t="shared" si="0" ref="C5:H5">SUM(C6:C10)</f>
        <v>19000000</v>
      </c>
      <c r="D5" s="218">
        <f t="shared" si="0"/>
        <v>19000000</v>
      </c>
      <c r="E5" s="62">
        <f t="shared" si="0"/>
        <v>760000</v>
      </c>
      <c r="F5" s="63">
        <f t="shared" si="0"/>
        <v>3040000</v>
      </c>
      <c r="G5" s="64">
        <f t="shared" si="0"/>
        <v>22800000</v>
      </c>
      <c r="H5" s="65">
        <f t="shared" si="0"/>
        <v>273600000</v>
      </c>
      <c r="J5" s="66"/>
    </row>
    <row r="6" spans="1:10" s="58" customFormat="1" ht="15" customHeight="1">
      <c r="A6" s="202" t="s">
        <v>41</v>
      </c>
      <c r="B6" s="209">
        <v>1</v>
      </c>
      <c r="C6" s="194">
        <v>3800000</v>
      </c>
      <c r="D6" s="67">
        <v>3800000</v>
      </c>
      <c r="E6" s="68">
        <f>+D6*0.04</f>
        <v>152000</v>
      </c>
      <c r="F6" s="69">
        <f>+D6*0.16</f>
        <v>608000</v>
      </c>
      <c r="G6" s="69">
        <f>+F6+E6+D6</f>
        <v>4560000</v>
      </c>
      <c r="H6" s="70">
        <f>+G6*12</f>
        <v>54720000</v>
      </c>
      <c r="J6" s="66"/>
    </row>
    <row r="7" spans="1:8" s="58" customFormat="1" ht="15" customHeight="1">
      <c r="A7" s="203" t="s">
        <v>106</v>
      </c>
      <c r="B7" s="210">
        <v>1</v>
      </c>
      <c r="C7" s="196">
        <v>3800000</v>
      </c>
      <c r="D7" s="67">
        <v>3800000</v>
      </c>
      <c r="E7" s="68">
        <f>+D7*0.04</f>
        <v>152000</v>
      </c>
      <c r="F7" s="69">
        <f>+D7*0.16</f>
        <v>608000</v>
      </c>
      <c r="G7" s="69">
        <f>+F7+E7+D7</f>
        <v>4560000</v>
      </c>
      <c r="H7" s="68">
        <f>+G7*12</f>
        <v>54720000</v>
      </c>
    </row>
    <row r="8" spans="1:8" s="58" customFormat="1" ht="15" customHeight="1">
      <c r="A8" s="203" t="s">
        <v>15</v>
      </c>
      <c r="B8" s="210">
        <v>1</v>
      </c>
      <c r="C8" s="196">
        <v>3800000</v>
      </c>
      <c r="D8" s="67">
        <v>3800000</v>
      </c>
      <c r="E8" s="68">
        <f>+D8*0.04</f>
        <v>152000</v>
      </c>
      <c r="F8" s="69">
        <f>+D8*0.16</f>
        <v>608000</v>
      </c>
      <c r="G8" s="69">
        <f>+F8+E8+D8</f>
        <v>4560000</v>
      </c>
      <c r="H8" s="68">
        <f>+G8*12</f>
        <v>54720000</v>
      </c>
    </row>
    <row r="9" spans="1:8" s="58" customFormat="1" ht="15" customHeight="1">
      <c r="A9" s="203" t="s">
        <v>16</v>
      </c>
      <c r="B9" s="210">
        <v>1</v>
      </c>
      <c r="C9" s="196">
        <v>3800000</v>
      </c>
      <c r="D9" s="67">
        <v>3800000</v>
      </c>
      <c r="E9" s="68">
        <f>+D9*0.04</f>
        <v>152000</v>
      </c>
      <c r="F9" s="69">
        <f>+D9*0.16</f>
        <v>608000</v>
      </c>
      <c r="G9" s="69">
        <f>+F9+E9+D9</f>
        <v>4560000</v>
      </c>
      <c r="H9" s="68">
        <f>+G9*12</f>
        <v>54720000</v>
      </c>
    </row>
    <row r="10" spans="1:8" s="72" customFormat="1" ht="15" customHeight="1" thickBot="1">
      <c r="A10" s="204" t="s">
        <v>9</v>
      </c>
      <c r="B10" s="215">
        <v>1</v>
      </c>
      <c r="C10" s="195">
        <v>3800000</v>
      </c>
      <c r="D10" s="67">
        <v>3800000</v>
      </c>
      <c r="E10" s="68">
        <f>+D10*0.04</f>
        <v>152000</v>
      </c>
      <c r="F10" s="69">
        <f>+D10*0.16</f>
        <v>608000</v>
      </c>
      <c r="G10" s="69">
        <f>+F10+E10+D10</f>
        <v>4560000</v>
      </c>
      <c r="H10" s="68">
        <f>+G10*12</f>
        <v>54720000</v>
      </c>
    </row>
    <row r="11" spans="1:8" s="72" customFormat="1" ht="15" customHeight="1" thickBot="1">
      <c r="A11" s="73" t="s">
        <v>107</v>
      </c>
      <c r="B11" s="62">
        <f aca="true" t="shared" si="1" ref="B11:H11">SUM(B12:B17)</f>
        <v>6</v>
      </c>
      <c r="C11" s="197">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5" t="s">
        <v>108</v>
      </c>
      <c r="B12" s="211">
        <v>1</v>
      </c>
      <c r="C12" s="188">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6" t="s">
        <v>20</v>
      </c>
      <c r="B13" s="212">
        <v>1</v>
      </c>
      <c r="C13" s="188">
        <v>3000000</v>
      </c>
      <c r="D13" s="68">
        <v>3000000</v>
      </c>
      <c r="E13" s="68">
        <f t="shared" si="2"/>
        <v>120000</v>
      </c>
      <c r="F13" s="69">
        <f t="shared" si="3"/>
        <v>480000</v>
      </c>
      <c r="G13" s="69">
        <f t="shared" si="4"/>
        <v>3600000</v>
      </c>
      <c r="H13" s="68">
        <f t="shared" si="5"/>
        <v>43200000</v>
      </c>
    </row>
    <row r="14" spans="1:8" s="72" customFormat="1" ht="15" customHeight="1">
      <c r="A14" s="206" t="s">
        <v>18</v>
      </c>
      <c r="B14" s="212">
        <v>1</v>
      </c>
      <c r="C14" s="188">
        <v>2500000</v>
      </c>
      <c r="D14" s="68">
        <v>2500000</v>
      </c>
      <c r="E14" s="68">
        <f t="shared" si="2"/>
        <v>100000</v>
      </c>
      <c r="F14" s="69">
        <f t="shared" si="3"/>
        <v>400000</v>
      </c>
      <c r="G14" s="69">
        <f t="shared" si="4"/>
        <v>3000000</v>
      </c>
      <c r="H14" s="68">
        <f t="shared" si="5"/>
        <v>36000000</v>
      </c>
    </row>
    <row r="15" spans="1:8" s="72" customFormat="1" ht="15" customHeight="1">
      <c r="A15" s="205" t="s">
        <v>10</v>
      </c>
      <c r="B15" s="211">
        <v>1</v>
      </c>
      <c r="C15" s="188">
        <v>2500000</v>
      </c>
      <c r="D15" s="68">
        <v>2500000</v>
      </c>
      <c r="E15" s="68">
        <f t="shared" si="2"/>
        <v>100000</v>
      </c>
      <c r="F15" s="69">
        <f t="shared" si="3"/>
        <v>400000</v>
      </c>
      <c r="G15" s="69">
        <f t="shared" si="4"/>
        <v>3000000</v>
      </c>
      <c r="H15" s="68">
        <f t="shared" si="5"/>
        <v>36000000</v>
      </c>
    </row>
    <row r="16" spans="1:8" s="72" customFormat="1" ht="15" customHeight="1">
      <c r="A16" s="205" t="s">
        <v>109</v>
      </c>
      <c r="B16" s="211">
        <v>1</v>
      </c>
      <c r="C16" s="188">
        <v>2500000</v>
      </c>
      <c r="D16" s="68">
        <v>2500000</v>
      </c>
      <c r="E16" s="68">
        <f t="shared" si="2"/>
        <v>100000</v>
      </c>
      <c r="F16" s="69">
        <f t="shared" si="3"/>
        <v>400000</v>
      </c>
      <c r="G16" s="69">
        <f t="shared" si="4"/>
        <v>3000000</v>
      </c>
      <c r="H16" s="68">
        <f t="shared" si="5"/>
        <v>36000000</v>
      </c>
    </row>
    <row r="17" spans="1:8" s="72" customFormat="1" ht="15" customHeight="1" thickBot="1">
      <c r="A17" s="200" t="s">
        <v>19</v>
      </c>
      <c r="B17" s="213">
        <v>1</v>
      </c>
      <c r="C17" s="188">
        <v>2500000</v>
      </c>
      <c r="D17" s="68">
        <v>2500000</v>
      </c>
      <c r="E17" s="68">
        <f t="shared" si="2"/>
        <v>100000</v>
      </c>
      <c r="F17" s="69">
        <f t="shared" si="3"/>
        <v>400000</v>
      </c>
      <c r="G17" s="69">
        <f t="shared" si="4"/>
        <v>3000000</v>
      </c>
      <c r="H17" s="68">
        <f t="shared" si="5"/>
        <v>36000000</v>
      </c>
    </row>
    <row r="18" spans="1:8" s="72" customFormat="1" ht="15" customHeight="1" thickBot="1">
      <c r="A18" s="73" t="s">
        <v>110</v>
      </c>
      <c r="B18" s="62">
        <f>+B19+B20+B22+B24</f>
        <v>22</v>
      </c>
      <c r="C18" s="197">
        <f aca="true" t="shared" si="6" ref="C18:H18">SUM(C19:C24)</f>
        <v>7580000</v>
      </c>
      <c r="D18" s="218">
        <f t="shared" si="6"/>
        <v>43540000</v>
      </c>
      <c r="E18" s="62">
        <f t="shared" si="6"/>
        <v>1521600</v>
      </c>
      <c r="F18" s="74">
        <f t="shared" si="6"/>
        <v>6086400</v>
      </c>
      <c r="G18" s="75">
        <f t="shared" si="6"/>
        <v>51148000</v>
      </c>
      <c r="H18" s="62">
        <f t="shared" si="6"/>
        <v>613776000</v>
      </c>
    </row>
    <row r="19" spans="1:8" s="72" customFormat="1" ht="15" customHeight="1">
      <c r="A19" s="207" t="s">
        <v>111</v>
      </c>
      <c r="B19" s="214">
        <v>6</v>
      </c>
      <c r="C19" s="189">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5" t="s">
        <v>126</v>
      </c>
      <c r="B20" s="211">
        <v>10</v>
      </c>
      <c r="C20" s="188">
        <v>1800000</v>
      </c>
      <c r="D20" s="68">
        <f t="shared" si="7"/>
        <v>18000000</v>
      </c>
      <c r="E20" s="68">
        <f t="shared" si="8"/>
        <v>720000</v>
      </c>
      <c r="F20" s="219">
        <f>+D20*16%</f>
        <v>2880000</v>
      </c>
      <c r="G20" s="69">
        <f t="shared" si="9"/>
        <v>21600000</v>
      </c>
      <c r="H20" s="68">
        <f t="shared" si="10"/>
        <v>259200000</v>
      </c>
    </row>
    <row r="21" spans="1:8" s="72" customFormat="1" ht="15" customHeight="1">
      <c r="A21" s="205" t="s">
        <v>166</v>
      </c>
      <c r="B21" s="211">
        <v>10</v>
      </c>
      <c r="C21" s="188">
        <v>400000</v>
      </c>
      <c r="D21" s="68">
        <f t="shared" si="7"/>
        <v>4000000</v>
      </c>
      <c r="E21" s="68">
        <v>0</v>
      </c>
      <c r="F21" s="69">
        <v>0</v>
      </c>
      <c r="G21" s="69">
        <f>+F21+E21+D21</f>
        <v>4000000</v>
      </c>
      <c r="H21" s="68">
        <f t="shared" si="10"/>
        <v>48000000</v>
      </c>
    </row>
    <row r="22" spans="1:8" s="72" customFormat="1" ht="15" customHeight="1">
      <c r="A22" s="205" t="s">
        <v>112</v>
      </c>
      <c r="B22" s="211">
        <v>3</v>
      </c>
      <c r="C22" s="188">
        <v>1380000</v>
      </c>
      <c r="D22" s="68">
        <f t="shared" si="7"/>
        <v>4140000</v>
      </c>
      <c r="E22" s="68">
        <f t="shared" si="8"/>
        <v>165600</v>
      </c>
      <c r="F22" s="69">
        <f>+D22*16%</f>
        <v>662400</v>
      </c>
      <c r="G22" s="69">
        <f t="shared" si="9"/>
        <v>4968000</v>
      </c>
      <c r="H22" s="68">
        <f t="shared" si="10"/>
        <v>59616000</v>
      </c>
    </row>
    <row r="23" spans="1:8" s="72" customFormat="1" ht="15" customHeight="1">
      <c r="A23" s="200" t="s">
        <v>167</v>
      </c>
      <c r="B23" s="213">
        <v>3</v>
      </c>
      <c r="C23" s="188">
        <v>500000</v>
      </c>
      <c r="D23" s="68">
        <f t="shared" si="7"/>
        <v>1500000</v>
      </c>
      <c r="E23" s="68">
        <v>0</v>
      </c>
      <c r="F23" s="69">
        <v>0</v>
      </c>
      <c r="G23" s="69">
        <f>+F23+E23+D23</f>
        <v>1500000</v>
      </c>
      <c r="H23" s="68">
        <f t="shared" si="10"/>
        <v>18000000</v>
      </c>
    </row>
    <row r="24" spans="1:8" s="72" customFormat="1" ht="15" customHeight="1" thickBot="1">
      <c r="A24" s="204" t="s">
        <v>113</v>
      </c>
      <c r="B24" s="215">
        <v>3</v>
      </c>
      <c r="C24" s="190">
        <v>1700000</v>
      </c>
      <c r="D24" s="71">
        <f t="shared" si="7"/>
        <v>5100000</v>
      </c>
      <c r="E24" s="68">
        <f t="shared" si="8"/>
        <v>204000</v>
      </c>
      <c r="F24" s="69">
        <f>+D24*0.16</f>
        <v>816000</v>
      </c>
      <c r="G24" s="69">
        <f t="shared" si="9"/>
        <v>6120000</v>
      </c>
      <c r="H24" s="68">
        <f t="shared" si="10"/>
        <v>73440000</v>
      </c>
    </row>
    <row r="25" spans="1:8" s="72" customFormat="1" ht="15" customHeight="1" thickBot="1">
      <c r="A25" s="73" t="s">
        <v>114</v>
      </c>
      <c r="B25" s="62">
        <f aca="true" t="shared" si="11" ref="B25:H25">SUM(B26:B38)</f>
        <v>13</v>
      </c>
      <c r="C25" s="197">
        <f t="shared" si="11"/>
        <v>12700000</v>
      </c>
      <c r="D25" s="218">
        <f t="shared" si="11"/>
        <v>12700000</v>
      </c>
      <c r="E25" s="62">
        <f t="shared" si="11"/>
        <v>508000</v>
      </c>
      <c r="F25" s="74">
        <f t="shared" si="11"/>
        <v>2032000</v>
      </c>
      <c r="G25" s="74">
        <f t="shared" si="11"/>
        <v>15240000</v>
      </c>
      <c r="H25" s="62">
        <f t="shared" si="11"/>
        <v>182880000</v>
      </c>
    </row>
    <row r="26" spans="1:8" s="72" customFormat="1" ht="15" customHeight="1" thickBot="1">
      <c r="A26" s="208" t="s">
        <v>95</v>
      </c>
      <c r="B26" s="216">
        <v>1</v>
      </c>
      <c r="C26" s="191">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6" t="s">
        <v>94</v>
      </c>
      <c r="B27" s="212">
        <v>1</v>
      </c>
      <c r="C27" s="189">
        <v>1300000</v>
      </c>
      <c r="D27" s="79">
        <f t="shared" si="12"/>
        <v>1300000</v>
      </c>
      <c r="E27" s="70">
        <f t="shared" si="13"/>
        <v>52000</v>
      </c>
      <c r="F27" s="79">
        <f t="shared" si="14"/>
        <v>208000</v>
      </c>
      <c r="G27" s="80">
        <f t="shared" si="15"/>
        <v>1560000</v>
      </c>
      <c r="H27" s="70">
        <f t="shared" si="16"/>
        <v>18720000</v>
      </c>
    </row>
    <row r="28" spans="1:8" s="72" customFormat="1" ht="15" customHeight="1">
      <c r="A28" s="205" t="s">
        <v>93</v>
      </c>
      <c r="B28" s="211">
        <v>1</v>
      </c>
      <c r="C28" s="188">
        <v>1300000</v>
      </c>
      <c r="D28" s="67">
        <f t="shared" si="12"/>
        <v>1300000</v>
      </c>
      <c r="E28" s="68">
        <f t="shared" si="13"/>
        <v>52000</v>
      </c>
      <c r="F28" s="67">
        <f t="shared" si="14"/>
        <v>208000</v>
      </c>
      <c r="G28" s="69">
        <f t="shared" si="15"/>
        <v>1560000</v>
      </c>
      <c r="H28" s="68">
        <f t="shared" si="16"/>
        <v>18720000</v>
      </c>
    </row>
    <row r="29" spans="1:8" s="72" customFormat="1" ht="15" customHeight="1" thickBot="1">
      <c r="A29" s="204" t="s">
        <v>115</v>
      </c>
      <c r="B29" s="215">
        <v>1</v>
      </c>
      <c r="C29" s="190">
        <v>1300000</v>
      </c>
      <c r="D29" s="67">
        <f t="shared" si="12"/>
        <v>1300000</v>
      </c>
      <c r="E29" s="71">
        <f t="shared" si="13"/>
        <v>52000</v>
      </c>
      <c r="F29" s="81">
        <f t="shared" si="14"/>
        <v>208000</v>
      </c>
      <c r="G29" s="82">
        <f t="shared" si="15"/>
        <v>1560000</v>
      </c>
      <c r="H29" s="71">
        <f t="shared" si="16"/>
        <v>18720000</v>
      </c>
    </row>
    <row r="30" spans="1:8" s="72" customFormat="1" ht="15" customHeight="1">
      <c r="A30" s="206" t="s">
        <v>116</v>
      </c>
      <c r="B30" s="212">
        <v>1</v>
      </c>
      <c r="C30" s="192">
        <v>900000</v>
      </c>
      <c r="D30" s="70">
        <f t="shared" si="12"/>
        <v>900000</v>
      </c>
      <c r="E30" s="70">
        <f t="shared" si="13"/>
        <v>36000</v>
      </c>
      <c r="F30" s="79">
        <f t="shared" si="14"/>
        <v>144000</v>
      </c>
      <c r="G30" s="80">
        <f t="shared" si="15"/>
        <v>1080000</v>
      </c>
      <c r="H30" s="70">
        <f t="shared" si="16"/>
        <v>12960000</v>
      </c>
    </row>
    <row r="31" spans="1:8" s="72" customFormat="1" ht="15" customHeight="1">
      <c r="A31" s="200" t="s">
        <v>117</v>
      </c>
      <c r="B31" s="213">
        <v>1</v>
      </c>
      <c r="C31" s="192">
        <v>900000</v>
      </c>
      <c r="D31" s="68">
        <f t="shared" si="12"/>
        <v>900000</v>
      </c>
      <c r="E31" s="68">
        <f t="shared" si="13"/>
        <v>36000</v>
      </c>
      <c r="F31" s="67">
        <f t="shared" si="14"/>
        <v>144000</v>
      </c>
      <c r="G31" s="69">
        <f t="shared" si="15"/>
        <v>1080000</v>
      </c>
      <c r="H31" s="68">
        <f t="shared" si="16"/>
        <v>12960000</v>
      </c>
    </row>
    <row r="32" spans="1:8" s="72" customFormat="1" ht="15" customHeight="1">
      <c r="A32" s="200" t="s">
        <v>127</v>
      </c>
      <c r="B32" s="213">
        <v>1</v>
      </c>
      <c r="C32" s="192">
        <v>900000</v>
      </c>
      <c r="D32" s="68">
        <f t="shared" si="12"/>
        <v>900000</v>
      </c>
      <c r="E32" s="68">
        <f t="shared" si="13"/>
        <v>36000</v>
      </c>
      <c r="F32" s="67">
        <f t="shared" si="14"/>
        <v>144000</v>
      </c>
      <c r="G32" s="69">
        <f t="shared" si="15"/>
        <v>1080000</v>
      </c>
      <c r="H32" s="68">
        <f t="shared" si="16"/>
        <v>12960000</v>
      </c>
    </row>
    <row r="33" spans="1:8" s="72" customFormat="1" ht="15" customHeight="1">
      <c r="A33" s="200" t="s">
        <v>128</v>
      </c>
      <c r="B33" s="213">
        <v>1</v>
      </c>
      <c r="C33" s="192">
        <v>900000</v>
      </c>
      <c r="D33" s="68">
        <f t="shared" si="12"/>
        <v>900000</v>
      </c>
      <c r="E33" s="68">
        <f t="shared" si="13"/>
        <v>36000</v>
      </c>
      <c r="F33" s="67">
        <f t="shared" si="14"/>
        <v>144000</v>
      </c>
      <c r="G33" s="69">
        <f t="shared" si="15"/>
        <v>1080000</v>
      </c>
      <c r="H33" s="68">
        <f t="shared" si="16"/>
        <v>12960000</v>
      </c>
    </row>
    <row r="34" spans="1:8" s="72" customFormat="1" ht="15" customHeight="1">
      <c r="A34" s="200" t="s">
        <v>118</v>
      </c>
      <c r="B34" s="213">
        <v>1</v>
      </c>
      <c r="C34" s="192">
        <v>700000</v>
      </c>
      <c r="D34" s="68">
        <f t="shared" si="12"/>
        <v>700000</v>
      </c>
      <c r="E34" s="68">
        <f t="shared" si="13"/>
        <v>28000</v>
      </c>
      <c r="F34" s="67">
        <f t="shared" si="14"/>
        <v>112000</v>
      </c>
      <c r="G34" s="69">
        <f t="shared" si="15"/>
        <v>840000</v>
      </c>
      <c r="H34" s="68">
        <f t="shared" si="16"/>
        <v>10080000</v>
      </c>
    </row>
    <row r="35" spans="1:8" s="72" customFormat="1" ht="15" customHeight="1">
      <c r="A35" s="200" t="s">
        <v>119</v>
      </c>
      <c r="B35" s="213">
        <v>1</v>
      </c>
      <c r="C35" s="192">
        <v>700000</v>
      </c>
      <c r="D35" s="68">
        <f t="shared" si="12"/>
        <v>700000</v>
      </c>
      <c r="E35" s="68">
        <f t="shared" si="13"/>
        <v>28000</v>
      </c>
      <c r="F35" s="67">
        <f t="shared" si="14"/>
        <v>112000</v>
      </c>
      <c r="G35" s="69">
        <f t="shared" si="15"/>
        <v>840000</v>
      </c>
      <c r="H35" s="68">
        <f t="shared" si="16"/>
        <v>10080000</v>
      </c>
    </row>
    <row r="36" spans="1:8" s="72" customFormat="1" ht="15" customHeight="1" thickBot="1">
      <c r="A36" s="204" t="s">
        <v>168</v>
      </c>
      <c r="B36" s="215">
        <v>1</v>
      </c>
      <c r="C36" s="185">
        <v>700000</v>
      </c>
      <c r="D36" s="71">
        <f t="shared" si="12"/>
        <v>700000</v>
      </c>
      <c r="E36" s="71">
        <f t="shared" si="13"/>
        <v>28000</v>
      </c>
      <c r="F36" s="81">
        <f t="shared" si="14"/>
        <v>112000</v>
      </c>
      <c r="G36" s="82">
        <f t="shared" si="15"/>
        <v>840000</v>
      </c>
      <c r="H36" s="71">
        <f t="shared" si="16"/>
        <v>10080000</v>
      </c>
    </row>
    <row r="37" spans="1:8" s="72" customFormat="1" ht="15" customHeight="1">
      <c r="A37" s="200" t="s">
        <v>120</v>
      </c>
      <c r="B37" s="198">
        <v>1</v>
      </c>
      <c r="C37" s="192">
        <v>550000</v>
      </c>
      <c r="D37" s="68">
        <f t="shared" si="12"/>
        <v>550000</v>
      </c>
      <c r="E37" s="68">
        <f t="shared" si="13"/>
        <v>22000</v>
      </c>
      <c r="F37" s="69">
        <f t="shared" si="14"/>
        <v>88000</v>
      </c>
      <c r="G37" s="69">
        <f t="shared" si="15"/>
        <v>660000</v>
      </c>
      <c r="H37" s="68">
        <f t="shared" si="16"/>
        <v>7920000</v>
      </c>
    </row>
    <row r="38" spans="1:8" s="72" customFormat="1" ht="15" customHeight="1" thickBot="1">
      <c r="A38" s="184" t="s">
        <v>100</v>
      </c>
      <c r="B38" s="199">
        <v>1</v>
      </c>
      <c r="C38" s="190">
        <v>550000</v>
      </c>
      <c r="D38" s="71">
        <f t="shared" si="12"/>
        <v>550000</v>
      </c>
      <c r="E38" s="68">
        <f t="shared" si="13"/>
        <v>22000</v>
      </c>
      <c r="F38" s="69">
        <f t="shared" si="14"/>
        <v>88000</v>
      </c>
      <c r="G38" s="69">
        <f t="shared" si="15"/>
        <v>660000</v>
      </c>
      <c r="H38" s="68">
        <f t="shared" si="16"/>
        <v>7920000</v>
      </c>
    </row>
    <row r="39" spans="1:8" s="72" customFormat="1" ht="15" customHeight="1" thickBot="1">
      <c r="A39" s="83" t="s">
        <v>121</v>
      </c>
      <c r="B39" s="84">
        <f aca="true" t="shared" si="17" ref="B39:H39">+B25+B18+B11+B5</f>
        <v>46</v>
      </c>
      <c r="C39" s="193">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59</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60</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498" t="s">
        <v>61</v>
      </c>
      <c r="C5" s="96"/>
      <c r="D5" s="97"/>
      <c r="E5" s="98" t="s">
        <v>62</v>
      </c>
      <c r="F5" s="99" t="s">
        <v>63</v>
      </c>
      <c r="G5" s="100" t="s">
        <v>63</v>
      </c>
      <c r="H5" s="53" t="s">
        <v>64</v>
      </c>
      <c r="I5" s="101" t="s">
        <v>65</v>
      </c>
      <c r="J5" s="53" t="s">
        <v>66</v>
      </c>
      <c r="K5" s="496" t="s">
        <v>64</v>
      </c>
      <c r="L5" s="101" t="s">
        <v>67</v>
      </c>
      <c r="M5" s="101" t="s">
        <v>68</v>
      </c>
      <c r="N5" s="101" t="s">
        <v>69</v>
      </c>
      <c r="O5" s="53" t="s">
        <v>70</v>
      </c>
      <c r="P5" s="53" t="s">
        <v>71</v>
      </c>
      <c r="Q5" s="496" t="s">
        <v>72</v>
      </c>
      <c r="R5" s="496" t="s">
        <v>73</v>
      </c>
      <c r="S5" s="102" t="s">
        <v>74</v>
      </c>
      <c r="T5" s="101"/>
      <c r="U5" s="53">
        <v>0.12</v>
      </c>
      <c r="V5" s="53">
        <v>0.03</v>
      </c>
      <c r="W5" s="53">
        <v>0.02</v>
      </c>
      <c r="X5" s="53">
        <v>0.04</v>
      </c>
      <c r="Y5" s="53">
        <v>0.19397</v>
      </c>
      <c r="Z5" s="496" t="s">
        <v>11</v>
      </c>
      <c r="AA5" s="496" t="s">
        <v>75</v>
      </c>
      <c r="AB5" s="103" t="s">
        <v>76</v>
      </c>
      <c r="AC5" s="89" t="s">
        <v>77</v>
      </c>
      <c r="AD5" s="40" t="s">
        <v>78</v>
      </c>
      <c r="AE5" s="89" t="s">
        <v>77</v>
      </c>
      <c r="AF5" s="104"/>
      <c r="AG5" s="104"/>
      <c r="AH5" s="104"/>
      <c r="AI5" s="89" t="s">
        <v>76</v>
      </c>
    </row>
    <row r="6" spans="2:35" ht="15" thickBot="1">
      <c r="B6" s="499"/>
      <c r="C6" s="105"/>
      <c r="D6" s="105"/>
      <c r="E6" s="106" t="s">
        <v>79</v>
      </c>
      <c r="F6" s="106" t="s">
        <v>80</v>
      </c>
      <c r="G6" s="44" t="s">
        <v>82</v>
      </c>
      <c r="H6" s="44"/>
      <c r="I6" s="107"/>
      <c r="J6" s="44" t="s">
        <v>83</v>
      </c>
      <c r="K6" s="497"/>
      <c r="L6" s="107"/>
      <c r="M6" s="107"/>
      <c r="N6" s="44" t="s">
        <v>63</v>
      </c>
      <c r="O6" s="44"/>
      <c r="P6" s="44" t="s">
        <v>84</v>
      </c>
      <c r="Q6" s="497"/>
      <c r="R6" s="497"/>
      <c r="S6" s="44" t="s">
        <v>85</v>
      </c>
      <c r="T6" s="44" t="s">
        <v>86</v>
      </c>
      <c r="U6" s="44" t="s">
        <v>87</v>
      </c>
      <c r="V6" s="44" t="s">
        <v>88</v>
      </c>
      <c r="W6" s="44" t="s">
        <v>89</v>
      </c>
      <c r="X6" s="44" t="s">
        <v>90</v>
      </c>
      <c r="Y6" s="44" t="s">
        <v>91</v>
      </c>
      <c r="Z6" s="497"/>
      <c r="AA6" s="497"/>
      <c r="AB6" s="108">
        <v>2004</v>
      </c>
      <c r="AC6" s="41">
        <v>2004</v>
      </c>
      <c r="AD6" s="371">
        <v>0.05</v>
      </c>
      <c r="AE6" s="41">
        <v>2005</v>
      </c>
      <c r="AF6" s="34"/>
      <c r="AG6" s="34"/>
      <c r="AH6" s="34"/>
      <c r="AI6" s="41">
        <v>2005</v>
      </c>
    </row>
    <row r="7" spans="2:35" ht="15">
      <c r="B7" s="109" t="s">
        <v>129</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92</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130</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131</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92</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132</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133</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93</v>
      </c>
      <c r="C14" s="116" t="s">
        <v>13</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94</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95</v>
      </c>
      <c r="C16" s="116" t="s">
        <v>13</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96</v>
      </c>
      <c r="C17" s="116" t="s">
        <v>97</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98</v>
      </c>
      <c r="C18" s="116" t="s">
        <v>13</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99</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100</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134</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81</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2010-08-05T19:13:59Z</cp:lastPrinted>
  <dcterms:created xsi:type="dcterms:W3CDTF">2004-09-15T00:05:45Z</dcterms:created>
  <dcterms:modified xsi:type="dcterms:W3CDTF">2019-10-15T21:16:56Z</dcterms:modified>
  <cp:category/>
  <cp:version/>
  <cp:contentType/>
  <cp:contentStatus/>
</cp:coreProperties>
</file>