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Presupuesto general\2020\Gasto\"/>
    </mc:Choice>
  </mc:AlternateContent>
  <xr:revisionPtr revIDLastSave="0" documentId="8_{6E067BA1-F39A-40DC-B6C5-EAB8F42DF0CA}" xr6:coauthVersionLast="45" xr6:coauthVersionMax="45" xr10:uidLastSave="{00000000-0000-0000-0000-000000000000}"/>
  <bookViews>
    <workbookView xWindow="-120" yWindow="-120" windowWidth="20730" windowHeight="11160" xr2:uid="{9D7E6DAA-7E6C-47DD-AD3C-36FA82855E0B}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hidden="1">#REF!</definedName>
    <definedName name="ANEXO" hidden="1">'[12]Inversión total en programas'!$50:$50,'[12]Inversión total en programas'!$60:$63</definedName>
    <definedName name="_xlnm.Print_Area" localSheetId="0">'Anexo 2 '!$A$1:$N$211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'[15]Anexo 1 Minagricultura'!#REF!</definedName>
    <definedName name="CABEZAS_PROYEC" localSheetId="0">'[16]Anexo 1 Minagricultura'!$C$46</definedName>
    <definedName name="CABEZAS_PROYEC">'[1]Anexo 1'!#REF!</definedName>
    <definedName name="CONTRATOS">#REF!</definedName>
    <definedName name="CUOTAPPC2005" localSheetId="0">'[16]Anexo 1 Minagricultura'!#REF!</definedName>
    <definedName name="CUOTAPPC2005">'[1]Anexo 1'!#REF!</definedName>
    <definedName name="CUOTAPPC2013" localSheetId="0">'[16]Anexo 1 Minagricultura'!#REF!</definedName>
    <definedName name="CUOTAPPC2013">'[1]Anexo 1'!#REF!</definedName>
    <definedName name="CUOTAPPC203" localSheetId="0">'[16]Anexo 1 Minagricultura'!#REF!</definedName>
    <definedName name="CUOTAPPC203">'[1]Anexo 1'!#REF!</definedName>
    <definedName name="DIAG_PPC">#REF!</definedName>
    <definedName name="DIRECCION">[17]consecutivo!$M$9:$M$13</definedName>
    <definedName name="DISTRIBUIDOR">#REF!</definedName>
    <definedName name="Dólar" localSheetId="0">#REF!</definedName>
    <definedName name="Dólar">#REF!</definedName>
    <definedName name="eeeee" localSheetId="0">'[16]Ejecución ingresos 2014'!#REF!</definedName>
    <definedName name="eeeee">'[11]Ejecución ingresos 2019'!#REF!</definedName>
    <definedName name="EPPC" localSheetId="0">'[16]Anexo 1 Minagricultura'!$C$54</definedName>
    <definedName name="EPPC">'[1]Anexo 1'!#REF!</definedName>
    <definedName name="Euro" localSheetId="0">#REF!</definedName>
    <definedName name="Euro">#REF!</definedName>
    <definedName name="FDGFDG">#REF!</definedName>
    <definedName name="FECHA_DE_RECIBIDO">[18]BASE!$E$3:$E$177</definedName>
    <definedName name="FOMENTO" localSheetId="0">'[16]Anexo 1 Minagricultura'!$C$53</definedName>
    <definedName name="FOMENTO">'[1]Anexo 1'!#REF!</definedName>
    <definedName name="FOMENTOS">'[21]Anexo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ppc">'[1]Anexo 1'!$D$14</definedName>
    <definedName name="RESERV_FUTU">#REF!</definedName>
    <definedName name="saldo" localSheetId="0">'[16]Ejecución ingresos 2014'!#REF!</definedName>
    <definedName name="saldo">'[11]Ejecución ingresos 2019'!#REF!</definedName>
    <definedName name="saldos" localSheetId="0">'[16]Ejecución ingresos 2014'!#REF!</definedName>
    <definedName name="saldos">'[11]Ejecución ingresos 2019'!#REF!</definedName>
    <definedName name="SUPERA2004" localSheetId="0">'[16]Anexo 1 Minagricultura'!#REF!</definedName>
    <definedName name="SUPERA2004">'[1]Anexo 1'!#REF!</definedName>
    <definedName name="SUPERA2005" localSheetId="0">'[16]Anexo 1 Minagricultura'!#REF!</definedName>
    <definedName name="SUPERA2005">'[1]Anexo 1'!#REF!</definedName>
    <definedName name="SUPERA2010">'[23]Anexo 1 Minagricultura'!$C$21</definedName>
    <definedName name="SUPERA2012" localSheetId="0">'[16]Anexo 1 Minagricultura'!#REF!</definedName>
    <definedName name="SUPERA2012">'[1]Anexo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VTAS2005">'[1]Anexo 1'!$D$31</definedName>
    <definedName name="xx">[24]Ingresos!$C$19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'[26]Ingresos 2014'!#REF!</definedName>
    <definedName name="ZFRONTERA">'[26]Ingresos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L8" i="1"/>
  <c r="B9" i="1"/>
  <c r="B8" i="1" s="1"/>
  <c r="C9" i="1"/>
  <c r="D9" i="1"/>
  <c r="E9" i="1"/>
  <c r="E8" i="1" s="1"/>
  <c r="F9" i="1"/>
  <c r="F19" i="1" s="1"/>
  <c r="G9" i="1"/>
  <c r="I9" i="1"/>
  <c r="B10" i="1"/>
  <c r="H10" i="1" s="1"/>
  <c r="J10" i="1" s="1"/>
  <c r="M10" i="1" s="1"/>
  <c r="C10" i="1"/>
  <c r="C8" i="1" s="1"/>
  <c r="D10" i="1"/>
  <c r="E10" i="1"/>
  <c r="F10" i="1"/>
  <c r="G10" i="1"/>
  <c r="I10" i="1"/>
  <c r="B11" i="1"/>
  <c r="C11" i="1"/>
  <c r="D11" i="1"/>
  <c r="E11" i="1"/>
  <c r="F11" i="1"/>
  <c r="H11" i="1" s="1"/>
  <c r="J11" i="1" s="1"/>
  <c r="M11" i="1" s="1"/>
  <c r="G11" i="1"/>
  <c r="I11" i="1"/>
  <c r="H12" i="1"/>
  <c r="I12" i="1"/>
  <c r="B13" i="1"/>
  <c r="C13" i="1"/>
  <c r="D13" i="1"/>
  <c r="F13" i="1"/>
  <c r="G13" i="1"/>
  <c r="G19" i="1" s="1"/>
  <c r="I13" i="1"/>
  <c r="B14" i="1"/>
  <c r="C14" i="1"/>
  <c r="D14" i="1"/>
  <c r="E14" i="1"/>
  <c r="F14" i="1"/>
  <c r="G14" i="1"/>
  <c r="I14" i="1"/>
  <c r="B15" i="1"/>
  <c r="C15" i="1"/>
  <c r="H15" i="1" s="1"/>
  <c r="D15" i="1"/>
  <c r="E15" i="1"/>
  <c r="F15" i="1"/>
  <c r="G15" i="1"/>
  <c r="I15" i="1"/>
  <c r="B16" i="1"/>
  <c r="C16" i="1"/>
  <c r="D16" i="1"/>
  <c r="E16" i="1"/>
  <c r="F16" i="1"/>
  <c r="H16" i="1" s="1"/>
  <c r="J16" i="1" s="1"/>
  <c r="M16" i="1" s="1"/>
  <c r="G16" i="1"/>
  <c r="I16" i="1"/>
  <c r="B17" i="1"/>
  <c r="C17" i="1"/>
  <c r="D17" i="1"/>
  <c r="E17" i="1"/>
  <c r="F17" i="1"/>
  <c r="G17" i="1"/>
  <c r="I17" i="1"/>
  <c r="B18" i="1"/>
  <c r="C18" i="1"/>
  <c r="D18" i="1"/>
  <c r="E18" i="1"/>
  <c r="F18" i="1"/>
  <c r="G18" i="1"/>
  <c r="H18" i="1"/>
  <c r="J18" i="1" s="1"/>
  <c r="M18" i="1" s="1"/>
  <c r="I18" i="1"/>
  <c r="E19" i="1"/>
  <c r="K19" i="1"/>
  <c r="L19" i="1"/>
  <c r="B21" i="1"/>
  <c r="C21" i="1"/>
  <c r="F21" i="1"/>
  <c r="G21" i="1"/>
  <c r="I21" i="1"/>
  <c r="B22" i="1"/>
  <c r="C22" i="1"/>
  <c r="E22" i="1"/>
  <c r="F22" i="1"/>
  <c r="F36" i="1" s="1"/>
  <c r="G22" i="1"/>
  <c r="H22" i="1"/>
  <c r="J22" i="1" s="1"/>
  <c r="M22" i="1" s="1"/>
  <c r="I22" i="1"/>
  <c r="G23" i="1"/>
  <c r="H23" i="1"/>
  <c r="I23" i="1"/>
  <c r="J23" i="1"/>
  <c r="M23" i="1" s="1"/>
  <c r="B24" i="1"/>
  <c r="C24" i="1"/>
  <c r="D24" i="1"/>
  <c r="H24" i="1" s="1"/>
  <c r="J24" i="1" s="1"/>
  <c r="M24" i="1" s="1"/>
  <c r="E24" i="1"/>
  <c r="F24" i="1"/>
  <c r="G24" i="1"/>
  <c r="G36" i="1" s="1"/>
  <c r="I24" i="1"/>
  <c r="I36" i="1" s="1"/>
  <c r="B25" i="1"/>
  <c r="C25" i="1"/>
  <c r="D25" i="1"/>
  <c r="D36" i="1" s="1"/>
  <c r="F25" i="1"/>
  <c r="G25" i="1"/>
  <c r="I25" i="1"/>
  <c r="H26" i="1"/>
  <c r="J26" i="1" s="1"/>
  <c r="M26" i="1" s="1"/>
  <c r="I26" i="1"/>
  <c r="B27" i="1"/>
  <c r="C27" i="1"/>
  <c r="D27" i="1"/>
  <c r="E27" i="1"/>
  <c r="F27" i="1"/>
  <c r="G27" i="1"/>
  <c r="I27" i="1"/>
  <c r="B28" i="1"/>
  <c r="H28" i="1" s="1"/>
  <c r="J28" i="1" s="1"/>
  <c r="M28" i="1" s="1"/>
  <c r="C28" i="1"/>
  <c r="D28" i="1"/>
  <c r="E28" i="1"/>
  <c r="G28" i="1"/>
  <c r="I28" i="1"/>
  <c r="G29" i="1"/>
  <c r="H29" i="1" s="1"/>
  <c r="J29" i="1" s="1"/>
  <c r="M29" i="1" s="1"/>
  <c r="I29" i="1"/>
  <c r="B30" i="1"/>
  <c r="H30" i="1" s="1"/>
  <c r="J30" i="1" s="1"/>
  <c r="M30" i="1" s="1"/>
  <c r="C30" i="1"/>
  <c r="D30" i="1"/>
  <c r="F30" i="1"/>
  <c r="G30" i="1"/>
  <c r="I30" i="1"/>
  <c r="L30" i="1"/>
  <c r="L36" i="1" s="1"/>
  <c r="L49" i="1" s="1"/>
  <c r="H31" i="1"/>
  <c r="I31" i="1"/>
  <c r="J31" i="1"/>
  <c r="M31" i="1"/>
  <c r="B32" i="1"/>
  <c r="H32" i="1" s="1"/>
  <c r="J32" i="1" s="1"/>
  <c r="M32" i="1" s="1"/>
  <c r="C32" i="1"/>
  <c r="D32" i="1"/>
  <c r="E32" i="1"/>
  <c r="F32" i="1"/>
  <c r="G32" i="1"/>
  <c r="I32" i="1"/>
  <c r="B33" i="1"/>
  <c r="F33" i="1"/>
  <c r="G33" i="1"/>
  <c r="H33" i="1"/>
  <c r="I33" i="1"/>
  <c r="J33" i="1"/>
  <c r="M33" i="1" s="1"/>
  <c r="H34" i="1"/>
  <c r="I34" i="1"/>
  <c r="J34" i="1"/>
  <c r="M34" i="1"/>
  <c r="H35" i="1"/>
  <c r="J35" i="1" s="1"/>
  <c r="M35" i="1" s="1"/>
  <c r="I35" i="1"/>
  <c r="C36" i="1"/>
  <c r="E36" i="1"/>
  <c r="K36" i="1"/>
  <c r="K49" i="1" s="1"/>
  <c r="K38" i="1"/>
  <c r="L38" i="1"/>
  <c r="I39" i="1"/>
  <c r="I40" i="1"/>
  <c r="J40" i="1" s="1"/>
  <c r="M40" i="1" s="1"/>
  <c r="I41" i="1"/>
  <c r="J41" i="1" s="1"/>
  <c r="M41" i="1" s="1"/>
  <c r="K42" i="1"/>
  <c r="L42" i="1"/>
  <c r="I43" i="1"/>
  <c r="J43" i="1" s="1"/>
  <c r="I44" i="1"/>
  <c r="I42" i="1" s="1"/>
  <c r="I45" i="1"/>
  <c r="J45" i="1" s="1"/>
  <c r="M45" i="1" s="1"/>
  <c r="I46" i="1"/>
  <c r="J46" i="1" s="1"/>
  <c r="M46" i="1"/>
  <c r="K47" i="1"/>
  <c r="L47" i="1"/>
  <c r="B54" i="1"/>
  <c r="I54" i="1"/>
  <c r="K54" i="1"/>
  <c r="K53" i="1" s="1"/>
  <c r="L54" i="1"/>
  <c r="L53" i="1" s="1"/>
  <c r="B55" i="1"/>
  <c r="H55" i="1" s="1"/>
  <c r="B56" i="1"/>
  <c r="H56" i="1"/>
  <c r="J56" i="1" s="1"/>
  <c r="M56" i="1"/>
  <c r="K57" i="1"/>
  <c r="L57" i="1"/>
  <c r="B58" i="1"/>
  <c r="H58" i="1"/>
  <c r="B59" i="1"/>
  <c r="B57" i="1" s="1"/>
  <c r="B60" i="1"/>
  <c r="H60" i="1"/>
  <c r="J60" i="1" s="1"/>
  <c r="M60" i="1" s="1"/>
  <c r="K63" i="1"/>
  <c r="L63" i="1"/>
  <c r="F64" i="1"/>
  <c r="F65" i="1"/>
  <c r="H65" i="1"/>
  <c r="J65" i="1" s="1"/>
  <c r="M65" i="1" s="1"/>
  <c r="F66" i="1"/>
  <c r="H66" i="1" s="1"/>
  <c r="J66" i="1" s="1"/>
  <c r="M66" i="1" s="1"/>
  <c r="F67" i="1"/>
  <c r="H67" i="1"/>
  <c r="J67" i="1" s="1"/>
  <c r="M67" i="1"/>
  <c r="F68" i="1"/>
  <c r="H68" i="1" s="1"/>
  <c r="J68" i="1" s="1"/>
  <c r="M68" i="1" s="1"/>
  <c r="H69" i="1"/>
  <c r="J69" i="1"/>
  <c r="M69" i="1" s="1"/>
  <c r="H70" i="1"/>
  <c r="J70" i="1"/>
  <c r="M70" i="1" s="1"/>
  <c r="F71" i="1"/>
  <c r="H71" i="1"/>
  <c r="J71" i="1" s="1"/>
  <c r="M71" i="1" s="1"/>
  <c r="F72" i="1"/>
  <c r="H72" i="1" s="1"/>
  <c r="J72" i="1" s="1"/>
  <c r="M72" i="1" s="1"/>
  <c r="K73" i="1"/>
  <c r="L73" i="1"/>
  <c r="F74" i="1"/>
  <c r="F75" i="1"/>
  <c r="H75" i="1"/>
  <c r="J75" i="1" s="1"/>
  <c r="M75" i="1"/>
  <c r="F76" i="1"/>
  <c r="H76" i="1" s="1"/>
  <c r="J76" i="1" s="1"/>
  <c r="M76" i="1" s="1"/>
  <c r="F77" i="1"/>
  <c r="H77" i="1"/>
  <c r="J77" i="1" s="1"/>
  <c r="M77" i="1" s="1"/>
  <c r="H78" i="1"/>
  <c r="J78" i="1" s="1"/>
  <c r="M78" i="1" s="1"/>
  <c r="F79" i="1"/>
  <c r="H79" i="1" s="1"/>
  <c r="J79" i="1" s="1"/>
  <c r="M79" i="1" s="1"/>
  <c r="F80" i="1"/>
  <c r="H80" i="1"/>
  <c r="J80" i="1" s="1"/>
  <c r="M80" i="1"/>
  <c r="F81" i="1"/>
  <c r="H81" i="1" s="1"/>
  <c r="J81" i="1" s="1"/>
  <c r="M81" i="1" s="1"/>
  <c r="F82" i="1"/>
  <c r="H82" i="1"/>
  <c r="J82" i="1" s="1"/>
  <c r="M82" i="1" s="1"/>
  <c r="F83" i="1"/>
  <c r="H83" i="1" s="1"/>
  <c r="J83" i="1" s="1"/>
  <c r="M83" i="1" s="1"/>
  <c r="K84" i="1"/>
  <c r="L84" i="1"/>
  <c r="F85" i="1"/>
  <c r="F86" i="1"/>
  <c r="H86" i="1"/>
  <c r="J86" i="1" s="1"/>
  <c r="M86" i="1" s="1"/>
  <c r="F87" i="1"/>
  <c r="H87" i="1" s="1"/>
  <c r="J87" i="1" s="1"/>
  <c r="M87" i="1" s="1"/>
  <c r="F88" i="1"/>
  <c r="H88" i="1"/>
  <c r="J88" i="1" s="1"/>
  <c r="M88" i="1" s="1"/>
  <c r="F89" i="1"/>
  <c r="H89" i="1" s="1"/>
  <c r="J89" i="1" s="1"/>
  <c r="M89" i="1" s="1"/>
  <c r="F90" i="1"/>
  <c r="H90" i="1"/>
  <c r="J90" i="1" s="1"/>
  <c r="M90" i="1" s="1"/>
  <c r="F91" i="1"/>
  <c r="H91" i="1" s="1"/>
  <c r="J91" i="1"/>
  <c r="M91" i="1" s="1"/>
  <c r="F92" i="1"/>
  <c r="H92" i="1"/>
  <c r="J92" i="1" s="1"/>
  <c r="M92" i="1" s="1"/>
  <c r="K93" i="1"/>
  <c r="L93" i="1"/>
  <c r="L62" i="1" s="1"/>
  <c r="F94" i="1"/>
  <c r="H94" i="1"/>
  <c r="F95" i="1"/>
  <c r="H95" i="1" s="1"/>
  <c r="J95" i="1" s="1"/>
  <c r="M95" i="1" s="1"/>
  <c r="F96" i="1"/>
  <c r="H96" i="1"/>
  <c r="J96" i="1" s="1"/>
  <c r="M96" i="1" s="1"/>
  <c r="F97" i="1"/>
  <c r="H97" i="1" s="1"/>
  <c r="J97" i="1"/>
  <c r="M97" i="1" s="1"/>
  <c r="F98" i="1"/>
  <c r="H98" i="1"/>
  <c r="J98" i="1" s="1"/>
  <c r="M98" i="1" s="1"/>
  <c r="F99" i="1"/>
  <c r="H99" i="1" s="1"/>
  <c r="J99" i="1" s="1"/>
  <c r="M99" i="1" s="1"/>
  <c r="F100" i="1"/>
  <c r="H100" i="1"/>
  <c r="J100" i="1" s="1"/>
  <c r="M100" i="1" s="1"/>
  <c r="F101" i="1"/>
  <c r="H101" i="1" s="1"/>
  <c r="J101" i="1" s="1"/>
  <c r="M101" i="1" s="1"/>
  <c r="K102" i="1"/>
  <c r="L102" i="1"/>
  <c r="F103" i="1"/>
  <c r="F102" i="1" s="1"/>
  <c r="F104" i="1"/>
  <c r="H104" i="1"/>
  <c r="J104" i="1" s="1"/>
  <c r="M104" i="1" s="1"/>
  <c r="F105" i="1"/>
  <c r="H105" i="1" s="1"/>
  <c r="J105" i="1" s="1"/>
  <c r="M105" i="1" s="1"/>
  <c r="K106" i="1"/>
  <c r="L106" i="1"/>
  <c r="F107" i="1"/>
  <c r="F106" i="1" s="1"/>
  <c r="F108" i="1"/>
  <c r="H108" i="1"/>
  <c r="J108" i="1" s="1"/>
  <c r="M108" i="1" s="1"/>
  <c r="F109" i="1"/>
  <c r="H109" i="1" s="1"/>
  <c r="J109" i="1"/>
  <c r="M109" i="1" s="1"/>
  <c r="K111" i="1"/>
  <c r="K112" i="1"/>
  <c r="L112" i="1"/>
  <c r="G113" i="1"/>
  <c r="H113" i="1"/>
  <c r="G114" i="1"/>
  <c r="G115" i="1"/>
  <c r="H115" i="1"/>
  <c r="J115" i="1" s="1"/>
  <c r="M115" i="1" s="1"/>
  <c r="G116" i="1"/>
  <c r="H116" i="1" s="1"/>
  <c r="J116" i="1" s="1"/>
  <c r="M116" i="1" s="1"/>
  <c r="G117" i="1"/>
  <c r="H117" i="1"/>
  <c r="J117" i="1" s="1"/>
  <c r="M117" i="1" s="1"/>
  <c r="G118" i="1"/>
  <c r="H118" i="1" s="1"/>
  <c r="J118" i="1" s="1"/>
  <c r="M118" i="1" s="1"/>
  <c r="G119" i="1"/>
  <c r="H119" i="1"/>
  <c r="J119" i="1" s="1"/>
  <c r="M119" i="1" s="1"/>
  <c r="G120" i="1"/>
  <c r="K120" i="1"/>
  <c r="L120" i="1"/>
  <c r="G121" i="1"/>
  <c r="H121" i="1"/>
  <c r="H120" i="1" s="1"/>
  <c r="K122" i="1"/>
  <c r="L122" i="1"/>
  <c r="A123" i="1"/>
  <c r="G123" i="1"/>
  <c r="H123" i="1" s="1"/>
  <c r="G124" i="1"/>
  <c r="H124" i="1"/>
  <c r="J124" i="1"/>
  <c r="M124" i="1"/>
  <c r="G125" i="1"/>
  <c r="K125" i="1"/>
  <c r="L125" i="1"/>
  <c r="G126" i="1"/>
  <c r="H126" i="1"/>
  <c r="H125" i="1" s="1"/>
  <c r="K129" i="1"/>
  <c r="L129" i="1"/>
  <c r="C130" i="1"/>
  <c r="C131" i="1"/>
  <c r="H131" i="1"/>
  <c r="J131" i="1" s="1"/>
  <c r="M131" i="1"/>
  <c r="C132" i="1"/>
  <c r="H132" i="1"/>
  <c r="J132" i="1"/>
  <c r="M132" i="1" s="1"/>
  <c r="L133" i="1"/>
  <c r="C134" i="1"/>
  <c r="C135" i="1"/>
  <c r="H135" i="1"/>
  <c r="J135" i="1" s="1"/>
  <c r="M135" i="1" s="1"/>
  <c r="C136" i="1"/>
  <c r="H136" i="1" s="1"/>
  <c r="J136" i="1"/>
  <c r="M136" i="1" s="1"/>
  <c r="L137" i="1"/>
  <c r="C138" i="1"/>
  <c r="C137" i="1" s="1"/>
  <c r="H137" i="1" s="1"/>
  <c r="J137" i="1" s="1"/>
  <c r="K138" i="1"/>
  <c r="C139" i="1"/>
  <c r="H139" i="1"/>
  <c r="H138" i="1" s="1"/>
  <c r="J139" i="1"/>
  <c r="C140" i="1"/>
  <c r="H140" i="1"/>
  <c r="J140" i="1" s="1"/>
  <c r="M140" i="1" s="1"/>
  <c r="K140" i="1"/>
  <c r="K137" i="1" s="1"/>
  <c r="K133" i="1" s="1"/>
  <c r="C141" i="1"/>
  <c r="H141" i="1"/>
  <c r="J141" i="1" s="1"/>
  <c r="M141" i="1" s="1"/>
  <c r="K142" i="1"/>
  <c r="L142" i="1"/>
  <c r="C143" i="1"/>
  <c r="H143" i="1"/>
  <c r="J143" i="1"/>
  <c r="M143" i="1"/>
  <c r="C144" i="1"/>
  <c r="H144" i="1" s="1"/>
  <c r="H142" i="1" s="1"/>
  <c r="C145" i="1"/>
  <c r="H145" i="1"/>
  <c r="J145" i="1" s="1"/>
  <c r="M145" i="1" s="1"/>
  <c r="K146" i="1"/>
  <c r="L146" i="1"/>
  <c r="C147" i="1"/>
  <c r="H147" i="1"/>
  <c r="C148" i="1"/>
  <c r="H148" i="1" s="1"/>
  <c r="J148" i="1"/>
  <c r="M148" i="1" s="1"/>
  <c r="C149" i="1"/>
  <c r="H149" i="1"/>
  <c r="J149" i="1"/>
  <c r="M149" i="1" s="1"/>
  <c r="K152" i="1"/>
  <c r="D153" i="1"/>
  <c r="L153" i="1"/>
  <c r="L152" i="1" s="1"/>
  <c r="D154" i="1"/>
  <c r="H154" i="1"/>
  <c r="J154" i="1" s="1"/>
  <c r="M154" i="1" s="1"/>
  <c r="D155" i="1"/>
  <c r="H155" i="1"/>
  <c r="J155" i="1" s="1"/>
  <c r="M155" i="1" s="1"/>
  <c r="L156" i="1"/>
  <c r="D157" i="1"/>
  <c r="K157" i="1"/>
  <c r="L157" i="1"/>
  <c r="A158" i="1"/>
  <c r="D158" i="1"/>
  <c r="H158" i="1"/>
  <c r="H157" i="1" s="1"/>
  <c r="J158" i="1"/>
  <c r="M158" i="1" s="1"/>
  <c r="A159" i="1"/>
  <c r="D159" i="1"/>
  <c r="H159" i="1"/>
  <c r="J159" i="1" s="1"/>
  <c r="M159" i="1" s="1"/>
  <c r="A160" i="1"/>
  <c r="D160" i="1"/>
  <c r="H160" i="1"/>
  <c r="J160" i="1"/>
  <c r="M160" i="1"/>
  <c r="D161" i="1"/>
  <c r="H161" i="1"/>
  <c r="J161" i="1" s="1"/>
  <c r="M161" i="1" s="1"/>
  <c r="D162" i="1"/>
  <c r="H162" i="1"/>
  <c r="J162" i="1" s="1"/>
  <c r="M162" i="1" s="1"/>
  <c r="D163" i="1"/>
  <c r="H163" i="1"/>
  <c r="J163" i="1"/>
  <c r="M163" i="1"/>
  <c r="K164" i="1"/>
  <c r="K156" i="1" s="1"/>
  <c r="L164" i="1"/>
  <c r="D165" i="1"/>
  <c r="D164" i="1" s="1"/>
  <c r="D166" i="1"/>
  <c r="H166" i="1"/>
  <c r="J166" i="1"/>
  <c r="M166" i="1"/>
  <c r="D167" i="1"/>
  <c r="H167" i="1"/>
  <c r="J167" i="1" s="1"/>
  <c r="M167" i="1" s="1"/>
  <c r="D168" i="1"/>
  <c r="H168" i="1"/>
  <c r="J168" i="1" s="1"/>
  <c r="M168" i="1" s="1"/>
  <c r="D169" i="1"/>
  <c r="H169" i="1"/>
  <c r="J169" i="1"/>
  <c r="M169" i="1"/>
  <c r="K171" i="1"/>
  <c r="K170" i="1" s="1"/>
  <c r="L171" i="1"/>
  <c r="D172" i="1"/>
  <c r="H172" i="1"/>
  <c r="A173" i="1"/>
  <c r="D173" i="1"/>
  <c r="H173" i="1"/>
  <c r="J173" i="1"/>
  <c r="M173" i="1"/>
  <c r="A174" i="1"/>
  <c r="D174" i="1"/>
  <c r="D171" i="1" s="1"/>
  <c r="K175" i="1"/>
  <c r="L175" i="1"/>
  <c r="L170" i="1" s="1"/>
  <c r="L151" i="1" s="1"/>
  <c r="D176" i="1"/>
  <c r="H176" i="1"/>
  <c r="A177" i="1"/>
  <c r="D177" i="1"/>
  <c r="H177" i="1"/>
  <c r="J177" i="1"/>
  <c r="M177" i="1"/>
  <c r="A178" i="1"/>
  <c r="D178" i="1"/>
  <c r="D175" i="1" s="1"/>
  <c r="A179" i="1"/>
  <c r="D179" i="1"/>
  <c r="H179" i="1"/>
  <c r="J179" i="1"/>
  <c r="M179" i="1" s="1"/>
  <c r="D180" i="1"/>
  <c r="H180" i="1"/>
  <c r="J180" i="1"/>
  <c r="M180" i="1" s="1"/>
  <c r="E183" i="1"/>
  <c r="K183" i="1"/>
  <c r="L183" i="1"/>
  <c r="E184" i="1"/>
  <c r="H184" i="1"/>
  <c r="J184" i="1"/>
  <c r="E185" i="1"/>
  <c r="H185" i="1"/>
  <c r="J185" i="1"/>
  <c r="M185" i="1" s="1"/>
  <c r="H186" i="1"/>
  <c r="H183" i="1" s="1"/>
  <c r="E187" i="1"/>
  <c r="H187" i="1"/>
  <c r="J187" i="1" s="1"/>
  <c r="M187" i="1" s="1"/>
  <c r="E188" i="1"/>
  <c r="H188" i="1" s="1"/>
  <c r="J188" i="1" s="1"/>
  <c r="M188" i="1" s="1"/>
  <c r="E189" i="1"/>
  <c r="H189" i="1"/>
  <c r="J189" i="1"/>
  <c r="M189" i="1" s="1"/>
  <c r="K190" i="1"/>
  <c r="K182" i="1" s="1"/>
  <c r="L190" i="1"/>
  <c r="L182" i="1" s="1"/>
  <c r="E191" i="1"/>
  <c r="H191" i="1"/>
  <c r="J191" i="1"/>
  <c r="M191" i="1"/>
  <c r="H192" i="1"/>
  <c r="H190" i="1" s="1"/>
  <c r="J192" i="1"/>
  <c r="E193" i="1"/>
  <c r="E190" i="1" s="1"/>
  <c r="H193" i="1"/>
  <c r="J193" i="1"/>
  <c r="M193" i="1" s="1"/>
  <c r="E194" i="1"/>
  <c r="H194" i="1" s="1"/>
  <c r="J194" i="1" s="1"/>
  <c r="M194" i="1" s="1"/>
  <c r="E195" i="1"/>
  <c r="H195" i="1" s="1"/>
  <c r="J195" i="1" s="1"/>
  <c r="M195" i="1" s="1"/>
  <c r="K197" i="1"/>
  <c r="L197" i="1"/>
  <c r="I198" i="1"/>
  <c r="J198" i="1" s="1"/>
  <c r="M198" i="1" s="1"/>
  <c r="L198" i="1"/>
  <c r="I199" i="1"/>
  <c r="J199" i="1" s="1"/>
  <c r="M199" i="1" s="1"/>
  <c r="L199" i="1"/>
  <c r="J201" i="1"/>
  <c r="M201" i="1"/>
  <c r="H203" i="1"/>
  <c r="J203" i="1" s="1"/>
  <c r="M203" i="1" s="1"/>
  <c r="I205" i="1"/>
  <c r="J205" i="1"/>
  <c r="L205" i="1"/>
  <c r="J206" i="1"/>
  <c r="M206" i="1" s="1"/>
  <c r="K206" i="1"/>
  <c r="K205" i="1" s="1"/>
  <c r="L206" i="1"/>
  <c r="J207" i="1"/>
  <c r="K207" i="1"/>
  <c r="M207" i="1" s="1"/>
  <c r="L207" i="1"/>
  <c r="E182" i="1" l="1"/>
  <c r="E51" i="1" s="1"/>
  <c r="J190" i="1"/>
  <c r="M190" i="1" s="1"/>
  <c r="D170" i="1"/>
  <c r="D156" i="1"/>
  <c r="M205" i="1"/>
  <c r="H182" i="1"/>
  <c r="M137" i="1"/>
  <c r="K151" i="1"/>
  <c r="H146" i="1"/>
  <c r="J147" i="1"/>
  <c r="M139" i="1"/>
  <c r="J138" i="1"/>
  <c r="M138" i="1" s="1"/>
  <c r="F63" i="1"/>
  <c r="C133" i="1"/>
  <c r="H54" i="1"/>
  <c r="J55" i="1"/>
  <c r="M43" i="1"/>
  <c r="I197" i="1"/>
  <c r="G122" i="1"/>
  <c r="G112" i="1"/>
  <c r="F84" i="1"/>
  <c r="H85" i="1"/>
  <c r="K62" i="1"/>
  <c r="K51" i="1" s="1"/>
  <c r="K209" i="1" s="1"/>
  <c r="D49" i="1"/>
  <c r="D8" i="1"/>
  <c r="D19" i="1"/>
  <c r="M192" i="1"/>
  <c r="J186" i="1"/>
  <c r="M186" i="1" s="1"/>
  <c r="M184" i="1"/>
  <c r="H178" i="1"/>
  <c r="J178" i="1" s="1"/>
  <c r="M178" i="1" s="1"/>
  <c r="H174" i="1"/>
  <c r="J174" i="1" s="1"/>
  <c r="M174" i="1" s="1"/>
  <c r="J144" i="1"/>
  <c r="L128" i="1"/>
  <c r="F93" i="1"/>
  <c r="F49" i="1"/>
  <c r="H13" i="1"/>
  <c r="J13" i="1" s="1"/>
  <c r="M13" i="1" s="1"/>
  <c r="E49" i="1"/>
  <c r="H27" i="1"/>
  <c r="J27" i="1" s="1"/>
  <c r="M27" i="1" s="1"/>
  <c r="H25" i="1"/>
  <c r="J25" i="1" s="1"/>
  <c r="M25" i="1" s="1"/>
  <c r="B36" i="1"/>
  <c r="J157" i="1"/>
  <c r="D152" i="1"/>
  <c r="H153" i="1"/>
  <c r="F73" i="1"/>
  <c r="H74" i="1"/>
  <c r="B53" i="1"/>
  <c r="B51" i="1" s="1"/>
  <c r="J15" i="1"/>
  <c r="M15" i="1" s="1"/>
  <c r="C129" i="1"/>
  <c r="H130" i="1"/>
  <c r="J176" i="1"/>
  <c r="J172" i="1"/>
  <c r="H165" i="1"/>
  <c r="C146" i="1"/>
  <c r="C142" i="1"/>
  <c r="K128" i="1"/>
  <c r="H122" i="1"/>
  <c r="J123" i="1"/>
  <c r="L111" i="1"/>
  <c r="L51" i="1" s="1"/>
  <c r="L209" i="1" s="1"/>
  <c r="G49" i="1"/>
  <c r="H14" i="1"/>
  <c r="J14" i="1" s="1"/>
  <c r="M14" i="1" s="1"/>
  <c r="J12" i="1"/>
  <c r="M12" i="1" s="1"/>
  <c r="I19" i="1"/>
  <c r="H93" i="1"/>
  <c r="J93" i="1" s="1"/>
  <c r="M93" i="1" s="1"/>
  <c r="J94" i="1"/>
  <c r="M94" i="1" s="1"/>
  <c r="J39" i="1"/>
  <c r="I38" i="1"/>
  <c r="H17" i="1"/>
  <c r="J17" i="1" s="1"/>
  <c r="M17" i="1" s="1"/>
  <c r="C19" i="1"/>
  <c r="G8" i="1"/>
  <c r="I8" i="1"/>
  <c r="H114" i="1"/>
  <c r="J114" i="1" s="1"/>
  <c r="M114" i="1" s="1"/>
  <c r="H103" i="1"/>
  <c r="H64" i="1"/>
  <c r="H59" i="1"/>
  <c r="J59" i="1" s="1"/>
  <c r="M59" i="1" s="1"/>
  <c r="J44" i="1"/>
  <c r="M44" i="1" s="1"/>
  <c r="H21" i="1"/>
  <c r="J121" i="1"/>
  <c r="H107" i="1"/>
  <c r="B19" i="1"/>
  <c r="F8" i="1"/>
  <c r="H9" i="1"/>
  <c r="H134" i="1"/>
  <c r="J126" i="1"/>
  <c r="J113" i="1"/>
  <c r="J58" i="1"/>
  <c r="J103" i="1" l="1"/>
  <c r="H102" i="1"/>
  <c r="H171" i="1"/>
  <c r="M39" i="1"/>
  <c r="J38" i="1"/>
  <c r="H106" i="1"/>
  <c r="J107" i="1"/>
  <c r="J57" i="1"/>
  <c r="M57" i="1" s="1"/>
  <c r="M58" i="1"/>
  <c r="J120" i="1"/>
  <c r="M120" i="1" s="1"/>
  <c r="M121" i="1"/>
  <c r="H129" i="1"/>
  <c r="H128" i="1" s="1"/>
  <c r="J130" i="1"/>
  <c r="H73" i="1"/>
  <c r="J74" i="1"/>
  <c r="J42" i="1"/>
  <c r="M42" i="1" s="1"/>
  <c r="G111" i="1"/>
  <c r="G51" i="1" s="1"/>
  <c r="G209" i="1" s="1"/>
  <c r="J112" i="1"/>
  <c r="M113" i="1"/>
  <c r="H164" i="1"/>
  <c r="H156" i="1" s="1"/>
  <c r="J165" i="1"/>
  <c r="M157" i="1"/>
  <c r="H112" i="1"/>
  <c r="H111" i="1" s="1"/>
  <c r="J54" i="1"/>
  <c r="M55" i="1"/>
  <c r="H175" i="1"/>
  <c r="J183" i="1"/>
  <c r="H36" i="1"/>
  <c r="J21" i="1"/>
  <c r="H133" i="1"/>
  <c r="J134" i="1"/>
  <c r="J171" i="1"/>
  <c r="M172" i="1"/>
  <c r="C49" i="1"/>
  <c r="H53" i="1"/>
  <c r="M147" i="1"/>
  <c r="J146" i="1"/>
  <c r="M146" i="1" s="1"/>
  <c r="C128" i="1"/>
  <c r="C51" i="1" s="1"/>
  <c r="H51" i="1" s="1"/>
  <c r="J51" i="1" s="1"/>
  <c r="M51" i="1" s="1"/>
  <c r="J125" i="1"/>
  <c r="M125" i="1" s="1"/>
  <c r="M126" i="1"/>
  <c r="J9" i="1"/>
  <c r="H8" i="1"/>
  <c r="J64" i="1"/>
  <c r="H63" i="1"/>
  <c r="H62" i="1" s="1"/>
  <c r="I47" i="1"/>
  <c r="I49" i="1"/>
  <c r="J122" i="1"/>
  <c r="M122" i="1" s="1"/>
  <c r="M123" i="1"/>
  <c r="J175" i="1"/>
  <c r="M175" i="1" s="1"/>
  <c r="M176" i="1"/>
  <c r="B49" i="1"/>
  <c r="H49" i="1" s="1"/>
  <c r="M144" i="1"/>
  <c r="J142" i="1"/>
  <c r="M142" i="1" s="1"/>
  <c r="H84" i="1"/>
  <c r="J85" i="1"/>
  <c r="J197" i="1"/>
  <c r="M197" i="1" s="1"/>
  <c r="I209" i="1"/>
  <c r="H57" i="1"/>
  <c r="F62" i="1"/>
  <c r="F51" i="1" s="1"/>
  <c r="F209" i="1" s="1"/>
  <c r="E209" i="1"/>
  <c r="J153" i="1"/>
  <c r="H152" i="1"/>
  <c r="H19" i="1"/>
  <c r="D151" i="1"/>
  <c r="D51" i="1" s="1"/>
  <c r="D209" i="1" s="1"/>
  <c r="J8" i="1" l="1"/>
  <c r="J19" i="1"/>
  <c r="M19" i="1" s="1"/>
  <c r="M9" i="1"/>
  <c r="J111" i="1"/>
  <c r="M111" i="1" s="1"/>
  <c r="M112" i="1"/>
  <c r="J73" i="1"/>
  <c r="M73" i="1" s="1"/>
  <c r="M74" i="1"/>
  <c r="M21" i="1"/>
  <c r="J36" i="1"/>
  <c r="C209" i="1"/>
  <c r="J182" i="1"/>
  <c r="M182" i="1" s="1"/>
  <c r="M183" i="1"/>
  <c r="J106" i="1"/>
  <c r="M106" i="1" s="1"/>
  <c r="M107" i="1"/>
  <c r="J152" i="1"/>
  <c r="M152" i="1" s="1"/>
  <c r="M153" i="1"/>
  <c r="J164" i="1"/>
  <c r="M165" i="1"/>
  <c r="J129" i="1"/>
  <c r="M130" i="1"/>
  <c r="B209" i="1"/>
  <c r="H209" i="1" s="1"/>
  <c r="J47" i="1"/>
  <c r="M47" i="1" s="1"/>
  <c r="M38" i="1"/>
  <c r="J170" i="1"/>
  <c r="M170" i="1" s="1"/>
  <c r="M171" i="1"/>
  <c r="J63" i="1"/>
  <c r="M64" i="1"/>
  <c r="J133" i="1"/>
  <c r="M133" i="1" s="1"/>
  <c r="M134" i="1"/>
  <c r="J209" i="1"/>
  <c r="M209" i="1" s="1"/>
  <c r="N147" i="1" s="1"/>
  <c r="J84" i="1"/>
  <c r="M84" i="1" s="1"/>
  <c r="M85" i="1"/>
  <c r="J53" i="1"/>
  <c r="M53" i="1" s="1"/>
  <c r="M54" i="1"/>
  <c r="H170" i="1"/>
  <c r="H151" i="1" s="1"/>
  <c r="J151" i="1" s="1"/>
  <c r="M151" i="1" s="1"/>
  <c r="N151" i="1" s="1"/>
  <c r="J102" i="1"/>
  <c r="M102" i="1" s="1"/>
  <c r="M103" i="1"/>
  <c r="N146" i="1" l="1"/>
  <c r="N84" i="1"/>
  <c r="N175" i="1"/>
  <c r="N130" i="1"/>
  <c r="M36" i="1"/>
  <c r="N36" i="1" s="1"/>
  <c r="J49" i="1"/>
  <c r="M49" i="1" s="1"/>
  <c r="N49" i="1" s="1"/>
  <c r="N163" i="1"/>
  <c r="N169" i="1"/>
  <c r="N83" i="1"/>
  <c r="N95" i="1"/>
  <c r="N209" i="1"/>
  <c r="N89" i="1"/>
  <c r="N72" i="1"/>
  <c r="N201" i="1"/>
  <c r="N207" i="1"/>
  <c r="N168" i="1"/>
  <c r="N28" i="1"/>
  <c r="N194" i="1"/>
  <c r="N206" i="1"/>
  <c r="N90" i="1"/>
  <c r="N76" i="1"/>
  <c r="N22" i="1"/>
  <c r="N101" i="1"/>
  <c r="N31" i="1"/>
  <c r="N60" i="1"/>
  <c r="N88" i="1"/>
  <c r="N78" i="1"/>
  <c r="N77" i="1"/>
  <c r="N189" i="1"/>
  <c r="N159" i="1"/>
  <c r="N187" i="1"/>
  <c r="N193" i="1"/>
  <c r="N68" i="1"/>
  <c r="N67" i="1"/>
  <c r="N11" i="1"/>
  <c r="N180" i="1"/>
  <c r="N203" i="1"/>
  <c r="N173" i="1"/>
  <c r="N166" i="1"/>
  <c r="N199" i="1"/>
  <c r="N18" i="1"/>
  <c r="N16" i="1"/>
  <c r="N143" i="1"/>
  <c r="N41" i="1"/>
  <c r="N56" i="1"/>
  <c r="N115" i="1"/>
  <c r="N71" i="1"/>
  <c r="N29" i="1"/>
  <c r="N185" i="1"/>
  <c r="N162" i="1"/>
  <c r="N191" i="1"/>
  <c r="N195" i="1"/>
  <c r="N160" i="1"/>
  <c r="N34" i="1"/>
  <c r="N80" i="1"/>
  <c r="N10" i="1"/>
  <c r="N132" i="1"/>
  <c r="N116" i="1"/>
  <c r="N45" i="1"/>
  <c r="N35" i="1"/>
  <c r="N104" i="1"/>
  <c r="N92" i="1"/>
  <c r="N32" i="1"/>
  <c r="N140" i="1"/>
  <c r="N188" i="1"/>
  <c r="N158" i="1"/>
  <c r="N141" i="1"/>
  <c r="N118" i="1"/>
  <c r="N75" i="1"/>
  <c r="N79" i="1"/>
  <c r="N40" i="1"/>
  <c r="N98" i="1"/>
  <c r="N33" i="1"/>
  <c r="N136" i="1"/>
  <c r="N179" i="1"/>
  <c r="N155" i="1"/>
  <c r="N100" i="1"/>
  <c r="N154" i="1"/>
  <c r="N124" i="1"/>
  <c r="N99" i="1"/>
  <c r="N177" i="1"/>
  <c r="N161" i="1"/>
  <c r="N167" i="1"/>
  <c r="N145" i="1"/>
  <c r="N86" i="1"/>
  <c r="N148" i="1"/>
  <c r="N131" i="1"/>
  <c r="N97" i="1"/>
  <c r="N109" i="1"/>
  <c r="N96" i="1"/>
  <c r="N30" i="1"/>
  <c r="N66" i="1"/>
  <c r="N91" i="1"/>
  <c r="N26" i="1"/>
  <c r="N23" i="1"/>
  <c r="N70" i="1"/>
  <c r="N198" i="1"/>
  <c r="N149" i="1"/>
  <c r="N117" i="1"/>
  <c r="N119" i="1"/>
  <c r="N81" i="1"/>
  <c r="N24" i="1"/>
  <c r="N105" i="1"/>
  <c r="N46" i="1"/>
  <c r="N65" i="1"/>
  <c r="N108" i="1"/>
  <c r="N135" i="1"/>
  <c r="N87" i="1"/>
  <c r="N82" i="1"/>
  <c r="N69" i="1"/>
  <c r="N174" i="1"/>
  <c r="N114" i="1"/>
  <c r="N192" i="1"/>
  <c r="N94" i="1"/>
  <c r="N17" i="1"/>
  <c r="N93" i="1"/>
  <c r="N205" i="1"/>
  <c r="N14" i="1"/>
  <c r="N139" i="1"/>
  <c r="N12" i="1"/>
  <c r="N15" i="1"/>
  <c r="N25" i="1"/>
  <c r="N178" i="1"/>
  <c r="N190" i="1"/>
  <c r="N27" i="1"/>
  <c r="N43" i="1"/>
  <c r="N13" i="1"/>
  <c r="N59" i="1"/>
  <c r="N184" i="1"/>
  <c r="N186" i="1"/>
  <c r="N138" i="1"/>
  <c r="N137" i="1"/>
  <c r="N44" i="1"/>
  <c r="N21" i="1"/>
  <c r="M8" i="1"/>
  <c r="N8" i="1" s="1"/>
  <c r="N9" i="1"/>
  <c r="N113" i="1"/>
  <c r="N39" i="1"/>
  <c r="N171" i="1"/>
  <c r="N165" i="1"/>
  <c r="N183" i="1"/>
  <c r="N57" i="1"/>
  <c r="N142" i="1"/>
  <c r="N19" i="1"/>
  <c r="N197" i="1"/>
  <c r="M129" i="1"/>
  <c r="N129" i="1" s="1"/>
  <c r="J128" i="1"/>
  <c r="M128" i="1" s="1"/>
  <c r="N128" i="1" s="1"/>
  <c r="N54" i="1"/>
  <c r="N55" i="1"/>
  <c r="N170" i="1"/>
  <c r="M164" i="1"/>
  <c r="N164" i="1" s="1"/>
  <c r="J156" i="1"/>
  <c r="M156" i="1" s="1"/>
  <c r="N156" i="1" s="1"/>
  <c r="N153" i="1"/>
  <c r="N182" i="1"/>
  <c r="N74" i="1"/>
  <c r="N58" i="1"/>
  <c r="N121" i="1"/>
  <c r="N53" i="1"/>
  <c r="N134" i="1"/>
  <c r="N38" i="1"/>
  <c r="N172" i="1"/>
  <c r="N152" i="1"/>
  <c r="N73" i="1"/>
  <c r="N120" i="1"/>
  <c r="N122" i="1"/>
  <c r="N47" i="1"/>
  <c r="N133" i="1"/>
  <c r="N157" i="1"/>
  <c r="N125" i="1"/>
  <c r="N42" i="1"/>
  <c r="N103" i="1"/>
  <c r="N123" i="1"/>
  <c r="N64" i="1"/>
  <c r="N176" i="1"/>
  <c r="N107" i="1"/>
  <c r="N144" i="1"/>
  <c r="N112" i="1"/>
  <c r="N126" i="1"/>
  <c r="N102" i="1"/>
  <c r="N85" i="1"/>
  <c r="J62" i="1"/>
  <c r="M62" i="1" s="1"/>
  <c r="N62" i="1" s="1"/>
  <c r="M63" i="1"/>
  <c r="N63" i="1" s="1"/>
  <c r="N106" i="1"/>
  <c r="N111" i="1"/>
  <c r="N51" i="1"/>
</calcChain>
</file>

<file path=xl/sharedStrings.xml><?xml version="1.0" encoding="utf-8"?>
<sst xmlns="http://schemas.openxmlformats.org/spreadsheetml/2006/main" count="199" uniqueCount="199">
  <si>
    <t xml:space="preserve">TOTAL GASTOS </t>
  </si>
  <si>
    <t>Cuota de erradicación Peste Porcina Clásica</t>
  </si>
  <si>
    <t>Cuota de fomento porcícola</t>
  </si>
  <si>
    <t xml:space="preserve">RESERVA FUTURAS INVERSIONES Y GASTOS </t>
  </si>
  <si>
    <t>FONDO DE EMERGENCIA PPC</t>
  </si>
  <si>
    <t>FONDO DE EMERGENCIA FNP</t>
  </si>
  <si>
    <t>Cuota de administración PPC</t>
  </si>
  <si>
    <t>Cuota de administración FNP</t>
  </si>
  <si>
    <t>CUOTA DE ADMINISTRACIÓN</t>
  </si>
  <si>
    <t>Divulgación sanitaria</t>
  </si>
  <si>
    <t>Interpretacion de resultados</t>
  </si>
  <si>
    <t>Estudios de vigilancia epidemiologica</t>
  </si>
  <si>
    <t xml:space="preserve">Actualización inventario nacional porcicola </t>
  </si>
  <si>
    <t xml:space="preserve">Estructuracion bases de datos de muestreo </t>
  </si>
  <si>
    <t>Gestión Sanitaria</t>
  </si>
  <si>
    <t>Caracterización de asilvestrados</t>
  </si>
  <si>
    <t>Mycoplasma</t>
  </si>
  <si>
    <t>Vigilancia de vesiculares - Senecavirus</t>
  </si>
  <si>
    <t>Vigilancia enfermedades exóticas</t>
  </si>
  <si>
    <t>Vigilancia Influenza Porcina</t>
  </si>
  <si>
    <t>Control y monitoreo de PRRS</t>
  </si>
  <si>
    <t>Programa Nacional Para la Certificación del estatus sanitario</t>
  </si>
  <si>
    <t>TOTAL ÁREA SANIDAD</t>
  </si>
  <si>
    <t>Apoyo Diagnostico lineas base (ICA)</t>
  </si>
  <si>
    <t>Diagnostico Rutinario, Combos y PRRS</t>
  </si>
  <si>
    <t>Diagnostico rutinario con laboratorios privados</t>
  </si>
  <si>
    <t>Diagnóstico Rutinario, Integrado y PRRS</t>
  </si>
  <si>
    <t>Diagnostico rutinario con laboratorios oficiales</t>
  </si>
  <si>
    <t>Diagnostico</t>
  </si>
  <si>
    <t>Material de apoyo</t>
  </si>
  <si>
    <t>Jornadas de actualizacion tecnica (precongreso)</t>
  </si>
  <si>
    <t>Talleres diagnóstico animal</t>
  </si>
  <si>
    <t>Talleres manejo tributario</t>
  </si>
  <si>
    <t>Buenas prácticas en el manejo de medicamentos veterinarios</t>
  </si>
  <si>
    <t xml:space="preserve">  Talleres y seminarios</t>
  </si>
  <si>
    <t>Curso ABC de Asociatividad</t>
  </si>
  <si>
    <t>Escuela de carniceros</t>
  </si>
  <si>
    <t>Escuela de lideres y operarios</t>
  </si>
  <si>
    <t xml:space="preserve">  Vinculación tecnologica</t>
  </si>
  <si>
    <t>Transferencia de tecnología</t>
  </si>
  <si>
    <t>Jornadas de divulgación resultados de investigación</t>
  </si>
  <si>
    <t>Capacitación anual</t>
  </si>
  <si>
    <t>Proyectos</t>
  </si>
  <si>
    <t>Investigación y desarrollo</t>
  </si>
  <si>
    <t>TOTAL ÁREA INVESTIGACIÓN Y TRANSFERENCIA</t>
  </si>
  <si>
    <t xml:space="preserve">Asistencia nutricional magro </t>
  </si>
  <si>
    <t>Calidad e Inocuidad en la Cadena de Transformacion</t>
  </si>
  <si>
    <t>Herramientas del programa</t>
  </si>
  <si>
    <t>Aseguramiento de  la Calidad</t>
  </si>
  <si>
    <t>Variabilidad, cambio climático, y suelos fértiles sostenibles</t>
  </si>
  <si>
    <t>Acompañamiento y fortalecimiento cadena productiva porcícola en sostenibilidad ambiental y R.S.E</t>
  </si>
  <si>
    <t>Heramientas del programa Sostenibilidad ambiental  y RSE</t>
  </si>
  <si>
    <t>Sostenibilidad Ambiental y Responsabilidad Social Empresarial</t>
  </si>
  <si>
    <t xml:space="preserve">     Contrapartidas Gobernaciones / Alcaldias FNP</t>
  </si>
  <si>
    <t xml:space="preserve">   Contrapartidas FNP</t>
  </si>
  <si>
    <t xml:space="preserve">     Contrapartidas Gobernaciones / Alcaldias</t>
  </si>
  <si>
    <t xml:space="preserve">   Contrapartidas Gobernaciones y/o Alcaldias</t>
  </si>
  <si>
    <t>Convenios</t>
  </si>
  <si>
    <t>Gestión empresarial</t>
  </si>
  <si>
    <t>Fortalecimiento Asociativo</t>
  </si>
  <si>
    <t>Herramientas del programa FE</t>
  </si>
  <si>
    <t>Fortalecimiento Empresarial</t>
  </si>
  <si>
    <t>Actualización y Reconocimiento</t>
  </si>
  <si>
    <t>Excelencia Técnica en Producción Primaria</t>
  </si>
  <si>
    <t>Herramientas del Programa IPP</t>
  </si>
  <si>
    <t>Inocuidad en Producción primaria - IPP</t>
  </si>
  <si>
    <t>TOTAL ÁREA TÉCNICA</t>
  </si>
  <si>
    <t>Mantenimiento, actualización y soporte de la plataforma</t>
  </si>
  <si>
    <t>Administración de la base de datos</t>
  </si>
  <si>
    <t>Apoyo actividades de vigilancia activa</t>
  </si>
  <si>
    <t>Vigilancia Epidemiológica</t>
  </si>
  <si>
    <t>Capacitación divulgación</t>
  </si>
  <si>
    <t>Capacitación y divulgación</t>
  </si>
  <si>
    <t>Disposición de residuos biológicos</t>
  </si>
  <si>
    <t>Contratación de personal</t>
  </si>
  <si>
    <t>Distribución vacuna y chapetas</t>
  </si>
  <si>
    <t>Biológico</t>
  </si>
  <si>
    <t>Auxilios distribuidores</t>
  </si>
  <si>
    <t>Suministros clínicos y dotaciones</t>
  </si>
  <si>
    <t>Identificación</t>
  </si>
  <si>
    <t>Vacunacion e identificacion de Porcinos</t>
  </si>
  <si>
    <t>TOTAL ÁREA ERRADICACIÓN PPC</t>
  </si>
  <si>
    <t xml:space="preserve">Relacionamiento Periodistas / medios de comunicación / free press / Pauta medios de comunicación </t>
  </si>
  <si>
    <t>Monitoreo Redes y Canales de Comunicación</t>
  </si>
  <si>
    <t>Seguimiento y gestión comunicación integral.</t>
  </si>
  <si>
    <t>Comunicación Integral</t>
  </si>
  <si>
    <t>Fomento al sello de producto (Marca País)</t>
  </si>
  <si>
    <t>Gestión y seguimiento desarrollo de marca y marketing</t>
  </si>
  <si>
    <t>Desarrollo Material de Apoyo</t>
  </si>
  <si>
    <t>Marca y Marketing</t>
  </si>
  <si>
    <t>Escuela de Carniceros</t>
  </si>
  <si>
    <t>Viajes Gestión Regional</t>
  </si>
  <si>
    <t>ChefRegionales PorkColombia</t>
  </si>
  <si>
    <t>Cerdificado PorkColombia (Expertos de carne de cerdo)</t>
  </si>
  <si>
    <t>Actividades Apertura Nuevos Negocios</t>
  </si>
  <si>
    <t>Material gestión de la comercialización</t>
  </si>
  <si>
    <t xml:space="preserve">Gestion de actividades nutricionales </t>
  </si>
  <si>
    <t>Gestion y seguimiento comercializacion y nuevos negocios</t>
  </si>
  <si>
    <t>Comercialización y Nuevos Negocios</t>
  </si>
  <si>
    <t>Eventos especializados (Sector, gastronomicos , sector salud)</t>
  </si>
  <si>
    <t>Planeación Porkámericas</t>
  </si>
  <si>
    <t>Seguimiento gestión a eventos de sensibilización de las bondades de la carne de cerdo</t>
  </si>
  <si>
    <t>Festival PorkColombia</t>
  </si>
  <si>
    <t>Material de promocion al consumo</t>
  </si>
  <si>
    <t>Capacitación anual contratistas</t>
  </si>
  <si>
    <t>Asesor Gastronómico Ejecutivo</t>
  </si>
  <si>
    <t>Cocina PorkColombia</t>
  </si>
  <si>
    <t>Activaciones de consumo</t>
  </si>
  <si>
    <t>Fomento al Consumo Regional</t>
  </si>
  <si>
    <t>Producción Digital</t>
  </si>
  <si>
    <t>Pauta digital</t>
  </si>
  <si>
    <t>Desarrollo Digital (Concurso Sabor Porkcolombia)</t>
  </si>
  <si>
    <t>Sostenimiento y Desarrollo Digital</t>
  </si>
  <si>
    <t>Free Press Influenciadores</t>
  </si>
  <si>
    <t>Aval sello Fundación Colombiana del Corazón</t>
  </si>
  <si>
    <t>Pauta institucional</t>
  </si>
  <si>
    <t>Consultoría Mercado</t>
  </si>
  <si>
    <t>Campaña de publicidad</t>
  </si>
  <si>
    <t>Campaña de fomento al consumo</t>
  </si>
  <si>
    <t>Estudio Neuro de Conceptos (Colombiano - Fresco)</t>
  </si>
  <si>
    <t>Estudio NSOP (Carnicerias)</t>
  </si>
  <si>
    <t>Estudio Tracking Publicitario</t>
  </si>
  <si>
    <t>Estudio de tendencias alimenticias</t>
  </si>
  <si>
    <t>Estudio del Consumidor</t>
  </si>
  <si>
    <t>Evaluación Neurologica de la  Campaña Vigente/Eye Tracking</t>
  </si>
  <si>
    <t>Monitoreo de Medios</t>
  </si>
  <si>
    <t>Brand Equity Tracking</t>
  </si>
  <si>
    <t xml:space="preserve">Home Panel </t>
  </si>
  <si>
    <t>Investigación de mercados</t>
  </si>
  <si>
    <t>TOTAL ÁREA MERCADEO</t>
  </si>
  <si>
    <t>Seguimiento Mercados Internacionales</t>
  </si>
  <si>
    <t>Actualización Información Nacional</t>
  </si>
  <si>
    <t>Monitoreo Precios de la Carne al Consumidor</t>
  </si>
  <si>
    <t>Sistemas de información de mercados</t>
  </si>
  <si>
    <t>Asistencia Financiera</t>
  </si>
  <si>
    <t>Acceso a Mercados</t>
  </si>
  <si>
    <t>Fortalecimiento institucional</t>
  </si>
  <si>
    <t>TOTAL ÁREA ECONÓMICA</t>
  </si>
  <si>
    <t>TOTAL PROGRAMAS Y PROYECTOS</t>
  </si>
  <si>
    <t>TOTAL FUNCIONAMIENTO</t>
  </si>
  <si>
    <t>SUBTOTAL GASTOS ADMINISTRATIVOS DE RECAUDO</t>
  </si>
  <si>
    <t xml:space="preserve"> Jornadas de trabajo con los coordinadores regionales(trabajo con autoridades)</t>
  </si>
  <si>
    <t xml:space="preserve"> Trabajo con autoridades</t>
  </si>
  <si>
    <t>Comunicación y divulgación</t>
  </si>
  <si>
    <t xml:space="preserve"> Movilización Jefe Coordinadores de recaudo</t>
  </si>
  <si>
    <t>Fortalecimiento del beneficio formal</t>
  </si>
  <si>
    <t xml:space="preserve"> Jornadas de trabajo con los coordinadores regionales (visita plantas)</t>
  </si>
  <si>
    <t xml:space="preserve"> Movilización coordinadores</t>
  </si>
  <si>
    <t xml:space="preserve"> Seguimiento al recaudo regional</t>
  </si>
  <si>
    <t>Control al recaudo</t>
  </si>
  <si>
    <t>GASTOS ADMINISTRATIVOS DE RECAUDO</t>
  </si>
  <si>
    <t>SUBTOTAL GASTOS GENERALES</t>
  </si>
  <si>
    <t>Gastos comisión de fomento</t>
  </si>
  <si>
    <t>Cuota auditaje CGR</t>
  </si>
  <si>
    <t>Arriendos</t>
  </si>
  <si>
    <t>Servicios públicos</t>
  </si>
  <si>
    <t>Aseo, vigilancia y cafetería</t>
  </si>
  <si>
    <t>Gastos de viaje</t>
  </si>
  <si>
    <t>Comisiones y gastos bancarios</t>
  </si>
  <si>
    <t>Seguros, impuestos y gastos legales</t>
  </si>
  <si>
    <t xml:space="preserve">Mantenimiento </t>
  </si>
  <si>
    <t xml:space="preserve">Capacitación </t>
  </si>
  <si>
    <t>Transportes, fletes y acarreos</t>
  </si>
  <si>
    <t>Correo</t>
  </si>
  <si>
    <t>Materiales y suministros</t>
  </si>
  <si>
    <t>Impresos y publicaciones</t>
  </si>
  <si>
    <t>Muebles, equipos de oficina y software</t>
  </si>
  <si>
    <t>GASTOS GENERALES</t>
  </si>
  <si>
    <t>SUBTOTAL GASTOS PERSONAL</t>
  </si>
  <si>
    <t>Aportes ICBF y SENA</t>
  </si>
  <si>
    <t>Caja de compensación</t>
  </si>
  <si>
    <t>Seguros y/o fondos privados</t>
  </si>
  <si>
    <t>Intereses de cesantías</t>
  </si>
  <si>
    <t>Cesantías</t>
  </si>
  <si>
    <t xml:space="preserve">Dotación y suministro </t>
  </si>
  <si>
    <t>Honorarios</t>
  </si>
  <si>
    <t>Prima legal</t>
  </si>
  <si>
    <t>Vacaciones</t>
  </si>
  <si>
    <t>Sueldos</t>
  </si>
  <si>
    <t>Servicios de personal</t>
  </si>
  <si>
    <t>GASTOS DE PERSONAL</t>
  </si>
  <si>
    <t>% PARTICI-PACIÓN</t>
  </si>
  <si>
    <t>PRESUPUESTO DEFINITIVO</t>
  </si>
  <si>
    <t>ACUERDO 9/20</t>
  </si>
  <si>
    <t>ACUERDO 05/20</t>
  </si>
  <si>
    <t>TOTAL PRESUPUESTO</t>
  </si>
  <si>
    <t>GASTOS DE FUNCIONAMIENTO</t>
  </si>
  <si>
    <t>TOTAL INVERSIÓN</t>
  </si>
  <si>
    <t xml:space="preserve">PROGRAMA PPC </t>
  </si>
  <si>
    <t>PROGRAMAS MERCADEO</t>
  </si>
  <si>
    <t>PROGRAMA SANIDAD</t>
  </si>
  <si>
    <t>PROGRAMAS INVESTIGACIÓN Y TRANSFERENCIA DE TÉCNOLOGÍA</t>
  </si>
  <si>
    <t>PROGRAMAS TÉCNICA</t>
  </si>
  <si>
    <t>PROGRAMAS ECONÓMICA</t>
  </si>
  <si>
    <t>CUENTAS</t>
  </si>
  <si>
    <t>ANEXO 2</t>
  </si>
  <si>
    <t>PRESUPUESTO DE GASTOS DE FUNCIONAMIENTO E INVERSIÓN 2.020</t>
  </si>
  <si>
    <t>DIRECCIÓN DE PLANEACIÓN Y SEGUIMIENTO PRESUPUESTAL</t>
  </si>
  <si>
    <t>MINISTERIO DE AGRICULTURA 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</si>
</sst>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_ ;_ @_ "/>
    <numFmt numFmtId="165" formatCode="_ * #,##0_ ;_ * \-#,##0_ ;_ * &quot;-&quot;??_ ;_ @_ "/>
    <numFmt numFmtId="166" formatCode="_ * #,##0.00_ ;_ * \-#,##0.00_ ;_ * &quot;-&quot;??_ ;_ @_ "/>
  </numFmts>
  <fonts count="9" x14ac:knownFonts="1">
    <font>
      <sz val="10"/>
      <name val="Arial"/>
    </font>
    <font>
      <sz val="10"/>
      <name val="Arial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entury Gothic"/>
      <family val="2"/>
    </font>
    <font>
      <b/>
      <sz val="11"/>
      <color rgb="FFFF0000"/>
      <name val="Century Gothic"/>
      <family val="2"/>
    </font>
    <font>
      <b/>
      <sz val="11"/>
      <color indexed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3" fillId="0" borderId="0" xfId="0" applyNumberFormat="1" applyFont="1"/>
    <xf numFmtId="164" fontId="2" fillId="0" borderId="0" xfId="1" applyFont="1" applyFill="1"/>
    <xf numFmtId="3" fontId="2" fillId="0" borderId="0" xfId="0" applyNumberFormat="1" applyFont="1"/>
    <xf numFmtId="164" fontId="2" fillId="0" borderId="0" xfId="0" applyNumberFormat="1" applyFont="1"/>
    <xf numFmtId="164" fontId="3" fillId="0" borderId="0" xfId="1" applyFont="1" applyFill="1"/>
    <xf numFmtId="10" fontId="2" fillId="0" borderId="0" xfId="0" applyNumberFormat="1" applyFont="1"/>
    <xf numFmtId="37" fontId="2" fillId="0" borderId="0" xfId="0" applyNumberFormat="1" applyFont="1"/>
    <xf numFmtId="10" fontId="2" fillId="0" borderId="0" xfId="2" applyNumberFormat="1" applyFont="1" applyFill="1"/>
    <xf numFmtId="0" fontId="2" fillId="2" borderId="1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3" fontId="2" fillId="0" borderId="2" xfId="0" applyNumberFormat="1" applyFont="1" applyBorder="1"/>
    <xf numFmtId="3" fontId="3" fillId="0" borderId="2" xfId="0" applyNumberFormat="1" applyFont="1" applyBorder="1"/>
    <xf numFmtId="0" fontId="2" fillId="2" borderId="3" xfId="0" applyFont="1" applyFill="1" applyBorder="1"/>
    <xf numFmtId="10" fontId="3" fillId="2" borderId="4" xfId="2" applyNumberFormat="1" applyFont="1" applyFill="1" applyBorder="1"/>
    <xf numFmtId="3" fontId="3" fillId="0" borderId="5" xfId="0" applyNumberFormat="1" applyFont="1" applyBorder="1"/>
    <xf numFmtId="3" fontId="3" fillId="2" borderId="5" xfId="0" applyNumberFormat="1" applyFont="1" applyFill="1" applyBorder="1"/>
    <xf numFmtId="0" fontId="3" fillId="2" borderId="6" xfId="0" applyFont="1" applyFill="1" applyBorder="1"/>
    <xf numFmtId="3" fontId="2" fillId="0" borderId="5" xfId="0" applyNumberFormat="1" applyFont="1" applyBorder="1"/>
    <xf numFmtId="3" fontId="2" fillId="2" borderId="5" xfId="0" applyNumberFormat="1" applyFont="1" applyFill="1" applyBorder="1"/>
    <xf numFmtId="10" fontId="2" fillId="2" borderId="4" xfId="2" applyNumberFormat="1" applyFont="1" applyFill="1" applyBorder="1"/>
    <xf numFmtId="0" fontId="2" fillId="2" borderId="6" xfId="0" applyFont="1" applyFill="1" applyBorder="1"/>
    <xf numFmtId="165" fontId="2" fillId="0" borderId="0" xfId="0" applyNumberFormat="1" applyFont="1"/>
    <xf numFmtId="37" fontId="3" fillId="2" borderId="6" xfId="0" applyNumberFormat="1" applyFont="1" applyFill="1" applyBorder="1"/>
    <xf numFmtId="3" fontId="3" fillId="0" borderId="5" xfId="3" applyNumberFormat="1" applyFont="1" applyFill="1" applyBorder="1"/>
    <xf numFmtId="37" fontId="2" fillId="2" borderId="6" xfId="0" applyNumberFormat="1" applyFont="1" applyFill="1" applyBorder="1"/>
    <xf numFmtId="0" fontId="3" fillId="0" borderId="0" xfId="0" applyFont="1"/>
    <xf numFmtId="37" fontId="2" fillId="2" borderId="6" xfId="0" applyNumberFormat="1" applyFont="1" applyFill="1" applyBorder="1" applyAlignment="1">
      <alignment horizontal="left"/>
    </xf>
    <xf numFmtId="37" fontId="3" fillId="2" borderId="6" xfId="0" applyNumberFormat="1" applyFont="1" applyFill="1" applyBorder="1" applyAlignment="1">
      <alignment horizontal="left"/>
    </xf>
    <xf numFmtId="37" fontId="2" fillId="2" borderId="6" xfId="0" applyNumberFormat="1" applyFont="1" applyFill="1" applyBorder="1" applyAlignment="1">
      <alignment horizontal="left" wrapText="1"/>
    </xf>
    <xf numFmtId="166" fontId="3" fillId="0" borderId="5" xfId="4" applyFont="1" applyFill="1" applyBorder="1"/>
    <xf numFmtId="37" fontId="3" fillId="2" borderId="6" xfId="0" applyNumberFormat="1" applyFont="1" applyFill="1" applyBorder="1" applyAlignment="1">
      <alignment horizontal="left" wrapText="1"/>
    </xf>
    <xf numFmtId="37" fontId="2" fillId="0" borderId="6" xfId="0" applyNumberFormat="1" applyFont="1" applyBorder="1" applyAlignment="1">
      <alignment horizontal="left"/>
    </xf>
    <xf numFmtId="166" fontId="3" fillId="0" borderId="0" xfId="0" applyNumberFormat="1" applyFont="1"/>
    <xf numFmtId="164" fontId="5" fillId="0" borderId="7" xfId="5" applyNumberFormat="1" applyFont="1" applyFill="1" applyBorder="1"/>
    <xf numFmtId="166" fontId="3" fillId="0" borderId="0" xfId="4" applyFont="1" applyFill="1"/>
    <xf numFmtId="166" fontId="2" fillId="0" borderId="5" xfId="4" applyFont="1" applyFill="1" applyBorder="1"/>
    <xf numFmtId="3" fontId="3" fillId="0" borderId="0" xfId="0" applyNumberFormat="1" applyFont="1"/>
    <xf numFmtId="37" fontId="3" fillId="0" borderId="6" xfId="0" applyNumberFormat="1" applyFont="1" applyBorder="1"/>
    <xf numFmtId="3" fontId="3" fillId="0" borderId="8" xfId="0" applyNumberFormat="1" applyFont="1" applyBorder="1"/>
    <xf numFmtId="3" fontId="3" fillId="2" borderId="8" xfId="0" applyNumberFormat="1" applyFont="1" applyFill="1" applyBorder="1"/>
    <xf numFmtId="0" fontId="3" fillId="2" borderId="9" xfId="0" applyFont="1" applyFill="1" applyBorder="1"/>
    <xf numFmtId="3" fontId="3" fillId="2" borderId="5" xfId="4" applyNumberFormat="1" applyFont="1" applyFill="1" applyBorder="1"/>
    <xf numFmtId="10" fontId="3" fillId="0" borderId="4" xfId="2" applyNumberFormat="1" applyFont="1" applyFill="1" applyBorder="1"/>
    <xf numFmtId="3" fontId="3" fillId="0" borderId="5" xfId="4" applyNumberFormat="1" applyFont="1" applyFill="1" applyBorder="1"/>
    <xf numFmtId="3" fontId="2" fillId="2" borderId="5" xfId="4" applyNumberFormat="1" applyFont="1" applyFill="1" applyBorder="1"/>
    <xf numFmtId="3" fontId="2" fillId="2" borderId="6" xfId="0" applyNumberFormat="1" applyFont="1" applyFill="1" applyBorder="1"/>
    <xf numFmtId="3" fontId="2" fillId="0" borderId="5" xfId="4" applyNumberFormat="1" applyFont="1" applyFill="1" applyBorder="1"/>
    <xf numFmtId="3" fontId="3" fillId="2" borderId="6" xfId="0" applyNumberFormat="1" applyFont="1" applyFill="1" applyBorder="1"/>
    <xf numFmtId="3" fontId="6" fillId="2" borderId="5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13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8" fillId="2" borderId="13" xfId="0" applyFont="1" applyFill="1" applyBorder="1" applyAlignment="1">
      <alignment horizontal="centerContinuous"/>
    </xf>
    <xf numFmtId="3" fontId="3" fillId="2" borderId="13" xfId="0" applyNumberFormat="1" applyFont="1" applyFill="1" applyBorder="1" applyAlignment="1">
      <alignment horizontal="centerContinuous"/>
    </xf>
    <xf numFmtId="3" fontId="8" fillId="2" borderId="13" xfId="0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Millares [0]" xfId="1" builtinId="6"/>
    <cellStyle name="Millares 2 2" xfId="3" xr:uid="{4DB80D68-6DDE-4842-8E6F-767737A0EE7B}"/>
    <cellStyle name="Millares 23" xfId="4" xr:uid="{6B992F3F-8E45-4620-8525-FB2FA0239655}"/>
    <cellStyle name="Millares 26" xfId="5" xr:uid="{5197D9CA-D81A-49CE-88DC-1B9AA4685FF9}"/>
    <cellStyle name="Normal" xfId="0" builtinId="0"/>
    <cellStyle name="Porcentaje 10" xfId="2" xr:uid="{9B26CAF7-FDA0-4F98-8AF3-0173B3D4A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Gastos%20administrativos%20de%20recaudo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9-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%20ACP%20FNP/MATRIZ%20DE%20CONTROL%20A&#209;O%202011(borrador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%20Sanidad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%20Investigaci&#243;n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s%20Investig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%20t&#233;cnica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%20PPC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%20PPC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%20Mercadeo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2da%20versi&#243;n/Anexos/Presupuesto%20Econ&#243;m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13">
          <cell r="D13">
            <v>30113546035</v>
          </cell>
          <cell r="G13">
            <v>-835121081.25</v>
          </cell>
        </row>
        <row r="14">
          <cell r="D14">
            <v>18068127621</v>
          </cell>
          <cell r="G14">
            <v>-501072648.75</v>
          </cell>
        </row>
        <row r="17">
          <cell r="D17">
            <v>248957223</v>
          </cell>
        </row>
        <row r="18">
          <cell r="D18">
            <v>149374334</v>
          </cell>
        </row>
        <row r="31">
          <cell r="D31">
            <v>1743390000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dos"/>
      <sheetName val="Agregados (2)"/>
      <sheetName val="Generales"/>
      <sheetName val="Inversión"/>
      <sheetName val="Supuestos"/>
      <sheetName val="Archivo"/>
      <sheetName val="2017 MOV"/>
      <sheetName val="2018 MOV"/>
      <sheetName val="2019 MOV"/>
      <sheetName val="Hoja7"/>
    </sheetNames>
    <sheetDataSet>
      <sheetData sheetId="0">
        <row r="7">
          <cell r="E7">
            <v>146195762</v>
          </cell>
        </row>
        <row r="18">
          <cell r="E18">
            <v>134282569</v>
          </cell>
        </row>
        <row r="19">
          <cell r="E19">
            <v>195210144</v>
          </cell>
        </row>
        <row r="20">
          <cell r="E20">
            <v>23860957</v>
          </cell>
        </row>
        <row r="23">
          <cell r="E23">
            <v>18859932</v>
          </cell>
        </row>
        <row r="24">
          <cell r="E24">
            <v>55000000</v>
          </cell>
        </row>
        <row r="25">
          <cell r="E25">
            <v>124660754</v>
          </cell>
        </row>
        <row r="26">
          <cell r="E26">
            <v>24279837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Rendimientos "/>
      <sheetName val="Ejecución ingresos 2019"/>
      <sheetName val="Ventas EPPC"/>
      <sheetName val="Ejecución gastos 2019"/>
      <sheetName val="Superavit 2019"/>
      <sheetName val="Hoja1"/>
      <sheetName val="ht"/>
      <sheetName val="estimado de ingreso"/>
      <sheetName val="Rubros Mod"/>
      <sheetName val="superavit"/>
      <sheetName val="Anexo 3"/>
      <sheetName val="Anexo 4"/>
      <sheetName val="Funcionamiento"/>
      <sheetName val="Nómina y honorarios 2020"/>
      <sheetName val="cal nomina"/>
      <sheetName val="Comparativo nómina 2019-2020"/>
      <sheetName val="Comparativo gastos personal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8">
          <cell r="H28">
            <v>501072648.75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G8">
            <v>26850016</v>
          </cell>
        </row>
        <row r="10">
          <cell r="G10">
            <v>320753488.32599998</v>
          </cell>
          <cell r="H10">
            <v>13000000</v>
          </cell>
          <cell r="J10">
            <v>1800000</v>
          </cell>
          <cell r="K10">
            <v>674700</v>
          </cell>
          <cell r="M10">
            <v>17500000</v>
          </cell>
        </row>
        <row r="12">
          <cell r="G12">
            <v>11992419.857999999</v>
          </cell>
        </row>
        <row r="14">
          <cell r="G14">
            <v>24077057.712000001</v>
          </cell>
          <cell r="H14">
            <v>12852100</v>
          </cell>
        </row>
        <row r="16">
          <cell r="G16">
            <v>21606857.162</v>
          </cell>
          <cell r="H16">
            <v>10763338</v>
          </cell>
          <cell r="I16">
            <v>10763338.59</v>
          </cell>
          <cell r="J16">
            <v>10763338.59</v>
          </cell>
          <cell r="K16">
            <v>10763338.59</v>
          </cell>
          <cell r="L16">
            <v>10763338.59</v>
          </cell>
          <cell r="M16">
            <v>10763338.821681602</v>
          </cell>
        </row>
        <row r="18">
          <cell r="G18">
            <v>44096589.384000003</v>
          </cell>
          <cell r="H18">
            <v>33822668</v>
          </cell>
          <cell r="I18">
            <v>639870</v>
          </cell>
          <cell r="J18">
            <v>14993312.112</v>
          </cell>
          <cell r="K18">
            <v>5896467.9900000002</v>
          </cell>
          <cell r="L18">
            <v>3269748.7859999998</v>
          </cell>
          <cell r="M18">
            <v>5578945.8660000004</v>
          </cell>
        </row>
        <row r="20">
          <cell r="G20">
            <v>14160304</v>
          </cell>
          <cell r="H20">
            <v>10415486</v>
          </cell>
          <cell r="M20">
            <v>0</v>
          </cell>
        </row>
        <row r="22">
          <cell r="G22">
            <v>26692500</v>
          </cell>
          <cell r="H22">
            <v>362016345.84000003</v>
          </cell>
          <cell r="J22">
            <v>16150000</v>
          </cell>
          <cell r="K22">
            <v>19121771.309999999</v>
          </cell>
          <cell r="L22">
            <v>9715419.392665647</v>
          </cell>
          <cell r="M22">
            <v>26616912.593327172</v>
          </cell>
        </row>
        <row r="24">
          <cell r="G24">
            <v>36339400</v>
          </cell>
          <cell r="H24">
            <v>2500000</v>
          </cell>
          <cell r="J24">
            <v>3150000</v>
          </cell>
          <cell r="K24">
            <v>3633000</v>
          </cell>
        </row>
        <row r="26">
          <cell r="G26">
            <v>50871555.838</v>
          </cell>
          <cell r="H26">
            <v>104510400</v>
          </cell>
          <cell r="J26">
            <v>2600000</v>
          </cell>
          <cell r="K26">
            <v>12953177.5207422</v>
          </cell>
          <cell r="L26">
            <v>7693028</v>
          </cell>
          <cell r="M26">
            <v>12585534.208887685</v>
          </cell>
        </row>
        <row r="28">
          <cell r="G28">
            <v>5710020.3540000003</v>
          </cell>
          <cell r="H28">
            <v>2406896</v>
          </cell>
          <cell r="J28">
            <v>2076000</v>
          </cell>
          <cell r="K28">
            <v>2812250.2859999998</v>
          </cell>
          <cell r="L28">
            <v>2357828.7411294002</v>
          </cell>
          <cell r="M28">
            <v>2564069.0801880001</v>
          </cell>
        </row>
        <row r="30">
          <cell r="G30">
            <v>13676344.614</v>
          </cell>
          <cell r="H30">
            <v>43218168</v>
          </cell>
          <cell r="J30">
            <v>565209.68400000001</v>
          </cell>
          <cell r="K30">
            <v>4120672.7214536988</v>
          </cell>
          <cell r="L30">
            <v>5678778</v>
          </cell>
        </row>
        <row r="32">
          <cell r="G32">
            <v>17025690.074000001</v>
          </cell>
        </row>
        <row r="34">
          <cell r="G34">
            <v>128185001.29820001</v>
          </cell>
          <cell r="H34">
            <v>78036884</v>
          </cell>
        </row>
        <row r="36">
          <cell r="G36">
            <v>77360043.239999995</v>
          </cell>
        </row>
      </sheetData>
      <sheetData sheetId="14">
        <row r="12">
          <cell r="K12">
            <v>676689408.64586663</v>
          </cell>
          <cell r="L12">
            <v>53463861.755999997</v>
          </cell>
          <cell r="M12">
            <v>6415663.41072</v>
          </cell>
          <cell r="N12">
            <v>53463861.755999997</v>
          </cell>
          <cell r="O12">
            <v>32078317.053599998</v>
          </cell>
          <cell r="S12">
            <v>142840094.72223499</v>
          </cell>
          <cell r="U12">
            <v>27320836.012032006</v>
          </cell>
          <cell r="X12">
            <v>34151045.015039995</v>
          </cell>
        </row>
        <row r="26">
          <cell r="K26">
            <v>378861052.35519993</v>
          </cell>
          <cell r="L26">
            <v>20348338.079999998</v>
          </cell>
          <cell r="M26">
            <v>2441800.5695999996</v>
          </cell>
          <cell r="N26">
            <v>20348338.079999998</v>
          </cell>
          <cell r="O26">
            <v>19155895.905599996</v>
          </cell>
          <cell r="S26">
            <v>71699001.961936831</v>
          </cell>
          <cell r="U26">
            <v>14515298.6763264</v>
          </cell>
          <cell r="X26">
            <v>18144123.345408004</v>
          </cell>
        </row>
        <row r="37">
          <cell r="K37">
            <v>498021736.472</v>
          </cell>
          <cell r="L37">
            <v>30389968.763999999</v>
          </cell>
          <cell r="M37">
            <v>3646796.2516800002</v>
          </cell>
          <cell r="N37">
            <v>30389968.763999999</v>
          </cell>
          <cell r="O37">
            <v>25180874.316000007</v>
          </cell>
          <cell r="S37">
            <v>97311711.646619901</v>
          </cell>
          <cell r="U37">
            <v>19656613.586534403</v>
          </cell>
          <cell r="X37">
            <v>24570766.983167998</v>
          </cell>
        </row>
        <row r="51">
          <cell r="K51">
            <v>597664099.43999994</v>
          </cell>
          <cell r="L51">
            <v>38786797.103999995</v>
          </cell>
          <cell r="M51">
            <v>4654415.6524800006</v>
          </cell>
          <cell r="N51">
            <v>38786797.103999995</v>
          </cell>
          <cell r="O51">
            <v>30218971.32</v>
          </cell>
          <cell r="S51">
            <v>118537351.06067137</v>
          </cell>
          <cell r="U51">
            <v>23955789.696614403</v>
          </cell>
          <cell r="X51">
            <v>29944737.120767999</v>
          </cell>
        </row>
        <row r="66">
          <cell r="K66">
            <v>343109292.2608</v>
          </cell>
          <cell r="L66">
            <v>17335549.307999998</v>
          </cell>
          <cell r="M66">
            <v>2080265.9169599998</v>
          </cell>
          <cell r="N66">
            <v>17335549.307999998</v>
          </cell>
          <cell r="O66">
            <v>17348222.642400004</v>
          </cell>
          <cell r="S66">
            <v>64032728.535029888</v>
          </cell>
          <cell r="U66">
            <v>12972750.825062402</v>
          </cell>
          <cell r="X66">
            <v>16215938.531328002</v>
          </cell>
        </row>
        <row r="75">
          <cell r="K75">
            <v>33562269.741600007</v>
          </cell>
          <cell r="L75">
            <v>2828281.1580000003</v>
          </cell>
          <cell r="M75">
            <v>339393.73896000005</v>
          </cell>
          <cell r="N75">
            <v>2828281.1580000003</v>
          </cell>
          <cell r="O75">
            <v>1696968.6948000002</v>
          </cell>
          <cell r="S75">
            <v>7154553.8892516121</v>
          </cell>
          <cell r="U75">
            <v>1448079.9528960001</v>
          </cell>
          <cell r="X75">
            <v>1810099.9411200001</v>
          </cell>
        </row>
        <row r="79">
          <cell r="K79">
            <v>1068119793.0031999</v>
          </cell>
          <cell r="L79">
            <v>78431939.819999993</v>
          </cell>
          <cell r="M79">
            <v>9411832.7784000002</v>
          </cell>
          <cell r="N79">
            <v>78431939.819999993</v>
          </cell>
          <cell r="O79">
            <v>54006056.949599996</v>
          </cell>
          <cell r="S79">
            <v>222401181.17450118</v>
          </cell>
          <cell r="U79">
            <v>44148780.353126399</v>
          </cell>
          <cell r="X79">
            <v>55185975.441407993</v>
          </cell>
        </row>
        <row r="108">
          <cell r="G108">
            <v>731961.27</v>
          </cell>
          <cell r="I108">
            <v>731961.27</v>
          </cell>
          <cell r="K108">
            <v>731961.27</v>
          </cell>
          <cell r="M108">
            <v>731961.27</v>
          </cell>
          <cell r="O108">
            <v>731961.27</v>
          </cell>
          <cell r="Q108">
            <v>2195883.81</v>
          </cell>
        </row>
        <row r="119">
          <cell r="I119">
            <v>158140985.71200001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gregado Sanidad"/>
      <sheetName val="SUPERÁVIT"/>
      <sheetName val="Hoja1"/>
      <sheetName val="Desagregado Sanidad (2)"/>
    </sheetNames>
    <sheetDataSet>
      <sheetData sheetId="0"/>
      <sheetData sheetId="1">
        <row r="8">
          <cell r="C8">
            <v>639870</v>
          </cell>
        </row>
        <row r="17">
          <cell r="C17">
            <v>213500000</v>
          </cell>
        </row>
        <row r="22">
          <cell r="C22">
            <v>211803000</v>
          </cell>
        </row>
        <row r="30">
          <cell r="C30">
            <v>34000000</v>
          </cell>
        </row>
        <row r="34">
          <cell r="C34">
            <v>40000000</v>
          </cell>
        </row>
        <row r="37">
          <cell r="C37">
            <v>370000000</v>
          </cell>
        </row>
        <row r="39">
          <cell r="C39">
            <v>50000000</v>
          </cell>
        </row>
        <row r="42">
          <cell r="C42">
            <v>503222735</v>
          </cell>
        </row>
        <row r="56">
          <cell r="C56">
            <v>35000000</v>
          </cell>
        </row>
        <row r="59">
          <cell r="C59">
            <v>150000000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oyectos"/>
      <sheetName val="General (2)"/>
      <sheetName val="General (3)"/>
    </sheetNames>
    <sheetDataSet>
      <sheetData sheetId="0">
        <row r="7">
          <cell r="E7">
            <v>7693028</v>
          </cell>
        </row>
        <row r="18">
          <cell r="E18">
            <v>1159544000</v>
          </cell>
        </row>
        <row r="19">
          <cell r="E19">
            <v>20367573</v>
          </cell>
        </row>
        <row r="20">
          <cell r="E20">
            <v>32405503.3008168</v>
          </cell>
        </row>
        <row r="24">
          <cell r="E24">
            <v>36330000</v>
          </cell>
        </row>
        <row r="26">
          <cell r="E26">
            <v>52500000</v>
          </cell>
        </row>
        <row r="27">
          <cell r="E27">
            <v>185002117.19999999</v>
          </cell>
        </row>
        <row r="29">
          <cell r="E29">
            <v>150000000</v>
          </cell>
        </row>
        <row r="31">
          <cell r="E31">
            <v>150000000</v>
          </cell>
        </row>
        <row r="34">
          <cell r="E34">
            <v>40000000</v>
          </cell>
        </row>
        <row r="36">
          <cell r="E36">
            <v>41520000</v>
          </cell>
        </row>
        <row r="38">
          <cell r="E38">
            <v>30000000</v>
          </cell>
        </row>
        <row r="39">
          <cell r="E39">
            <v>30000000</v>
          </cell>
        </row>
        <row r="40">
          <cell r="E40">
            <v>100000000</v>
          </cell>
        </row>
        <row r="41">
          <cell r="E41">
            <v>208846638</v>
          </cell>
        </row>
        <row r="45">
          <cell r="E45">
            <v>92746507.638565615</v>
          </cell>
        </row>
        <row r="46">
          <cell r="E46">
            <v>238740000</v>
          </cell>
        </row>
        <row r="47">
          <cell r="E47">
            <v>50166568.960199997</v>
          </cell>
        </row>
        <row r="49">
          <cell r="E49">
            <v>363342506.34610748</v>
          </cell>
        </row>
        <row r="50">
          <cell r="E50">
            <v>28729277.177999999</v>
          </cell>
        </row>
        <row r="51">
          <cell r="E51">
            <v>16179404.844588</v>
          </cell>
        </row>
        <row r="52">
          <cell r="E52">
            <v>31511800.876940999</v>
          </cell>
        </row>
        <row r="53">
          <cell r="E53">
            <v>155938823.03999999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23">
          <cell r="A23" t="str">
            <v>Gira técnica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nexo1"/>
      <sheetName val="Anexo"/>
      <sheetName val="Inucuidad  en Produccion Primar"/>
      <sheetName val="Fortal. Empresarial"/>
      <sheetName val="Sost. Ambiental"/>
      <sheetName val="Aseguraminto de la Calidad"/>
      <sheetName val="General (2)"/>
      <sheetName val="General (3)"/>
    </sheetNames>
    <sheetDataSet>
      <sheetData sheetId="0">
        <row r="7">
          <cell r="D7">
            <v>3633000</v>
          </cell>
        </row>
        <row r="20">
          <cell r="D20">
            <v>37938900</v>
          </cell>
        </row>
        <row r="21">
          <cell r="D21">
            <v>1036660662.5852052</v>
          </cell>
        </row>
        <row r="22">
          <cell r="D22">
            <v>309449961.34152001</v>
          </cell>
        </row>
        <row r="29">
          <cell r="D29">
            <v>63795342.861979254</v>
          </cell>
        </row>
        <row r="30">
          <cell r="D30">
            <v>767835369.41964948</v>
          </cell>
        </row>
        <row r="31">
          <cell r="D31">
            <v>251129238.16536385</v>
          </cell>
        </row>
        <row r="38">
          <cell r="D38">
            <v>39697168.200000003</v>
          </cell>
        </row>
        <row r="39">
          <cell r="D39">
            <v>250557633.11399999</v>
          </cell>
        </row>
        <row r="41">
          <cell r="D41">
            <v>57728889</v>
          </cell>
        </row>
        <row r="43">
          <cell r="D43">
            <v>290000000</v>
          </cell>
        </row>
        <row r="44">
          <cell r="D44">
            <v>170000000</v>
          </cell>
        </row>
        <row r="47">
          <cell r="D47">
            <v>16410261</v>
          </cell>
        </row>
        <row r="48">
          <cell r="D48">
            <v>567259825.34399998</v>
          </cell>
        </row>
        <row r="49">
          <cell r="D49">
            <v>157824629.26199999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PPC"/>
      <sheetName val="Muebles y Equipos"/>
      <sheetName val="Correo"/>
      <sheetName val="Gastos de Viaje"/>
      <sheetName val="Identificación"/>
      <sheetName val="Suministros clínic y dotación "/>
      <sheetName val="Auxilios Distribuidores"/>
      <sheetName val="Biológico"/>
      <sheetName val="Distribución Vac y Chap"/>
      <sheetName val="Contratación personal"/>
      <sheetName val="Disposición Residuos "/>
      <sheetName val="Capacitación"/>
      <sheetName val="Vigilancia Epidemiológica"/>
      <sheetName val="Administración Base Datos"/>
      <sheetName val="Presupuesto PPC (2)"/>
      <sheetName val="Presupuesto Superávit"/>
    </sheetNames>
    <sheetDataSet>
      <sheetData sheetId="0">
        <row r="6">
          <cell r="D6">
            <v>13000000</v>
          </cell>
        </row>
        <row r="23">
          <cell r="D23">
            <v>2473320000</v>
          </cell>
        </row>
        <row r="24">
          <cell r="D24">
            <v>552363677.60000002</v>
          </cell>
        </row>
        <row r="25">
          <cell r="D25">
            <v>264569176.80000001</v>
          </cell>
        </row>
        <row r="26">
          <cell r="D26">
            <v>1349100000</v>
          </cell>
        </row>
        <row r="27">
          <cell r="D27">
            <v>276000000</v>
          </cell>
        </row>
        <row r="28">
          <cell r="D28">
            <v>8614736346.1999989</v>
          </cell>
        </row>
        <row r="29">
          <cell r="D29">
            <v>33880320</v>
          </cell>
        </row>
        <row r="31">
          <cell r="D31">
            <v>177100000</v>
          </cell>
        </row>
        <row r="34">
          <cell r="D34">
            <v>332976305</v>
          </cell>
        </row>
        <row r="35">
          <cell r="D35">
            <v>142947044.57499999</v>
          </cell>
        </row>
        <row r="39">
          <cell r="D39">
            <v>392900000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 refreshError="1">
        <row r="37">
          <cell r="B37" t="str">
            <v>Diagnóstico Rutinario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20 FNP"/>
      <sheetName val="Presupuesto 2020 Asociación"/>
      <sheetName val="Honorarios 2020"/>
      <sheetName val="Agencia de Medios"/>
      <sheetName val="Anexo 1 Honorarios Contrati (2"/>
      <sheetName val="Anexo 1 Honorarios Contratistas"/>
      <sheetName val="Anexo 2 Agencias"/>
    </sheetNames>
    <sheetDataSet>
      <sheetData sheetId="0">
        <row r="6">
          <cell r="F6">
            <v>17500000</v>
          </cell>
        </row>
        <row r="18">
          <cell r="F18">
            <v>76862780.63189283</v>
          </cell>
        </row>
        <row r="19">
          <cell r="F19">
            <v>98488415.886689618</v>
          </cell>
        </row>
        <row r="20">
          <cell r="F20">
            <v>30082119.735105161</v>
          </cell>
        </row>
        <row r="21">
          <cell r="F21">
            <v>111326934.49818935</v>
          </cell>
        </row>
        <row r="22">
          <cell r="F22">
            <v>94158786.134237379</v>
          </cell>
        </row>
        <row r="23">
          <cell r="F23">
            <v>50000000</v>
          </cell>
        </row>
        <row r="26">
          <cell r="F26">
            <v>29285130</v>
          </cell>
        </row>
        <row r="29">
          <cell r="F29">
            <v>5520796050.3540001</v>
          </cell>
        </row>
        <row r="35">
          <cell r="F35">
            <v>67571750.137673706</v>
          </cell>
        </row>
        <row r="36">
          <cell r="F36">
            <v>56295977.883322053</v>
          </cell>
        </row>
        <row r="37">
          <cell r="F37">
            <v>65000000</v>
          </cell>
        </row>
        <row r="42">
          <cell r="F42">
            <v>246026067.65399998</v>
          </cell>
        </row>
        <row r="51">
          <cell r="F51">
            <v>140262268.58028793</v>
          </cell>
        </row>
        <row r="54">
          <cell r="F54">
            <v>299605897.95675004</v>
          </cell>
        </row>
        <row r="55">
          <cell r="F55">
            <v>267752100</v>
          </cell>
        </row>
        <row r="56">
          <cell r="F56">
            <v>311400000</v>
          </cell>
        </row>
        <row r="61">
          <cell r="F61">
            <v>363958627</v>
          </cell>
        </row>
        <row r="64">
          <cell r="F64">
            <v>45759233.519999996</v>
          </cell>
        </row>
        <row r="66">
          <cell r="F66">
            <v>45774769.288849115</v>
          </cell>
        </row>
        <row r="67">
          <cell r="F67">
            <v>94759074.702600002</v>
          </cell>
        </row>
        <row r="68">
          <cell r="F68">
            <v>555693476.97900009</v>
          </cell>
        </row>
        <row r="71">
          <cell r="F71">
            <v>20000000</v>
          </cell>
        </row>
        <row r="72">
          <cell r="F72">
            <v>85000000</v>
          </cell>
        </row>
        <row r="73">
          <cell r="F73">
            <v>600000000</v>
          </cell>
        </row>
        <row r="79">
          <cell r="F79">
            <v>10384433.185896002</v>
          </cell>
        </row>
        <row r="80">
          <cell r="F80">
            <v>228796167.59999996</v>
          </cell>
        </row>
        <row r="81">
          <cell r="F81">
            <v>115064740.65147601</v>
          </cell>
        </row>
        <row r="82">
          <cell r="F82">
            <v>160376877.615834</v>
          </cell>
        </row>
        <row r="83">
          <cell r="F83">
            <v>146117216.54939643</v>
          </cell>
        </row>
        <row r="84">
          <cell r="F84">
            <v>184153623.822</v>
          </cell>
        </row>
        <row r="85">
          <cell r="F85">
            <v>37725259.858070403</v>
          </cell>
        </row>
        <row r="86">
          <cell r="F86">
            <v>77500000</v>
          </cell>
        </row>
        <row r="91">
          <cell r="F91">
            <v>41440000</v>
          </cell>
        </row>
        <row r="92">
          <cell r="F92">
            <v>10360000</v>
          </cell>
        </row>
        <row r="93">
          <cell r="F93">
            <v>60000000</v>
          </cell>
        </row>
        <row r="96">
          <cell r="F96">
            <v>72692560.246000007</v>
          </cell>
        </row>
        <row r="102">
          <cell r="F102">
            <v>38613120</v>
          </cell>
        </row>
        <row r="103">
          <cell r="F103">
            <v>10000000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9 - 2020"/>
    </sheetNames>
    <sheetDataSet>
      <sheetData sheetId="0">
        <row r="7">
          <cell r="C7">
            <v>1800000</v>
          </cell>
        </row>
        <row r="20">
          <cell r="C20">
            <v>263017415.69</v>
          </cell>
        </row>
        <row r="21">
          <cell r="C21">
            <v>94010800</v>
          </cell>
        </row>
        <row r="24">
          <cell r="C24">
            <v>161682655.051</v>
          </cell>
        </row>
        <row r="25">
          <cell r="C25">
            <v>68303311.464000002</v>
          </cell>
        </row>
        <row r="26">
          <cell r="C26">
            <v>131187829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4CCB-83DA-4D9D-BE03-1996F6970510}">
  <sheetPr>
    <pageSetUpPr fitToPage="1"/>
  </sheetPr>
  <dimension ref="A1:S224"/>
  <sheetViews>
    <sheetView tabSelected="1" topLeftCell="A2" zoomScale="70" zoomScaleNormal="70" zoomScaleSheetLayoutView="85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A21" sqref="A21"/>
    </sheetView>
  </sheetViews>
  <sheetFormatPr baseColWidth="10" defaultRowHeight="16.5" outlineLevelRow="2" x14ac:dyDescent="0.3"/>
  <cols>
    <col min="1" max="1" width="61.42578125" style="1" customWidth="1"/>
    <col min="2" max="2" width="18" style="1" customWidth="1"/>
    <col min="3" max="3" width="19.140625" style="1" customWidth="1"/>
    <col min="4" max="4" width="23.42578125" style="1" customWidth="1"/>
    <col min="5" max="5" width="20.28515625" style="1" customWidth="1"/>
    <col min="6" max="7" width="19.28515625" style="1" bestFit="1" customWidth="1"/>
    <col min="8" max="8" width="20.140625" style="1" bestFit="1" customWidth="1"/>
    <col min="9" max="9" width="22.42578125" style="1" customWidth="1"/>
    <col min="10" max="10" width="20.85546875" style="1" customWidth="1"/>
    <col min="11" max="11" width="22.85546875" style="1" hidden="1" customWidth="1"/>
    <col min="12" max="12" width="24.5703125" style="1" customWidth="1"/>
    <col min="13" max="13" width="25.28515625" style="1" customWidth="1"/>
    <col min="14" max="14" width="15.42578125" style="1" customWidth="1"/>
    <col min="15" max="15" width="14.5703125" style="1" customWidth="1"/>
    <col min="16" max="16" width="29.42578125" style="1" bestFit="1" customWidth="1"/>
    <col min="17" max="17" width="24.28515625" style="1" bestFit="1" customWidth="1"/>
    <col min="18" max="18" width="20.28515625" style="1" bestFit="1" customWidth="1"/>
    <col min="19" max="19" width="29.42578125" style="1" bestFit="1" customWidth="1"/>
    <col min="20" max="20" width="24.28515625" style="1" bestFit="1" customWidth="1"/>
    <col min="21" max="21" width="20.28515625" style="1" bestFit="1" customWidth="1"/>
    <col min="22" max="22" width="14.7109375" style="1" bestFit="1" customWidth="1"/>
    <col min="23" max="23" width="12.28515625" style="1" bestFit="1" customWidth="1"/>
    <col min="24" max="24" width="13.5703125" style="1" bestFit="1" customWidth="1"/>
    <col min="25" max="25" width="26.7109375" style="1" bestFit="1" customWidth="1"/>
    <col min="26" max="26" width="40.140625" style="1" bestFit="1" customWidth="1"/>
    <col min="27" max="27" width="28.85546875" style="1" bestFit="1" customWidth="1"/>
    <col min="28" max="28" width="31.85546875" style="1" bestFit="1" customWidth="1"/>
    <col min="29" max="30" width="12.28515625" style="1" bestFit="1" customWidth="1"/>
    <col min="31" max="31" width="19.5703125" style="1" bestFit="1" customWidth="1"/>
    <col min="32" max="32" width="18.7109375" style="1" bestFit="1" customWidth="1"/>
    <col min="33" max="16384" width="11.42578125" style="1"/>
  </cols>
  <sheetData>
    <row r="1" spans="1:15" x14ac:dyDescent="0.3">
      <c r="A1" s="64" t="s">
        <v>198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x14ac:dyDescent="0.3">
      <c r="A2" s="63" t="s">
        <v>197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x14ac:dyDescent="0.3">
      <c r="A3" s="63" t="s">
        <v>196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5" x14ac:dyDescent="0.3">
      <c r="A4" s="63" t="s">
        <v>195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5" ht="17.25" thickBot="1" x14ac:dyDescent="0.35">
      <c r="A5" s="62"/>
      <c r="B5" s="61"/>
      <c r="C5" s="60"/>
      <c r="D5" s="60"/>
      <c r="E5" s="58"/>
      <c r="F5" s="58"/>
      <c r="G5" s="58"/>
      <c r="H5" s="59"/>
      <c r="I5" s="58"/>
      <c r="J5" s="57"/>
      <c r="K5" s="57"/>
      <c r="L5" s="57"/>
      <c r="M5" s="57"/>
      <c r="N5" s="57"/>
    </row>
    <row r="6" spans="1:15" ht="51" customHeight="1" thickTop="1" x14ac:dyDescent="0.3">
      <c r="A6" s="56" t="s">
        <v>194</v>
      </c>
      <c r="B6" s="55" t="s">
        <v>193</v>
      </c>
      <c r="C6" s="55" t="s">
        <v>192</v>
      </c>
      <c r="D6" s="55" t="s">
        <v>191</v>
      </c>
      <c r="E6" s="55" t="s">
        <v>190</v>
      </c>
      <c r="F6" s="55" t="s">
        <v>189</v>
      </c>
      <c r="G6" s="55" t="s">
        <v>188</v>
      </c>
      <c r="H6" s="55" t="s">
        <v>187</v>
      </c>
      <c r="I6" s="55" t="s">
        <v>186</v>
      </c>
      <c r="J6" s="55" t="s">
        <v>185</v>
      </c>
      <c r="K6" s="55" t="s">
        <v>184</v>
      </c>
      <c r="L6" s="55" t="s">
        <v>183</v>
      </c>
      <c r="M6" s="55" t="s">
        <v>182</v>
      </c>
      <c r="N6" s="54" t="s">
        <v>181</v>
      </c>
    </row>
    <row r="7" spans="1:15" x14ac:dyDescent="0.3">
      <c r="A7" s="50" t="s">
        <v>180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2"/>
    </row>
    <row r="8" spans="1:15" x14ac:dyDescent="0.3">
      <c r="A8" s="50" t="s">
        <v>179</v>
      </c>
      <c r="B8" s="18">
        <f>SUM(B9:B18)</f>
        <v>546245810.24407113</v>
      </c>
      <c r="C8" s="18">
        <f>SUM(C9:C18)</f>
        <v>883280919.76853359</v>
      </c>
      <c r="D8" s="18">
        <f>SUM(D9:D18)</f>
        <v>491162258.59758025</v>
      </c>
      <c r="E8" s="18">
        <f>SUM(E9:E18)</f>
        <v>51667928.274627611</v>
      </c>
      <c r="F8" s="18">
        <f>SUM(F9:F18)</f>
        <v>729900398.05400229</v>
      </c>
      <c r="G8" s="18">
        <f>SUM(G9:G18)</f>
        <v>1612333383.1502352</v>
      </c>
      <c r="H8" s="18">
        <f>SUM(H9:H18)</f>
        <v>4314590698.0890503</v>
      </c>
      <c r="I8" s="18">
        <f>SUM(I9:I18)</f>
        <v>1185296035.3534937</v>
      </c>
      <c r="J8" s="18">
        <f>SUM(J9:J18)</f>
        <v>5499886733.442544</v>
      </c>
      <c r="K8" s="18">
        <f>SUM(K9:K18)</f>
        <v>67095347</v>
      </c>
      <c r="L8" s="18">
        <f>SUM(L9:L18)</f>
        <v>0</v>
      </c>
      <c r="M8" s="18">
        <f>SUM(M9:M18)</f>
        <v>5566982080.442544</v>
      </c>
      <c r="N8" s="16">
        <f>+M8/$M$209</f>
        <v>9.8763699091591592E-2</v>
      </c>
    </row>
    <row r="9" spans="1:15" x14ac:dyDescent="0.3">
      <c r="A9" s="48" t="s">
        <v>178</v>
      </c>
      <c r="B9" s="21">
        <f>+'[11]Nómina y honorarios 2020'!K26</f>
        <v>378861052.35519993</v>
      </c>
      <c r="C9" s="21">
        <f>+'[11]Nómina y honorarios 2020'!K51</f>
        <v>597664099.43999994</v>
      </c>
      <c r="D9" s="21">
        <f>+'[11]Nómina y honorarios 2020'!K66</f>
        <v>343109292.2608</v>
      </c>
      <c r="E9" s="21">
        <f>+'[11]Nómina y honorarios 2020'!K75</f>
        <v>33562269.741600007</v>
      </c>
      <c r="F9" s="21">
        <f>+'[11]Nómina y honorarios 2020'!K37</f>
        <v>498021736.472</v>
      </c>
      <c r="G9" s="21">
        <f>+'[11]Nómina y honorarios 2020'!K79</f>
        <v>1068119793.0031999</v>
      </c>
      <c r="H9" s="21">
        <f>+B9+C9+D9+G9+E9+F9</f>
        <v>2919338243.2728</v>
      </c>
      <c r="I9" s="21">
        <f>+'[11]Nómina y honorarios 2020'!K12</f>
        <v>676689408.64586663</v>
      </c>
      <c r="J9" s="21">
        <f>+H9+I9</f>
        <v>3596027651.9186668</v>
      </c>
      <c r="K9" s="20">
        <v>45068358</v>
      </c>
      <c r="L9" s="20"/>
      <c r="M9" s="20">
        <f>+J9+K9+L9</f>
        <v>3641096009.9186668</v>
      </c>
      <c r="N9" s="22">
        <f>+M9/$M$209</f>
        <v>6.4596599286810566E-2</v>
      </c>
    </row>
    <row r="10" spans="1:15" x14ac:dyDescent="0.3">
      <c r="A10" s="48" t="s">
        <v>177</v>
      </c>
      <c r="B10" s="21">
        <f>+'[11]Nómina y honorarios 2020'!O26</f>
        <v>19155895.905599996</v>
      </c>
      <c r="C10" s="21">
        <f>+'[11]Nómina y honorarios 2020'!O51</f>
        <v>30218971.32</v>
      </c>
      <c r="D10" s="21">
        <f>+'[11]Nómina y honorarios 2020'!O66</f>
        <v>17348222.642400004</v>
      </c>
      <c r="E10" s="21">
        <f>+'[11]Nómina y honorarios 2020'!O75</f>
        <v>1696968.6948000002</v>
      </c>
      <c r="F10" s="21">
        <f>+'[11]Nómina y honorarios 2020'!O37</f>
        <v>25180874.316000007</v>
      </c>
      <c r="G10" s="21">
        <f>+'[11]Nómina y honorarios 2020'!O79</f>
        <v>54006056.949599996</v>
      </c>
      <c r="H10" s="21">
        <f>+B10+C10+D10+G10+E10+F10</f>
        <v>147606989.82840002</v>
      </c>
      <c r="I10" s="21">
        <f>+'[11]Nómina y honorarios 2020'!O12</f>
        <v>32078317.053599998</v>
      </c>
      <c r="J10" s="21">
        <f>+H10+I10</f>
        <v>179685306.88200003</v>
      </c>
      <c r="K10" s="20">
        <v>2278738</v>
      </c>
      <c r="L10" s="20"/>
      <c r="M10" s="20">
        <f>+J10+K10+L10</f>
        <v>181964044.88200003</v>
      </c>
      <c r="N10" s="22">
        <f>+M10/$M$209</f>
        <v>3.2282198711130194E-3</v>
      </c>
    </row>
    <row r="11" spans="1:15" x14ac:dyDescent="0.3">
      <c r="A11" s="48" t="s">
        <v>176</v>
      </c>
      <c r="B11" s="21">
        <f>+'[11]Nómina y honorarios 2020'!N26</f>
        <v>20348338.079999998</v>
      </c>
      <c r="C11" s="21">
        <f>+'[11]Nómina y honorarios 2020'!N51</f>
        <v>38786797.103999995</v>
      </c>
      <c r="D11" s="21">
        <f>+'[11]Nómina y honorarios 2020'!N66</f>
        <v>17335549.307999998</v>
      </c>
      <c r="E11" s="21">
        <f>+'[11]Nómina y honorarios 2020'!N75</f>
        <v>2828281.1580000003</v>
      </c>
      <c r="F11" s="21">
        <f>+'[11]Nómina y honorarios 2020'!N37</f>
        <v>30389968.763999999</v>
      </c>
      <c r="G11" s="21">
        <f>+'[11]Nómina y honorarios 2020'!N79</f>
        <v>78431939.819999993</v>
      </c>
      <c r="H11" s="21">
        <f>+B11+C11+D11+G11+E11+F11</f>
        <v>188120874.23399997</v>
      </c>
      <c r="I11" s="21">
        <f>+'[11]Nómina y honorarios 2020'!N12</f>
        <v>53463861.755999997</v>
      </c>
      <c r="J11" s="21">
        <f>+H11+I11</f>
        <v>241584735.98999995</v>
      </c>
      <c r="K11" s="20">
        <v>3061712</v>
      </c>
      <c r="L11" s="20"/>
      <c r="M11" s="20">
        <f>+J11+K11+L11</f>
        <v>244646447.98999995</v>
      </c>
      <c r="N11" s="22">
        <f>+M11/$M$209</f>
        <v>4.340266920922136E-3</v>
      </c>
    </row>
    <row r="12" spans="1:15" x14ac:dyDescent="0.3">
      <c r="A12" s="48" t="s">
        <v>175</v>
      </c>
      <c r="B12" s="51">
        <v>0</v>
      </c>
      <c r="C12" s="51">
        <v>0</v>
      </c>
      <c r="D12" s="51">
        <v>0</v>
      </c>
      <c r="E12" s="21">
        <v>0</v>
      </c>
      <c r="F12" s="21">
        <v>0</v>
      </c>
      <c r="G12" s="21"/>
      <c r="H12" s="21">
        <f>+B12+C12+D12+G12+E12+F12</f>
        <v>0</v>
      </c>
      <c r="I12" s="21">
        <f>+'[11]Nómina y honorarios 2020'!I119</f>
        <v>158140985.71200001</v>
      </c>
      <c r="J12" s="21">
        <f>+H12+I12</f>
        <v>158140985.71200001</v>
      </c>
      <c r="K12" s="20"/>
      <c r="L12" s="20"/>
      <c r="M12" s="20">
        <f>+J12+K12+L12</f>
        <v>158140985.71200001</v>
      </c>
      <c r="N12" s="22">
        <f>+M12/$M$209</f>
        <v>2.8055755346828898E-3</v>
      </c>
    </row>
    <row r="13" spans="1:15" x14ac:dyDescent="0.3">
      <c r="A13" s="48" t="s">
        <v>174</v>
      </c>
      <c r="B13" s="21">
        <f>+'[11]Nómina y honorarios 2020'!I108</f>
        <v>731961.27</v>
      </c>
      <c r="C13" s="21">
        <f>+'[11]Nómina y honorarios 2020'!M108</f>
        <v>731961.27</v>
      </c>
      <c r="D13" s="21">
        <f>+'[11]Nómina y honorarios 2020'!O108</f>
        <v>731961.27</v>
      </c>
      <c r="E13" s="21">
        <v>0</v>
      </c>
      <c r="F13" s="21">
        <f>+'[11]Nómina y honorarios 2020'!K108</f>
        <v>731961.27</v>
      </c>
      <c r="G13" s="21">
        <f>+'[11]Nómina y honorarios 2020'!Q108</f>
        <v>2195883.81</v>
      </c>
      <c r="H13" s="21">
        <f>+B13+C13+D13+G13+E13+F13</f>
        <v>5123728.8900000006</v>
      </c>
      <c r="I13" s="21">
        <f>+'[11]Nómina y honorarios 2020'!G108</f>
        <v>731961.27</v>
      </c>
      <c r="J13" s="21">
        <f>+H13+I13</f>
        <v>5855690.1600000001</v>
      </c>
      <c r="K13" s="20"/>
      <c r="L13" s="20"/>
      <c r="M13" s="20">
        <f>+J13+K13+L13</f>
        <v>5855690.1600000001</v>
      </c>
      <c r="N13" s="22">
        <f>+M13/$M$209</f>
        <v>1.0388566238924554E-4</v>
      </c>
    </row>
    <row r="14" spans="1:15" x14ac:dyDescent="0.3">
      <c r="A14" s="48" t="s">
        <v>173</v>
      </c>
      <c r="B14" s="21">
        <f>+'[11]Nómina y honorarios 2020'!L26</f>
        <v>20348338.079999998</v>
      </c>
      <c r="C14" s="21">
        <f>+'[11]Nómina y honorarios 2020'!L51</f>
        <v>38786797.103999995</v>
      </c>
      <c r="D14" s="21">
        <f>+'[11]Nómina y honorarios 2020'!L66</f>
        <v>17335549.307999998</v>
      </c>
      <c r="E14" s="21">
        <f>+'[11]Nómina y honorarios 2020'!L75</f>
        <v>2828281.1580000003</v>
      </c>
      <c r="F14" s="21">
        <f>+'[11]Nómina y honorarios 2020'!L37</f>
        <v>30389968.763999999</v>
      </c>
      <c r="G14" s="21">
        <f>+'[11]Nómina y honorarios 2020'!L79</f>
        <v>78431939.819999993</v>
      </c>
      <c r="H14" s="21">
        <f>+B14+C14+D14+G14+E14+F14</f>
        <v>188120874.23399997</v>
      </c>
      <c r="I14" s="21">
        <f>+'[11]Nómina y honorarios 2020'!L12</f>
        <v>53463861.755999997</v>
      </c>
      <c r="J14" s="21">
        <f>+H14+I14</f>
        <v>241584735.98999995</v>
      </c>
      <c r="K14" s="20">
        <v>3061712</v>
      </c>
      <c r="L14" s="20"/>
      <c r="M14" s="20">
        <f>+J14+K14+L14</f>
        <v>244646447.98999995</v>
      </c>
      <c r="N14" s="22">
        <f>+M14/$M$209</f>
        <v>4.340266920922136E-3</v>
      </c>
      <c r="O14" s="4"/>
    </row>
    <row r="15" spans="1:15" x14ac:dyDescent="0.3">
      <c r="A15" s="48" t="s">
        <v>172</v>
      </c>
      <c r="B15" s="21">
        <f>+'[11]Nómina y honorarios 2020'!M26</f>
        <v>2441800.5695999996</v>
      </c>
      <c r="C15" s="21">
        <f>+'[11]Nómina y honorarios 2020'!M51</f>
        <v>4654415.6524800006</v>
      </c>
      <c r="D15" s="21">
        <f>+'[11]Nómina y honorarios 2020'!M66</f>
        <v>2080265.9169599998</v>
      </c>
      <c r="E15" s="21">
        <f>+'[11]Nómina y honorarios 2020'!M75</f>
        <v>339393.73896000005</v>
      </c>
      <c r="F15" s="21">
        <f>+'[11]Nómina y honorarios 2020'!M37</f>
        <v>3646796.2516800002</v>
      </c>
      <c r="G15" s="21">
        <f>+'[11]Nómina y honorarios 2020'!M79</f>
        <v>9411832.7784000002</v>
      </c>
      <c r="H15" s="21">
        <f>+B15+C15+D15+G15+E15+F15</f>
        <v>22574504.90808</v>
      </c>
      <c r="I15" s="21">
        <f>+'[11]Nómina y honorarios 2020'!M12</f>
        <v>6415663.41072</v>
      </c>
      <c r="J15" s="21">
        <f>+H15+I15</f>
        <v>28990168.318800002</v>
      </c>
      <c r="K15" s="20">
        <v>367405</v>
      </c>
      <c r="L15" s="20"/>
      <c r="M15" s="20">
        <f>+J15+K15+L15</f>
        <v>29357573.318800002</v>
      </c>
      <c r="N15" s="22">
        <f>+M15/$M$209</f>
        <v>5.2083202270462674E-4</v>
      </c>
      <c r="O15" s="4"/>
    </row>
    <row r="16" spans="1:15" x14ac:dyDescent="0.3">
      <c r="A16" s="48" t="s">
        <v>171</v>
      </c>
      <c r="B16" s="21">
        <f>+'[11]Nómina y honorarios 2020'!S26</f>
        <v>71699001.961936831</v>
      </c>
      <c r="C16" s="21">
        <f>+'[11]Nómina y honorarios 2020'!S51</f>
        <v>118537351.06067137</v>
      </c>
      <c r="D16" s="21">
        <f>+'[11]Nómina y honorarios 2020'!S66</f>
        <v>64032728.535029888</v>
      </c>
      <c r="E16" s="21">
        <f>+'[11]Nómina y honorarios 2020'!S75</f>
        <v>7154553.8892516121</v>
      </c>
      <c r="F16" s="21">
        <f>+'[11]Nómina y honorarios 2020'!S37</f>
        <v>97311711.646619901</v>
      </c>
      <c r="G16" s="21">
        <f>+'[11]Nómina y honorarios 2020'!S79</f>
        <v>222401181.17450118</v>
      </c>
      <c r="H16" s="21">
        <f>+B16+C16+D16+G16+E16+F16</f>
        <v>581136528.26801074</v>
      </c>
      <c r="I16" s="21">
        <f>+'[11]Nómina y honorarios 2020'!S12</f>
        <v>142840094.72223499</v>
      </c>
      <c r="J16" s="21">
        <f>+H16+I16</f>
        <v>723976622.9902457</v>
      </c>
      <c r="K16" s="20">
        <v>9136671</v>
      </c>
      <c r="L16" s="20"/>
      <c r="M16" s="20">
        <f>+J16+K16+L16</f>
        <v>733113293.9902457</v>
      </c>
      <c r="N16" s="22">
        <f>+M16/$M$209</f>
        <v>1.300614582936512E-2</v>
      </c>
    </row>
    <row r="17" spans="1:14" x14ac:dyDescent="0.3">
      <c r="A17" s="48" t="s">
        <v>170</v>
      </c>
      <c r="B17" s="21">
        <f>+'[11]Nómina y honorarios 2020'!U26</f>
        <v>14515298.6763264</v>
      </c>
      <c r="C17" s="21">
        <f>+'[11]Nómina y honorarios 2020'!U51</f>
        <v>23955789.696614403</v>
      </c>
      <c r="D17" s="21">
        <f>+'[11]Nómina y honorarios 2020'!U66</f>
        <v>12972750.825062402</v>
      </c>
      <c r="E17" s="21">
        <f>+'[11]Nómina y honorarios 2020'!U75</f>
        <v>1448079.9528960001</v>
      </c>
      <c r="F17" s="21">
        <f>+'[11]Nómina y honorarios 2020'!U37</f>
        <v>19656613.586534403</v>
      </c>
      <c r="G17" s="21">
        <f>+'[11]Nómina y honorarios 2020'!U79</f>
        <v>44148780.353126399</v>
      </c>
      <c r="H17" s="21">
        <f>+B17+C17+D17+G17+E17+F17</f>
        <v>116697313.09056002</v>
      </c>
      <c r="I17" s="21">
        <f>+'[11]Nómina y honorarios 2020'!U12</f>
        <v>27320836.012032006</v>
      </c>
      <c r="J17" s="21">
        <f>+H17+I17</f>
        <v>144018149.10259202</v>
      </c>
      <c r="K17" s="20">
        <v>1831445</v>
      </c>
      <c r="L17" s="20"/>
      <c r="M17" s="20">
        <f>+J17+K17+L17</f>
        <v>145849594.10259202</v>
      </c>
      <c r="N17" s="22">
        <f>+M17/$M$209</f>
        <v>2.5875142431631614E-3</v>
      </c>
    </row>
    <row r="18" spans="1:14" x14ac:dyDescent="0.3">
      <c r="A18" s="48" t="s">
        <v>169</v>
      </c>
      <c r="B18" s="21">
        <f>+'[11]Nómina y honorarios 2020'!X26</f>
        <v>18144123.345408004</v>
      </c>
      <c r="C18" s="21">
        <f>+'[11]Nómina y honorarios 2020'!X51</f>
        <v>29944737.120767999</v>
      </c>
      <c r="D18" s="21">
        <f>+'[11]Nómina y honorarios 2020'!X66</f>
        <v>16215938.531328002</v>
      </c>
      <c r="E18" s="21">
        <f>+'[11]Nómina y honorarios 2020'!X75</f>
        <v>1810099.9411200001</v>
      </c>
      <c r="F18" s="21">
        <f>+'[11]Nómina y honorarios 2020'!X37</f>
        <v>24570766.983167998</v>
      </c>
      <c r="G18" s="21">
        <f>+'[11]Nómina y honorarios 2020'!X79</f>
        <v>55185975.441407993</v>
      </c>
      <c r="H18" s="21">
        <f>+B18+C18+D18+G18+E18+F18</f>
        <v>145871641.36320001</v>
      </c>
      <c r="I18" s="21">
        <f>+'[11]Nómina y honorarios 2020'!X12</f>
        <v>34151045.015039995</v>
      </c>
      <c r="J18" s="21">
        <f>+H18+I18</f>
        <v>180022686.37823999</v>
      </c>
      <c r="K18" s="20">
        <v>2289306</v>
      </c>
      <c r="L18" s="20"/>
      <c r="M18" s="20">
        <f>+J18+K18+L18</f>
        <v>182311992.37823999</v>
      </c>
      <c r="N18" s="22">
        <f>+M18/$M$209</f>
        <v>3.2343927995187069E-3</v>
      </c>
    </row>
    <row r="19" spans="1:14" x14ac:dyDescent="0.3">
      <c r="A19" s="19" t="s">
        <v>168</v>
      </c>
      <c r="B19" s="18">
        <f>SUM(B9:B18)</f>
        <v>546245810.24407113</v>
      </c>
      <c r="C19" s="18">
        <f>SUM(C9:C18)</f>
        <v>883280919.76853359</v>
      </c>
      <c r="D19" s="18">
        <f>SUM(D9:D18)</f>
        <v>491162258.59758025</v>
      </c>
      <c r="E19" s="18">
        <f>SUM(E9:E18)</f>
        <v>51667928.274627611</v>
      </c>
      <c r="F19" s="18">
        <f>SUM(F9:F18)</f>
        <v>729900398.05400229</v>
      </c>
      <c r="G19" s="18">
        <f>SUM(G9:G18)</f>
        <v>1612333383.1502352</v>
      </c>
      <c r="H19" s="18">
        <f>+B19+C19+D19+G19+E19+F19</f>
        <v>4314590698.0890503</v>
      </c>
      <c r="I19" s="18">
        <f>SUM(I9:I18)</f>
        <v>1185296035.3534937</v>
      </c>
      <c r="J19" s="18">
        <f>SUM(J9:J18)</f>
        <v>5499886733.442544</v>
      </c>
      <c r="K19" s="18">
        <f>SUM(K9:K18)</f>
        <v>67095347</v>
      </c>
      <c r="L19" s="18">
        <f>SUM(L9:L18)</f>
        <v>0</v>
      </c>
      <c r="M19" s="18">
        <f>+J19+K19+L19</f>
        <v>5566982080.442544</v>
      </c>
      <c r="N19" s="16">
        <f>+M19/$M$209</f>
        <v>9.8763699091591592E-2</v>
      </c>
    </row>
    <row r="20" spans="1:14" x14ac:dyDescent="0.3">
      <c r="A20" s="50" t="s">
        <v>167</v>
      </c>
      <c r="B20" s="21"/>
      <c r="C20" s="21"/>
      <c r="D20" s="21"/>
      <c r="E20" s="21"/>
      <c r="F20" s="21"/>
      <c r="G20" s="21"/>
      <c r="H20" s="21"/>
      <c r="I20" s="18"/>
      <c r="J20" s="21"/>
      <c r="K20" s="21"/>
      <c r="L20" s="21"/>
      <c r="M20" s="21"/>
      <c r="N20" s="16"/>
    </row>
    <row r="21" spans="1:14" x14ac:dyDescent="0.3">
      <c r="A21" s="23" t="s">
        <v>166</v>
      </c>
      <c r="B21" s="49">
        <f>+[11]Funcionamiento!J10</f>
        <v>1800000</v>
      </c>
      <c r="C21" s="47">
        <f>+[11]Funcionamiento!K10</f>
        <v>674700</v>
      </c>
      <c r="D21" s="47">
        <v>0</v>
      </c>
      <c r="E21" s="47">
        <v>0</v>
      </c>
      <c r="F21" s="49">
        <f>+[11]Funcionamiento!M10</f>
        <v>17500000</v>
      </c>
      <c r="G21" s="47">
        <f>+[11]Funcionamiento!H10</f>
        <v>13000000</v>
      </c>
      <c r="H21" s="47">
        <f>+B21+C21+D21+G21+E21+F21</f>
        <v>32974700</v>
      </c>
      <c r="I21" s="21">
        <f>+[11]Funcionamiento!G10</f>
        <v>320753488.32599998</v>
      </c>
      <c r="J21" s="21">
        <f>+I21+H21</f>
        <v>353728188.32599998</v>
      </c>
      <c r="K21" s="21">
        <v>70000000</v>
      </c>
      <c r="L21" s="21"/>
      <c r="M21" s="21">
        <f>+J21+K21+L21</f>
        <v>423728188.32599998</v>
      </c>
      <c r="N21" s="22">
        <f>+M21/$M$209</f>
        <v>7.5173518943907856E-3</v>
      </c>
    </row>
    <row r="22" spans="1:14" x14ac:dyDescent="0.3">
      <c r="A22" s="23" t="s">
        <v>165</v>
      </c>
      <c r="B22" s="20">
        <f>+[11]Funcionamiento!J24</f>
        <v>3150000</v>
      </c>
      <c r="C22" s="47">
        <f>+[11]Funcionamiento!K24</f>
        <v>3633000</v>
      </c>
      <c r="D22" s="47">
        <v>0</v>
      </c>
      <c r="E22" s="21">
        <f>+[11]Funcionamiento!I24</f>
        <v>0</v>
      </c>
      <c r="F22" s="47">
        <f>+[11]Funcionamiento!M24</f>
        <v>0</v>
      </c>
      <c r="G22" s="21">
        <f>+[11]Funcionamiento!H24</f>
        <v>2500000</v>
      </c>
      <c r="H22" s="47">
        <f>+B22+C22+D22+G22+E22+F22</f>
        <v>9283000</v>
      </c>
      <c r="I22" s="21">
        <f>+[11]Funcionamiento!G24</f>
        <v>36339400</v>
      </c>
      <c r="J22" s="21">
        <f>+H22+I22</f>
        <v>45622400</v>
      </c>
      <c r="K22" s="21"/>
      <c r="L22" s="21">
        <v>-1150000</v>
      </c>
      <c r="M22" s="21">
        <f>+J22+K22+L22</f>
        <v>44472400</v>
      </c>
      <c r="N22" s="22">
        <f>+M22/$M$209</f>
        <v>7.8898380990149303E-4</v>
      </c>
    </row>
    <row r="23" spans="1:14" x14ac:dyDescent="0.3">
      <c r="A23" s="23" t="s">
        <v>164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>+[11]Funcionamiento!H14</f>
        <v>12852100</v>
      </c>
      <c r="H23" s="47">
        <f>+B23+C23+D23+G23+E23+F23</f>
        <v>12852100</v>
      </c>
      <c r="I23" s="21">
        <f>+[11]Funcionamiento!G14</f>
        <v>24077057.712000001</v>
      </c>
      <c r="J23" s="21">
        <f>+H23+I23</f>
        <v>36929157.711999997</v>
      </c>
      <c r="K23" s="21"/>
      <c r="L23" s="21"/>
      <c r="M23" s="21">
        <f>+J23+K23+L23</f>
        <v>36929157.711999997</v>
      </c>
      <c r="N23" s="22">
        <f>+M23/$M$209</f>
        <v>6.5515932461632069E-4</v>
      </c>
    </row>
    <row r="24" spans="1:14" x14ac:dyDescent="0.3">
      <c r="A24" s="23" t="s">
        <v>163</v>
      </c>
      <c r="B24" s="21">
        <f>+[11]Funcionamiento!J26</f>
        <v>2600000</v>
      </c>
      <c r="C24" s="47">
        <f>+[11]Funcionamiento!K26</f>
        <v>12953177.5207422</v>
      </c>
      <c r="D24" s="47">
        <f>+[11]Funcionamiento!L26</f>
        <v>7693028</v>
      </c>
      <c r="E24" s="47">
        <f>+[11]Funcionamiento!I26</f>
        <v>0</v>
      </c>
      <c r="F24" s="47">
        <f>+[11]Funcionamiento!M26</f>
        <v>12585534.208887685</v>
      </c>
      <c r="G24" s="47">
        <f>+[11]Funcionamiento!H26</f>
        <v>104510400</v>
      </c>
      <c r="H24" s="47">
        <f>+B24+C24+D24+G24+E24+F24</f>
        <v>140342139.7296299</v>
      </c>
      <c r="I24" s="21">
        <f>+[11]Funcionamiento!G26</f>
        <v>50871555.838</v>
      </c>
      <c r="J24" s="21">
        <f>+H24+I24</f>
        <v>191213695.5676299</v>
      </c>
      <c r="K24" s="21"/>
      <c r="L24" s="21">
        <v>-6800000</v>
      </c>
      <c r="M24" s="21">
        <f>+J24+K24+L24</f>
        <v>184413695.5676299</v>
      </c>
      <c r="N24" s="22">
        <f>+M24/$M$209</f>
        <v>3.2716790667236917E-3</v>
      </c>
    </row>
    <row r="25" spans="1:14" x14ac:dyDescent="0.3">
      <c r="A25" s="23" t="s">
        <v>162</v>
      </c>
      <c r="B25" s="47">
        <f>+[11]Funcionamiento!J28</f>
        <v>2076000</v>
      </c>
      <c r="C25" s="47">
        <f>+[11]Funcionamiento!K28</f>
        <v>2812250.2859999998</v>
      </c>
      <c r="D25" s="47">
        <f>+[11]Funcionamiento!L28-1</f>
        <v>2357827.7411294002</v>
      </c>
      <c r="E25" s="47">
        <v>0</v>
      </c>
      <c r="F25" s="47">
        <f>+[11]Funcionamiento!M28</f>
        <v>2564069.0801880001</v>
      </c>
      <c r="G25" s="47">
        <f>+[11]Funcionamiento!H28</f>
        <v>2406896</v>
      </c>
      <c r="H25" s="47">
        <f>+B25+C25+D25+G25+E25+F25</f>
        <v>12217043.107317401</v>
      </c>
      <c r="I25" s="21">
        <f>+[11]Funcionamiento!G28</f>
        <v>5710020.3540000003</v>
      </c>
      <c r="J25" s="21">
        <f>+H25+I25</f>
        <v>17927063.461317401</v>
      </c>
      <c r="K25" s="21"/>
      <c r="L25" s="21">
        <v>-1038000</v>
      </c>
      <c r="M25" s="21">
        <f>+J25+K25+L25</f>
        <v>16889063.461317401</v>
      </c>
      <c r="N25" s="22">
        <f>+M25/$M$209</f>
        <v>2.9962848048178871E-4</v>
      </c>
    </row>
    <row r="26" spans="1:14" x14ac:dyDescent="0.3">
      <c r="A26" s="48" t="s">
        <v>161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f>+B26+C26+D26+G26+E26+F26</f>
        <v>0</v>
      </c>
      <c r="I26" s="21">
        <f>+[11]Funcionamiento!G8</f>
        <v>26850016</v>
      </c>
      <c r="J26" s="21">
        <f>+H26+I26</f>
        <v>26850016</v>
      </c>
      <c r="K26" s="21"/>
      <c r="L26" s="21"/>
      <c r="M26" s="21">
        <f>+J26+K26+L26</f>
        <v>26850016</v>
      </c>
      <c r="N26" s="22">
        <f>+M26/$M$209</f>
        <v>4.7634550686709163E-4</v>
      </c>
    </row>
    <row r="27" spans="1:14" x14ac:dyDescent="0.3">
      <c r="A27" s="23" t="s">
        <v>160</v>
      </c>
      <c r="B27" s="47">
        <f>+[11]Funcionamiento!J16</f>
        <v>10763338.59</v>
      </c>
      <c r="C27" s="47">
        <f>+[11]Funcionamiento!K16</f>
        <v>10763338.59</v>
      </c>
      <c r="D27" s="47">
        <f>+[11]Funcionamiento!L16</f>
        <v>10763338.59</v>
      </c>
      <c r="E27" s="47">
        <f>+[11]Funcionamiento!I16</f>
        <v>10763338.59</v>
      </c>
      <c r="F27" s="47">
        <f>+[11]Funcionamiento!M16</f>
        <v>10763338.821681602</v>
      </c>
      <c r="G27" s="47">
        <f>+[11]Funcionamiento!H16</f>
        <v>10763338</v>
      </c>
      <c r="H27" s="47">
        <f>+B27+C27+D27+G27+E27+F27</f>
        <v>64580031.181681603</v>
      </c>
      <c r="I27" s="21">
        <f>+[11]Funcionamiento!G16</f>
        <v>21606857.162</v>
      </c>
      <c r="J27" s="21">
        <f>+H27+I27</f>
        <v>86186888.343681604</v>
      </c>
      <c r="K27" s="21"/>
      <c r="L27" s="21"/>
      <c r="M27" s="21">
        <f>+J27+K27+L27</f>
        <v>86186888.343681604</v>
      </c>
      <c r="N27" s="22">
        <f>+M27/$M$209</f>
        <v>1.5290395735096933E-3</v>
      </c>
    </row>
    <row r="28" spans="1:14" x14ac:dyDescent="0.3">
      <c r="A28" s="23" t="s">
        <v>159</v>
      </c>
      <c r="B28" s="47">
        <f>+[11]Funcionamiento!J30</f>
        <v>565209.68400000001</v>
      </c>
      <c r="C28" s="47">
        <f>+[11]Funcionamiento!K30</f>
        <v>4120672.7214536988</v>
      </c>
      <c r="D28" s="47">
        <f>+[11]Funcionamiento!L30</f>
        <v>5678778</v>
      </c>
      <c r="E28" s="47">
        <f>+[11]Funcionamiento!I30</f>
        <v>0</v>
      </c>
      <c r="F28" s="47">
        <v>0</v>
      </c>
      <c r="G28" s="47">
        <f>+[11]Funcionamiento!H30</f>
        <v>43218168</v>
      </c>
      <c r="H28" s="47">
        <f>+B28+C28+D28+G28+E28+F28</f>
        <v>53582828.405453697</v>
      </c>
      <c r="I28" s="21">
        <f>+[11]Funcionamiento!G30</f>
        <v>13676344.614</v>
      </c>
      <c r="J28" s="21">
        <f>+H28+I28</f>
        <v>67259173.019453704</v>
      </c>
      <c r="K28" s="21"/>
      <c r="L28" s="21"/>
      <c r="M28" s="21">
        <f>+J28+K28+L28</f>
        <v>67259173.019453704</v>
      </c>
      <c r="N28" s="22">
        <f>+M28/$M$209</f>
        <v>1.1932434179336463E-3</v>
      </c>
    </row>
    <row r="29" spans="1:14" x14ac:dyDescent="0.3">
      <c r="A29" s="23" t="s">
        <v>158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+[11]Funcionamiento!H34</f>
        <v>78036884</v>
      </c>
      <c r="H29" s="47">
        <f>+B29+C29+D29+G29+E29+F29</f>
        <v>78036884</v>
      </c>
      <c r="I29" s="21">
        <f>+[11]Funcionamiento!G34</f>
        <v>128185001.29820001</v>
      </c>
      <c r="J29" s="21">
        <f>+H29+I29</f>
        <v>206221885.29820001</v>
      </c>
      <c r="K29" s="21"/>
      <c r="L29" s="21"/>
      <c r="M29" s="21">
        <f>+J29+K29+L29</f>
        <v>206221885.29820001</v>
      </c>
      <c r="N29" s="22">
        <f>+M29/$M$209</f>
        <v>3.6585776514791767E-3</v>
      </c>
    </row>
    <row r="30" spans="1:14" x14ac:dyDescent="0.3">
      <c r="A30" s="23" t="s">
        <v>157</v>
      </c>
      <c r="B30" s="21">
        <f>+[11]Funcionamiento!J22</f>
        <v>16150000</v>
      </c>
      <c r="C30" s="21">
        <f>+[11]Funcionamiento!K22</f>
        <v>19121771.309999999</v>
      </c>
      <c r="D30" s="21">
        <f>+[11]Funcionamiento!L22</f>
        <v>9715419.392665647</v>
      </c>
      <c r="E30" s="21">
        <v>0</v>
      </c>
      <c r="F30" s="47">
        <f>+[11]Funcionamiento!M22</f>
        <v>26616912.593327172</v>
      </c>
      <c r="G30" s="21">
        <f>+[11]Funcionamiento!H22</f>
        <v>362016345.84000003</v>
      </c>
      <c r="H30" s="47">
        <f>+B30+C30+D30+G30+E30+F30</f>
        <v>433620449.13599283</v>
      </c>
      <c r="I30" s="21">
        <f>+[11]Funcionamiento!G22</f>
        <v>26692500</v>
      </c>
      <c r="J30" s="21">
        <f>+H30+I30</f>
        <v>460312949.13599283</v>
      </c>
      <c r="K30" s="21"/>
      <c r="L30" s="21">
        <f>-10000000-9560886-70000000</f>
        <v>-89560886</v>
      </c>
      <c r="M30" s="21">
        <f>+J30+K30+L30</f>
        <v>370752063.13599283</v>
      </c>
      <c r="N30" s="22">
        <f>+M30/$M$209</f>
        <v>6.5775036944683554E-3</v>
      </c>
    </row>
    <row r="31" spans="1:14" x14ac:dyDescent="0.3">
      <c r="A31" s="23" t="s">
        <v>156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f>+B31+C31+D31+G31+E31+F31</f>
        <v>0</v>
      </c>
      <c r="I31" s="21">
        <f>+[11]Funcionamiento!G12</f>
        <v>11992419.857999999</v>
      </c>
      <c r="J31" s="21">
        <f>+H31+I31</f>
        <v>11992419.857999999</v>
      </c>
      <c r="K31" s="21"/>
      <c r="L31" s="21"/>
      <c r="M31" s="21">
        <f>+J31+K31+L31</f>
        <v>11992419.857999999</v>
      </c>
      <c r="N31" s="22">
        <f>+M31/$M$209</f>
        <v>2.1275724065944633E-4</v>
      </c>
    </row>
    <row r="32" spans="1:14" x14ac:dyDescent="0.3">
      <c r="A32" s="23" t="s">
        <v>155</v>
      </c>
      <c r="B32" s="21">
        <f>+[11]Funcionamiento!J18</f>
        <v>14993312.112</v>
      </c>
      <c r="C32" s="21">
        <f>+[11]Funcionamiento!K18</f>
        <v>5896467.9900000002</v>
      </c>
      <c r="D32" s="21">
        <f>+[11]Funcionamiento!L18</f>
        <v>3269748.7859999998</v>
      </c>
      <c r="E32" s="21">
        <f>+[11]Funcionamiento!I18</f>
        <v>639870</v>
      </c>
      <c r="F32" s="21">
        <f>+[11]Funcionamiento!M18</f>
        <v>5578945.8660000004</v>
      </c>
      <c r="G32" s="21">
        <f>+[11]Funcionamiento!H18</f>
        <v>33822668</v>
      </c>
      <c r="H32" s="47">
        <f>+B32+C32+D32+G32+E32+F32</f>
        <v>64201012.753999993</v>
      </c>
      <c r="I32" s="21">
        <f>+[11]Funcionamiento!G18</f>
        <v>44096589.384000003</v>
      </c>
      <c r="J32" s="21">
        <f>+H32+I32</f>
        <v>108297602.138</v>
      </c>
      <c r="K32" s="21"/>
      <c r="L32" s="21"/>
      <c r="M32" s="21">
        <f>+J32+K32+L32</f>
        <v>108297602.138</v>
      </c>
      <c r="N32" s="22">
        <f>+M32/$M$209</f>
        <v>1.9213052306157371E-3</v>
      </c>
    </row>
    <row r="33" spans="1:16" x14ac:dyDescent="0.3">
      <c r="A33" s="23" t="s">
        <v>154</v>
      </c>
      <c r="B33" s="47">
        <f>+[11]Funcionamiento!J20</f>
        <v>0</v>
      </c>
      <c r="C33" s="47">
        <v>0</v>
      </c>
      <c r="D33" s="47">
        <v>0</v>
      </c>
      <c r="E33" s="47">
        <v>0</v>
      </c>
      <c r="F33" s="47">
        <f>+[11]Funcionamiento!M20</f>
        <v>0</v>
      </c>
      <c r="G33" s="47">
        <f>+[11]Funcionamiento!H20</f>
        <v>10415486</v>
      </c>
      <c r="H33" s="47">
        <f>+B33+C33+D33+G33+E33+F33</f>
        <v>10415486</v>
      </c>
      <c r="I33" s="21">
        <f>+[11]Funcionamiento!G20</f>
        <v>14160304</v>
      </c>
      <c r="J33" s="21">
        <f>+H33+I33</f>
        <v>24575790</v>
      </c>
      <c r="K33" s="21"/>
      <c r="L33" s="21"/>
      <c r="M33" s="21">
        <f>+J33+K33+L33</f>
        <v>24575790</v>
      </c>
      <c r="N33" s="22">
        <f>+M33/$M$209</f>
        <v>4.3599851650774439E-4</v>
      </c>
    </row>
    <row r="34" spans="1:16" x14ac:dyDescent="0.3">
      <c r="A34" s="23" t="s">
        <v>153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f>+B34+C34+D34+G34+E34+F34</f>
        <v>0</v>
      </c>
      <c r="I34" s="21">
        <f>+[11]Funcionamiento!G36</f>
        <v>77360043.239999995</v>
      </c>
      <c r="J34" s="21">
        <f>+H34+I34</f>
        <v>77360043.239999995</v>
      </c>
      <c r="K34" s="21"/>
      <c r="L34" s="21"/>
      <c r="M34" s="21">
        <f>+J34+K34+L34</f>
        <v>77360043.239999995</v>
      </c>
      <c r="N34" s="22">
        <f>+M34/$M$209</f>
        <v>1.3724427206456011E-3</v>
      </c>
    </row>
    <row r="35" spans="1:16" x14ac:dyDescent="0.3">
      <c r="A35" s="23" t="s">
        <v>152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f>+B35+C35+D35+G35+E35+F35</f>
        <v>0</v>
      </c>
      <c r="I35" s="21">
        <f>+[11]Funcionamiento!G32</f>
        <v>17025690.074000001</v>
      </c>
      <c r="J35" s="21">
        <f>+H35+I35</f>
        <v>17025690.074000001</v>
      </c>
      <c r="K35" s="21"/>
      <c r="L35" s="21"/>
      <c r="M35" s="21">
        <f>+J35+K35+L35</f>
        <v>17025690.074000001</v>
      </c>
      <c r="N35" s="22">
        <f>+M35/$M$209</f>
        <v>3.0205237002695051E-4</v>
      </c>
    </row>
    <row r="36" spans="1:16" x14ac:dyDescent="0.3">
      <c r="A36" s="19" t="s">
        <v>151</v>
      </c>
      <c r="B36" s="44">
        <f>SUM(B21:B35)</f>
        <v>52097860.386000007</v>
      </c>
      <c r="C36" s="44">
        <f>SUM(C21:C35)</f>
        <v>59975378.418195896</v>
      </c>
      <c r="D36" s="44">
        <f>SUM(D21:D35)</f>
        <v>39478140.509795047</v>
      </c>
      <c r="E36" s="44">
        <f>SUM(E21:E35)</f>
        <v>11403208.59</v>
      </c>
      <c r="F36" s="44">
        <f>SUM(F21:F35)</f>
        <v>75608800.570084453</v>
      </c>
      <c r="G36" s="44">
        <f>SUM(G21:G35)</f>
        <v>673542285.84000003</v>
      </c>
      <c r="H36" s="44">
        <f>SUM(H21:H35)</f>
        <v>912105674.31407535</v>
      </c>
      <c r="I36" s="18">
        <f>SUM(I21:I35)</f>
        <v>819397287.86020005</v>
      </c>
      <c r="J36" s="18">
        <f>SUM(J21:J35)</f>
        <v>1731502962.1742754</v>
      </c>
      <c r="K36" s="18">
        <f>SUM(K21:K35)</f>
        <v>70000000</v>
      </c>
      <c r="L36" s="18">
        <f>SUM(L21:L35)</f>
        <v>-98548886</v>
      </c>
      <c r="M36" s="18">
        <f>+J36+K36+L36</f>
        <v>1702954076.1742754</v>
      </c>
      <c r="N36" s="16">
        <f>+M36/$M$209</f>
        <v>3.0212068498827523E-2</v>
      </c>
    </row>
    <row r="37" spans="1:16" x14ac:dyDescent="0.3">
      <c r="A37" s="19" t="s">
        <v>150</v>
      </c>
      <c r="B37" s="44"/>
      <c r="C37" s="44"/>
      <c r="D37" s="44"/>
      <c r="E37" s="44"/>
      <c r="F37" s="44"/>
      <c r="G37" s="44"/>
      <c r="H37" s="44"/>
      <c r="I37" s="18"/>
      <c r="J37" s="18"/>
      <c r="K37" s="18"/>
      <c r="L37" s="18"/>
      <c r="M37" s="18"/>
      <c r="N37" s="16"/>
    </row>
    <row r="38" spans="1:16" x14ac:dyDescent="0.3">
      <c r="A38" s="30" t="s">
        <v>149</v>
      </c>
      <c r="B38" s="17"/>
      <c r="C38" s="17"/>
      <c r="D38" s="17"/>
      <c r="E38" s="17"/>
      <c r="F38" s="17"/>
      <c r="G38" s="17"/>
      <c r="H38" s="18"/>
      <c r="I38" s="17">
        <f>SUM(I39:I41)</f>
        <v>353353670</v>
      </c>
      <c r="J38" s="17">
        <f>SUM(J39:J41)</f>
        <v>353353670</v>
      </c>
      <c r="K38" s="17">
        <f>SUM(K39:K41)</f>
        <v>0</v>
      </c>
      <c r="L38" s="17">
        <f>SUM(L39:L41)</f>
        <v>-49374738</v>
      </c>
      <c r="M38" s="17">
        <f>+J38+K38+L38</f>
        <v>303978932</v>
      </c>
      <c r="N38" s="16">
        <f>+M38/$M$209</f>
        <v>5.3928831342393681E-3</v>
      </c>
    </row>
    <row r="39" spans="1:16" hidden="1" outlineLevel="1" x14ac:dyDescent="0.3">
      <c r="A39" s="29" t="s">
        <v>148</v>
      </c>
      <c r="B39" s="20"/>
      <c r="C39" s="20"/>
      <c r="D39" s="20"/>
      <c r="E39" s="20"/>
      <c r="F39" s="20"/>
      <c r="G39" s="20"/>
      <c r="H39" s="21"/>
      <c r="I39" s="20">
        <f>+[10]Agregados!$E$18</f>
        <v>134282569</v>
      </c>
      <c r="J39" s="20">
        <f>+H39+I39</f>
        <v>134282569</v>
      </c>
      <c r="K39" s="20"/>
      <c r="L39" s="20">
        <v>-4584860</v>
      </c>
      <c r="M39" s="20">
        <f>+J39+K39+L39</f>
        <v>129697709</v>
      </c>
      <c r="N39" s="22">
        <f>+M39/$M$209</f>
        <v>2.3009640267292785E-3</v>
      </c>
    </row>
    <row r="40" spans="1:16" hidden="1" outlineLevel="1" x14ac:dyDescent="0.3">
      <c r="A40" s="29" t="s">
        <v>147</v>
      </c>
      <c r="B40" s="20"/>
      <c r="C40" s="20"/>
      <c r="D40" s="20"/>
      <c r="E40" s="20"/>
      <c r="F40" s="20"/>
      <c r="G40" s="20"/>
      <c r="H40" s="21"/>
      <c r="I40" s="20">
        <f>+[10]Agregados!$E$19</f>
        <v>195210144</v>
      </c>
      <c r="J40" s="20">
        <f>+H40+I40</f>
        <v>195210144</v>
      </c>
      <c r="K40" s="20"/>
      <c r="L40" s="20">
        <v>-44789878</v>
      </c>
      <c r="M40" s="20">
        <f>+J40+K40+L40</f>
        <v>150420266</v>
      </c>
      <c r="N40" s="22">
        <f>+M40/$M$209</f>
        <v>2.6686024265629021E-3</v>
      </c>
    </row>
    <row r="41" spans="1:16" hidden="1" outlineLevel="1" x14ac:dyDescent="0.3">
      <c r="A41" s="29" t="s">
        <v>146</v>
      </c>
      <c r="B41" s="20"/>
      <c r="C41" s="20"/>
      <c r="D41" s="20"/>
      <c r="E41" s="20"/>
      <c r="F41" s="20"/>
      <c r="G41" s="20"/>
      <c r="H41" s="21"/>
      <c r="I41" s="20">
        <f>+[10]Agregados!$E$20</f>
        <v>23860957</v>
      </c>
      <c r="J41" s="20">
        <f>+H41+I41</f>
        <v>23860957</v>
      </c>
      <c r="K41" s="20"/>
      <c r="L41" s="20"/>
      <c r="M41" s="20">
        <f>+J41+K41+L41</f>
        <v>23860957</v>
      </c>
      <c r="N41" s="22">
        <f>+M41/$M$209</f>
        <v>4.2331668094718744E-4</v>
      </c>
    </row>
    <row r="42" spans="1:16" collapsed="1" x14ac:dyDescent="0.3">
      <c r="A42" s="30" t="s">
        <v>145</v>
      </c>
      <c r="B42" s="17"/>
      <c r="C42" s="17"/>
      <c r="D42" s="17"/>
      <c r="E42" s="17"/>
      <c r="F42" s="17"/>
      <c r="G42" s="17"/>
      <c r="H42" s="18"/>
      <c r="I42" s="17">
        <f>SUM(I43:I46)</f>
        <v>222800523</v>
      </c>
      <c r="J42" s="17">
        <f>SUM(J43:J46)</f>
        <v>222800523</v>
      </c>
      <c r="K42" s="17">
        <f>SUM(K43:K46)</f>
        <v>0</v>
      </c>
      <c r="L42" s="17">
        <f>SUM(L43:L46)</f>
        <v>228641151</v>
      </c>
      <c r="M42" s="17">
        <f>+J42+K42+L42</f>
        <v>451441674</v>
      </c>
      <c r="N42" s="16">
        <f>+M42/$M$209</f>
        <v>8.0090161965809762E-3</v>
      </c>
    </row>
    <row r="43" spans="1:16" s="28" customFormat="1" ht="15" hidden="1" customHeight="1" outlineLevel="1" x14ac:dyDescent="0.3">
      <c r="A43" s="29" t="s">
        <v>144</v>
      </c>
      <c r="B43" s="20"/>
      <c r="C43" s="17"/>
      <c r="D43" s="17"/>
      <c r="E43" s="17"/>
      <c r="F43" s="17"/>
      <c r="G43" s="17"/>
      <c r="H43" s="21"/>
      <c r="I43" s="20">
        <f>+[10]Agregados!$E$23</f>
        <v>18859932</v>
      </c>
      <c r="J43" s="20">
        <f>+H43+I43</f>
        <v>18859932</v>
      </c>
      <c r="K43" s="20"/>
      <c r="L43" s="20">
        <v>-9879012</v>
      </c>
      <c r="M43" s="20">
        <f>+J43+K43+L43</f>
        <v>8980920</v>
      </c>
      <c r="N43" s="22">
        <f>+M43/$M$209</f>
        <v>1.5933029200179249E-4</v>
      </c>
      <c r="P43" s="1"/>
    </row>
    <row r="44" spans="1:16" s="28" customFormat="1" ht="15" hidden="1" customHeight="1" outlineLevel="1" x14ac:dyDescent="0.3">
      <c r="A44" s="29" t="s">
        <v>143</v>
      </c>
      <c r="B44" s="20"/>
      <c r="C44" s="17"/>
      <c r="D44" s="17"/>
      <c r="E44" s="17"/>
      <c r="F44" s="17"/>
      <c r="G44" s="17"/>
      <c r="H44" s="21"/>
      <c r="I44" s="20">
        <f>+[10]Agregados!$E$24</f>
        <v>55000000</v>
      </c>
      <c r="J44" s="20">
        <f>+H44+I44</f>
        <v>55000000</v>
      </c>
      <c r="K44" s="20"/>
      <c r="L44" s="20">
        <v>270000000</v>
      </c>
      <c r="M44" s="20">
        <f>+J44+K44+L44</f>
        <v>325000000</v>
      </c>
      <c r="N44" s="22">
        <f>+M44/$M$209</f>
        <v>5.7658174107533041E-3</v>
      </c>
      <c r="P44" s="1"/>
    </row>
    <row r="45" spans="1:16" s="28" customFormat="1" ht="15" hidden="1" customHeight="1" outlineLevel="1" x14ac:dyDescent="0.3">
      <c r="A45" s="29" t="s">
        <v>142</v>
      </c>
      <c r="B45" s="20"/>
      <c r="C45" s="17"/>
      <c r="D45" s="17"/>
      <c r="E45" s="17"/>
      <c r="F45" s="17"/>
      <c r="G45" s="17"/>
      <c r="H45" s="21"/>
      <c r="I45" s="20">
        <f>+[10]Agregados!$E$25</f>
        <v>124660754</v>
      </c>
      <c r="J45" s="20">
        <f>+H45+I45</f>
        <v>124660754</v>
      </c>
      <c r="K45" s="20"/>
      <c r="L45" s="20">
        <v>-7200000</v>
      </c>
      <c r="M45" s="20">
        <f>+J45+K45+L45</f>
        <v>117460754</v>
      </c>
      <c r="N45" s="22">
        <f>+M45/$M$209</f>
        <v>2.0838684938258791E-3</v>
      </c>
      <c r="P45" s="1"/>
    </row>
    <row r="46" spans="1:16" s="28" customFormat="1" ht="15" hidden="1" customHeight="1" outlineLevel="1" x14ac:dyDescent="0.3">
      <c r="A46" s="29" t="s">
        <v>141</v>
      </c>
      <c r="B46" s="20"/>
      <c r="C46" s="17"/>
      <c r="D46" s="17"/>
      <c r="E46" s="17"/>
      <c r="F46" s="17"/>
      <c r="G46" s="17"/>
      <c r="H46" s="21"/>
      <c r="I46" s="20">
        <f>+[10]Agregados!$E$26</f>
        <v>24279837</v>
      </c>
      <c r="J46" s="20">
        <f>+H46+I46</f>
        <v>24279837</v>
      </c>
      <c r="K46" s="20"/>
      <c r="L46" s="20">
        <v>-24279837</v>
      </c>
      <c r="M46" s="20">
        <f>+J46+K46+L46</f>
        <v>0</v>
      </c>
      <c r="N46" s="22">
        <f>+M46/$M$209</f>
        <v>0</v>
      </c>
      <c r="P46" s="1"/>
    </row>
    <row r="47" spans="1:16" collapsed="1" x14ac:dyDescent="0.3">
      <c r="A47" s="19" t="s">
        <v>140</v>
      </c>
      <c r="B47" s="46"/>
      <c r="C47" s="46"/>
      <c r="D47" s="46"/>
      <c r="E47" s="46"/>
      <c r="F47" s="46"/>
      <c r="G47" s="46"/>
      <c r="H47" s="46"/>
      <c r="I47" s="17">
        <f>+I38+I42</f>
        <v>576154193</v>
      </c>
      <c r="J47" s="17">
        <f>+J38+J42</f>
        <v>576154193</v>
      </c>
      <c r="K47" s="17">
        <f>+K38+K42</f>
        <v>0</v>
      </c>
      <c r="L47" s="17">
        <f>+L38+L42</f>
        <v>179266413</v>
      </c>
      <c r="M47" s="17">
        <f>+J47+K47+L47</f>
        <v>755420606</v>
      </c>
      <c r="N47" s="16">
        <f>+M47/$M$209</f>
        <v>1.3401899330820343E-2</v>
      </c>
    </row>
    <row r="48" spans="1:16" x14ac:dyDescent="0.3">
      <c r="A48" s="19"/>
      <c r="B48" s="46"/>
      <c r="C48" s="46"/>
      <c r="D48" s="46"/>
      <c r="E48" s="46"/>
      <c r="F48" s="46"/>
      <c r="G48" s="46"/>
      <c r="H48" s="46"/>
      <c r="I48" s="17"/>
      <c r="J48" s="17"/>
      <c r="K48" s="17"/>
      <c r="L48" s="17"/>
      <c r="M48" s="17"/>
      <c r="N48" s="45"/>
    </row>
    <row r="49" spans="1:17" x14ac:dyDescent="0.3">
      <c r="A49" s="19" t="s">
        <v>139</v>
      </c>
      <c r="B49" s="46">
        <f>+B36+B19</f>
        <v>598343670.63007116</v>
      </c>
      <c r="C49" s="46">
        <f>+C36+C19</f>
        <v>943256298.18672943</v>
      </c>
      <c r="D49" s="46">
        <f>+D36+D19</f>
        <v>530640399.10737532</v>
      </c>
      <c r="E49" s="46">
        <f>+E36+E19</f>
        <v>63071136.864627615</v>
      </c>
      <c r="F49" s="46">
        <f>+F36+F19</f>
        <v>805509198.62408674</v>
      </c>
      <c r="G49" s="46">
        <f>+G36+G19</f>
        <v>2285875668.9902353</v>
      </c>
      <c r="H49" s="46">
        <f>+B49+C49+D49+G49+E49+F49</f>
        <v>5226696372.4031258</v>
      </c>
      <c r="I49" s="17">
        <f>+I19+I36+I47</f>
        <v>2580847516.2136936</v>
      </c>
      <c r="J49" s="17">
        <f>+J36+J19+J47</f>
        <v>7807543888.6168194</v>
      </c>
      <c r="K49" s="17">
        <f>+K36+K19+K47</f>
        <v>137095347</v>
      </c>
      <c r="L49" s="17">
        <f>+L36+L19+L47</f>
        <v>80717527</v>
      </c>
      <c r="M49" s="17">
        <f>+J49+K49+L49</f>
        <v>8025356762.6168194</v>
      </c>
      <c r="N49" s="45">
        <f>+M49/$M$209</f>
        <v>0.14237766692123946</v>
      </c>
    </row>
    <row r="50" spans="1:17" x14ac:dyDescent="0.3">
      <c r="A50" s="19"/>
      <c r="B50" s="46"/>
      <c r="C50" s="46"/>
      <c r="D50" s="46"/>
      <c r="E50" s="46"/>
      <c r="F50" s="46"/>
      <c r="G50" s="46"/>
      <c r="H50" s="46"/>
      <c r="I50" s="17"/>
      <c r="J50" s="17"/>
      <c r="K50" s="17"/>
      <c r="L50" s="17"/>
      <c r="M50" s="17"/>
      <c r="N50" s="45"/>
    </row>
    <row r="51" spans="1:17" x14ac:dyDescent="0.3">
      <c r="A51" s="19" t="s">
        <v>138</v>
      </c>
      <c r="B51" s="46">
        <f>+B53</f>
        <v>718202011.80499995</v>
      </c>
      <c r="C51" s="46">
        <f>+C128</f>
        <v>4016287880.2937174</v>
      </c>
      <c r="D51" s="46">
        <f>+D151</f>
        <v>3213870720.3852186</v>
      </c>
      <c r="E51" s="46">
        <f>+E182</f>
        <v>1607525735</v>
      </c>
      <c r="F51" s="46">
        <f>+F62</f>
        <v>10469083460.67127</v>
      </c>
      <c r="G51" s="46">
        <f>+G111</f>
        <v>14609892870.674999</v>
      </c>
      <c r="H51" s="46">
        <f>+B51+C51+D51+G51+E51+F51</f>
        <v>34634862678.830208</v>
      </c>
      <c r="I51" s="17">
        <v>0</v>
      </c>
      <c r="J51" s="17">
        <f>+I51+H51</f>
        <v>34634862678.830208</v>
      </c>
      <c r="K51" s="17">
        <f>+K53+K62+K111+K128+K151+K182</f>
        <v>3133357670</v>
      </c>
      <c r="L51" s="17">
        <f>+L53+L62+L111+L128+L151+L182</f>
        <v>-3740160606</v>
      </c>
      <c r="M51" s="17">
        <f>+J51+K51+L51</f>
        <v>34028059742.830208</v>
      </c>
      <c r="N51" s="45">
        <f>+M51/$M$209</f>
        <v>0.6036910132903508</v>
      </c>
      <c r="O51" s="4"/>
      <c r="P51" s="39"/>
    </row>
    <row r="52" spans="1:17" x14ac:dyDescent="0.3">
      <c r="A52" s="19"/>
      <c r="B52" s="44"/>
      <c r="C52" s="44"/>
      <c r="D52" s="44"/>
      <c r="E52" s="44"/>
      <c r="F52" s="44"/>
      <c r="G52" s="44"/>
      <c r="H52" s="44"/>
      <c r="I52" s="18"/>
      <c r="J52" s="18"/>
      <c r="K52" s="18"/>
      <c r="L52" s="18"/>
      <c r="M52" s="18"/>
      <c r="N52" s="16"/>
    </row>
    <row r="53" spans="1:17" x14ac:dyDescent="0.3">
      <c r="A53" s="43" t="s">
        <v>137</v>
      </c>
      <c r="B53" s="41">
        <f>+B54+B57</f>
        <v>718202011.80499995</v>
      </c>
      <c r="C53" s="41"/>
      <c r="D53" s="41"/>
      <c r="E53" s="41"/>
      <c r="F53" s="41"/>
      <c r="G53" s="41"/>
      <c r="H53" s="42">
        <f>+H54+H57</f>
        <v>718202011.80499995</v>
      </c>
      <c r="I53" s="41"/>
      <c r="J53" s="41">
        <f>+J54+J57</f>
        <v>718202011.80499995</v>
      </c>
      <c r="K53" s="41">
        <f>+K54+K57</f>
        <v>0</v>
      </c>
      <c r="L53" s="41">
        <f>+L54+L57</f>
        <v>-186641306</v>
      </c>
      <c r="M53" s="41">
        <f>+J53+K53+L53</f>
        <v>531560705.80499995</v>
      </c>
      <c r="N53" s="16">
        <f>+M53/$M$209</f>
        <v>9.4304060689316422E-3</v>
      </c>
    </row>
    <row r="54" spans="1:17" s="28" customFormat="1" x14ac:dyDescent="0.3">
      <c r="A54" s="40" t="s">
        <v>136</v>
      </c>
      <c r="B54" s="17">
        <f>SUM(B55:B56)</f>
        <v>357028216.28999996</v>
      </c>
      <c r="C54" s="17"/>
      <c r="D54" s="17"/>
      <c r="E54" s="17"/>
      <c r="F54" s="17"/>
      <c r="G54" s="17"/>
      <c r="H54" s="17">
        <f>SUM(H55:H56)</f>
        <v>357028216.28999996</v>
      </c>
      <c r="I54" s="17">
        <f>SUM(I55:I56)</f>
        <v>0</v>
      </c>
      <c r="J54" s="17">
        <f>SUM(J55:J56)</f>
        <v>357028216.28999996</v>
      </c>
      <c r="K54" s="17">
        <f>SUM(K55:K56)</f>
        <v>0</v>
      </c>
      <c r="L54" s="17">
        <f>SUM(L55:L56)</f>
        <v>-149373800</v>
      </c>
      <c r="M54" s="17">
        <f>+J54+K54+L54</f>
        <v>207654416.28999996</v>
      </c>
      <c r="N54" s="16">
        <f>+M54/$M$209</f>
        <v>3.6839921503529116E-3</v>
      </c>
      <c r="P54" s="1"/>
    </row>
    <row r="55" spans="1:17" s="28" customFormat="1" hidden="1" outlineLevel="1" x14ac:dyDescent="0.3">
      <c r="A55" s="34" t="s">
        <v>135</v>
      </c>
      <c r="B55" s="20">
        <f>+'[9]PRESUPUESTO 2019 - 2020'!$C$20+0.6</f>
        <v>263017416.28999999</v>
      </c>
      <c r="C55" s="17"/>
      <c r="D55" s="17"/>
      <c r="E55" s="17"/>
      <c r="F55" s="17"/>
      <c r="G55" s="17"/>
      <c r="H55" s="20">
        <f>+B55+C55+D55+G55+E55+F55</f>
        <v>263017416.28999999</v>
      </c>
      <c r="I55" s="17"/>
      <c r="J55" s="20">
        <f>+H55+I55</f>
        <v>263017416.28999999</v>
      </c>
      <c r="K55" s="20"/>
      <c r="L55" s="20">
        <v>-133102700</v>
      </c>
      <c r="M55" s="20">
        <f>+J55+K55+L55</f>
        <v>129914716.28999999</v>
      </c>
      <c r="N55" s="22">
        <f>+M55/$M$209</f>
        <v>2.3048139479937163E-3</v>
      </c>
      <c r="P55" s="1"/>
    </row>
    <row r="56" spans="1:17" s="28" customFormat="1" hidden="1" outlineLevel="1" x14ac:dyDescent="0.3">
      <c r="A56" s="29" t="s">
        <v>134</v>
      </c>
      <c r="B56" s="20">
        <f>+'[9]PRESUPUESTO 2019 - 2020'!$C$21</f>
        <v>94010800</v>
      </c>
      <c r="C56" s="17"/>
      <c r="D56" s="17"/>
      <c r="E56" s="17"/>
      <c r="F56" s="17"/>
      <c r="G56" s="17"/>
      <c r="H56" s="21">
        <f>+B56+C56+D56+G56+E56+F56</f>
        <v>94010800</v>
      </c>
      <c r="I56" s="17"/>
      <c r="J56" s="20">
        <f>+H56+I56</f>
        <v>94010800</v>
      </c>
      <c r="K56" s="20"/>
      <c r="L56" s="20">
        <v>-16271100</v>
      </c>
      <c r="M56" s="20">
        <f>+J56+K56+L56</f>
        <v>77739700</v>
      </c>
      <c r="N56" s="22">
        <f>+M56/$M$209</f>
        <v>1.3791782023591958E-3</v>
      </c>
      <c r="P56" s="1"/>
    </row>
    <row r="57" spans="1:17" s="28" customFormat="1" collapsed="1" x14ac:dyDescent="0.3">
      <c r="A57" s="30" t="s">
        <v>133</v>
      </c>
      <c r="B57" s="17">
        <f>SUM(B58:B60)</f>
        <v>361173795.51499999</v>
      </c>
      <c r="C57" s="17"/>
      <c r="D57" s="17"/>
      <c r="E57" s="17"/>
      <c r="F57" s="17"/>
      <c r="G57" s="17"/>
      <c r="H57" s="18">
        <f>SUM(H58:H60)</f>
        <v>361173795.51499999</v>
      </c>
      <c r="I57" s="17"/>
      <c r="J57" s="17">
        <f>SUM(J58:J60)</f>
        <v>361173795.51499999</v>
      </c>
      <c r="K57" s="17">
        <f>SUM(K58:K60)</f>
        <v>0</v>
      </c>
      <c r="L57" s="17">
        <f>SUM(L58:L60)</f>
        <v>-37267506</v>
      </c>
      <c r="M57" s="17">
        <f>+J57+K57+L57</f>
        <v>323906289.51499999</v>
      </c>
      <c r="N57" s="16">
        <f>+M57/$M$209</f>
        <v>5.7464139185787301E-3</v>
      </c>
      <c r="P57" s="1"/>
    </row>
    <row r="58" spans="1:17" s="28" customFormat="1" hidden="1" outlineLevel="1" x14ac:dyDescent="0.3">
      <c r="A58" s="29" t="s">
        <v>132</v>
      </c>
      <c r="B58" s="20">
        <f>+'[9]PRESUPUESTO 2019 - 2020'!$C$24</f>
        <v>161682655.051</v>
      </c>
      <c r="C58" s="17"/>
      <c r="D58" s="17"/>
      <c r="E58" s="17"/>
      <c r="F58" s="17"/>
      <c r="G58" s="17"/>
      <c r="H58" s="21">
        <f>+B58+C58+D58+G58+E58+F58</f>
        <v>161682655.051</v>
      </c>
      <c r="I58" s="17"/>
      <c r="J58" s="20">
        <f>+H58+I58</f>
        <v>161682655.051</v>
      </c>
      <c r="K58" s="20"/>
      <c r="L58" s="20"/>
      <c r="M58" s="20">
        <f>+J58+K58+L58</f>
        <v>161682655.051</v>
      </c>
      <c r="N58" s="22">
        <f>+M58/$M$209</f>
        <v>2.8684082077226965E-3</v>
      </c>
      <c r="P58" s="1"/>
    </row>
    <row r="59" spans="1:17" s="28" customFormat="1" hidden="1" outlineLevel="1" x14ac:dyDescent="0.3">
      <c r="A59" s="29" t="s">
        <v>131</v>
      </c>
      <c r="B59" s="20">
        <f>+'[9]PRESUPUESTO 2019 - 2020'!$C$25</f>
        <v>68303311.464000002</v>
      </c>
      <c r="C59" s="17"/>
      <c r="D59" s="17"/>
      <c r="E59" s="17"/>
      <c r="F59" s="17"/>
      <c r="G59" s="17"/>
      <c r="H59" s="21">
        <f>+B59+C59+D59+G59+E59+F59</f>
        <v>68303311.464000002</v>
      </c>
      <c r="I59" s="17"/>
      <c r="J59" s="20">
        <f>+H59+I59</f>
        <v>68303311.464000002</v>
      </c>
      <c r="K59" s="20"/>
      <c r="L59" s="20">
        <v>-37267506</v>
      </c>
      <c r="M59" s="20">
        <f>+J59+K59+L59</f>
        <v>31035805.464000002</v>
      </c>
      <c r="N59" s="22">
        <f>+M59/$M$209</f>
        <v>5.5060550000333454E-4</v>
      </c>
      <c r="P59" s="1"/>
    </row>
    <row r="60" spans="1:17" s="28" customFormat="1" hidden="1" outlineLevel="1" x14ac:dyDescent="0.3">
      <c r="A60" s="29" t="s">
        <v>130</v>
      </c>
      <c r="B60" s="20">
        <f>+'[9]PRESUPUESTO 2019 - 2020'!$C$26</f>
        <v>131187829</v>
      </c>
      <c r="C60" s="17"/>
      <c r="D60" s="17"/>
      <c r="E60" s="17"/>
      <c r="F60" s="17"/>
      <c r="G60" s="17"/>
      <c r="H60" s="21">
        <f>+B60+C60+D60+G60+E60+F60</f>
        <v>131187829</v>
      </c>
      <c r="I60" s="17"/>
      <c r="J60" s="20">
        <f>+H60+I60</f>
        <v>131187829</v>
      </c>
      <c r="K60" s="20"/>
      <c r="L60" s="20"/>
      <c r="M60" s="20">
        <f>+J60+K60+L60</f>
        <v>131187829</v>
      </c>
      <c r="N60" s="22">
        <f>+M60/$M$209</f>
        <v>2.3274002108526989E-3</v>
      </c>
      <c r="P60" s="1"/>
    </row>
    <row r="61" spans="1:17" s="28" customFormat="1" collapsed="1" x14ac:dyDescent="0.3">
      <c r="A61" s="29"/>
      <c r="B61" s="20"/>
      <c r="C61" s="17"/>
      <c r="D61" s="17"/>
      <c r="E61" s="17"/>
      <c r="F61" s="17"/>
      <c r="G61" s="17"/>
      <c r="H61" s="21"/>
      <c r="I61" s="17"/>
      <c r="J61" s="20"/>
      <c r="K61" s="20"/>
      <c r="L61" s="20"/>
      <c r="M61" s="20"/>
      <c r="N61" s="22"/>
      <c r="P61" s="1"/>
    </row>
    <row r="62" spans="1:17" s="28" customFormat="1" x14ac:dyDescent="0.3">
      <c r="A62" s="30" t="s">
        <v>129</v>
      </c>
      <c r="B62" s="20"/>
      <c r="C62" s="17"/>
      <c r="D62" s="17"/>
      <c r="E62" s="17"/>
      <c r="F62" s="17">
        <f>+F63+F73+F84+F93+F102+F106</f>
        <v>10469083460.67127</v>
      </c>
      <c r="G62" s="17"/>
      <c r="H62" s="17">
        <f>+H63+H73+H84+H93+H102+H106</f>
        <v>10469083460.67127</v>
      </c>
      <c r="I62" s="17"/>
      <c r="J62" s="17">
        <f>+J63+J73+J84+J93+J102+J106</f>
        <v>10469083460.67127</v>
      </c>
      <c r="K62" s="17">
        <f>+K63+K73+K84+K93+K102+K106</f>
        <v>886400678</v>
      </c>
      <c r="L62" s="17">
        <f>+L63+L73+L84+L93+L102+L106</f>
        <v>-1063952881</v>
      </c>
      <c r="M62" s="17">
        <f>+J62+K62+L62</f>
        <v>10291531257.67127</v>
      </c>
      <c r="N62" s="16">
        <f>+M62/$M$209</f>
        <v>0.18258181571936263</v>
      </c>
      <c r="P62" s="1"/>
      <c r="Q62" s="39"/>
    </row>
    <row r="63" spans="1:17" s="28" customFormat="1" x14ac:dyDescent="0.3">
      <c r="A63" s="30" t="s">
        <v>128</v>
      </c>
      <c r="B63" s="20"/>
      <c r="C63" s="17"/>
      <c r="D63" s="17"/>
      <c r="E63" s="17"/>
      <c r="F63" s="17">
        <f>SUM(F64:F72)</f>
        <v>490204167.08611429</v>
      </c>
      <c r="G63" s="17"/>
      <c r="H63" s="17">
        <f>SUM(H64:H72)</f>
        <v>490204167.08611429</v>
      </c>
      <c r="I63" s="17"/>
      <c r="J63" s="17">
        <f>SUM(J64:J72)</f>
        <v>490204167.08611429</v>
      </c>
      <c r="K63" s="17">
        <f>SUM(K64:K72)</f>
        <v>76811022</v>
      </c>
      <c r="L63" s="17">
        <f>SUM(L64:L72)</f>
        <v>-94158786</v>
      </c>
      <c r="M63" s="17">
        <f>+J63+K63+L63</f>
        <v>472856403.08611429</v>
      </c>
      <c r="N63" s="16">
        <f>+M63/$M$209</f>
        <v>8.3889344052310768E-3</v>
      </c>
      <c r="P63" s="1"/>
    </row>
    <row r="64" spans="1:17" s="28" customFormat="1" hidden="1" outlineLevel="1" x14ac:dyDescent="0.3">
      <c r="A64" s="29" t="s">
        <v>127</v>
      </c>
      <c r="B64" s="20"/>
      <c r="C64" s="17"/>
      <c r="D64" s="17"/>
      <c r="E64" s="17"/>
      <c r="F64" s="20">
        <f>+'[8]Presupuesto 2020 FNP'!$F$18+0.2</f>
        <v>76862780.831892833</v>
      </c>
      <c r="G64" s="17"/>
      <c r="H64" s="21">
        <f>+B64+C64+D64+G64+E64+F64</f>
        <v>76862780.831892833</v>
      </c>
      <c r="I64" s="17"/>
      <c r="J64" s="20">
        <f>+H64+I64</f>
        <v>76862780.831892833</v>
      </c>
      <c r="K64" s="20">
        <v>76811022</v>
      </c>
      <c r="L64" s="20"/>
      <c r="M64" s="20">
        <f>+J64+K64+L64</f>
        <v>153673802.83189285</v>
      </c>
      <c r="N64" s="22">
        <f>+M64/$M$209</f>
        <v>2.7263233475224558E-3</v>
      </c>
      <c r="P64" s="1"/>
    </row>
    <row r="65" spans="1:16" s="28" customFormat="1" hidden="1" outlineLevel="1" x14ac:dyDescent="0.3">
      <c r="A65" s="29" t="s">
        <v>126</v>
      </c>
      <c r="B65" s="20"/>
      <c r="C65" s="17"/>
      <c r="D65" s="17"/>
      <c r="E65" s="17"/>
      <c r="F65" s="20">
        <f>+'[8]Presupuesto 2020 FNP'!$F$19</f>
        <v>98488415.886689618</v>
      </c>
      <c r="G65" s="17"/>
      <c r="H65" s="21">
        <f>+B65+C65+D65+G65+E65+F65</f>
        <v>98488415.886689618</v>
      </c>
      <c r="I65" s="17"/>
      <c r="J65" s="20">
        <f>+H65+I65</f>
        <v>98488415.886689618</v>
      </c>
      <c r="K65" s="20"/>
      <c r="L65" s="20"/>
      <c r="M65" s="20">
        <f>+J65+K65+L65</f>
        <v>98488415.886689618</v>
      </c>
      <c r="N65" s="22">
        <f>+M65/$M$209</f>
        <v>1.74728068639073E-3</v>
      </c>
      <c r="P65" s="1"/>
    </row>
    <row r="66" spans="1:16" s="28" customFormat="1" hidden="1" outlineLevel="1" x14ac:dyDescent="0.3">
      <c r="A66" s="29" t="s">
        <v>125</v>
      </c>
      <c r="B66" s="20"/>
      <c r="C66" s="17"/>
      <c r="D66" s="17"/>
      <c r="E66" s="17"/>
      <c r="F66" s="20">
        <f>+'[8]Presupuesto 2020 FNP'!$F$20</f>
        <v>30082119.735105161</v>
      </c>
      <c r="G66" s="17"/>
      <c r="H66" s="21">
        <f>+B66+C66+D66+G66+E66+F66</f>
        <v>30082119.735105161</v>
      </c>
      <c r="I66" s="17"/>
      <c r="J66" s="20">
        <f>+H66+I66</f>
        <v>30082119.735105161</v>
      </c>
      <c r="K66" s="20"/>
      <c r="L66" s="20"/>
      <c r="M66" s="20">
        <f>+J66+K66+L66</f>
        <v>30082119.735105161</v>
      </c>
      <c r="N66" s="22">
        <f>+M66/$M$209</f>
        <v>5.3368618375703044E-4</v>
      </c>
      <c r="P66" s="1"/>
    </row>
    <row r="67" spans="1:16" s="28" customFormat="1" hidden="1" outlineLevel="1" x14ac:dyDescent="0.3">
      <c r="A67" s="29" t="s">
        <v>124</v>
      </c>
      <c r="B67" s="20"/>
      <c r="C67" s="17"/>
      <c r="D67" s="17"/>
      <c r="E67" s="17"/>
      <c r="F67" s="20">
        <f>+'[8]Presupuesto 2020 FNP'!$F$21</f>
        <v>111326934.49818935</v>
      </c>
      <c r="G67" s="17"/>
      <c r="H67" s="21">
        <f>+B67+C67+D67+G67+E67+F67</f>
        <v>111326934.49818935</v>
      </c>
      <c r="I67" s="17"/>
      <c r="J67" s="20">
        <f>+H67+I67</f>
        <v>111326934.49818935</v>
      </c>
      <c r="K67" s="20"/>
      <c r="L67" s="20"/>
      <c r="M67" s="20">
        <f>+J67+K67+L67</f>
        <v>111326934.49818935</v>
      </c>
      <c r="N67" s="22">
        <f>+M67/$M$209</f>
        <v>1.9750485452783161E-3</v>
      </c>
      <c r="P67" s="1"/>
    </row>
    <row r="68" spans="1:16" s="28" customFormat="1" hidden="1" outlineLevel="1" x14ac:dyDescent="0.3">
      <c r="A68" s="29" t="s">
        <v>123</v>
      </c>
      <c r="B68" s="20"/>
      <c r="C68" s="17"/>
      <c r="D68" s="17"/>
      <c r="E68" s="17"/>
      <c r="F68" s="20">
        <f>+'[8]Presupuesto 2020 FNP'!$F$22</f>
        <v>94158786.134237379</v>
      </c>
      <c r="G68" s="17"/>
      <c r="H68" s="21">
        <f>+B68+C68+D68+G68+E68+F68</f>
        <v>94158786.134237379</v>
      </c>
      <c r="I68" s="17"/>
      <c r="J68" s="20">
        <f>+H68+I68</f>
        <v>94158786.134237379</v>
      </c>
      <c r="K68" s="20"/>
      <c r="L68" s="20">
        <v>-94158786</v>
      </c>
      <c r="M68" s="20">
        <f>+J68+K68+L68</f>
        <v>0.1342373788356781</v>
      </c>
      <c r="N68" s="22">
        <f>+M68/$M$209</f>
        <v>2.3815022032758149E-12</v>
      </c>
      <c r="P68" s="1"/>
    </row>
    <row r="69" spans="1:16" s="28" customFormat="1" hidden="1" outlineLevel="1" x14ac:dyDescent="0.3">
      <c r="A69" s="29" t="s">
        <v>122</v>
      </c>
      <c r="B69" s="20"/>
      <c r="C69" s="17"/>
      <c r="D69" s="17"/>
      <c r="E69" s="17"/>
      <c r="F69" s="20"/>
      <c r="G69" s="17"/>
      <c r="H69" s="21">
        <f>+B69+C69+D69+G69+E69+F69</f>
        <v>0</v>
      </c>
      <c r="I69" s="17"/>
      <c r="J69" s="20">
        <f>+H69+I69</f>
        <v>0</v>
      </c>
      <c r="K69" s="20"/>
      <c r="L69" s="20"/>
      <c r="M69" s="20">
        <f>+J69+K69+L69</f>
        <v>0</v>
      </c>
      <c r="N69" s="22">
        <f>+M69/$M$209</f>
        <v>0</v>
      </c>
      <c r="P69" s="1"/>
    </row>
    <row r="70" spans="1:16" s="28" customFormat="1" hidden="1" outlineLevel="1" x14ac:dyDescent="0.3">
      <c r="A70" s="29" t="s">
        <v>121</v>
      </c>
      <c r="B70" s="20"/>
      <c r="C70" s="17"/>
      <c r="D70" s="17"/>
      <c r="E70" s="17"/>
      <c r="F70" s="20"/>
      <c r="G70" s="17"/>
      <c r="H70" s="21">
        <f>+B70+C70+D70+G70+E70+F70</f>
        <v>0</v>
      </c>
      <c r="I70" s="17"/>
      <c r="J70" s="20">
        <f>+H70+I70</f>
        <v>0</v>
      </c>
      <c r="K70" s="20"/>
      <c r="L70" s="20"/>
      <c r="M70" s="20">
        <f>+J70+K70+L70</f>
        <v>0</v>
      </c>
      <c r="N70" s="22">
        <f>+M70/$M$209</f>
        <v>0</v>
      </c>
      <c r="P70" s="1"/>
    </row>
    <row r="71" spans="1:16" s="28" customFormat="1" hidden="1" outlineLevel="1" x14ac:dyDescent="0.3">
      <c r="A71" s="29" t="s">
        <v>120</v>
      </c>
      <c r="B71" s="20"/>
      <c r="C71" s="17"/>
      <c r="D71" s="17"/>
      <c r="E71" s="17"/>
      <c r="F71" s="20">
        <f>+'[8]Presupuesto 2020 FNP'!$F$23</f>
        <v>50000000</v>
      </c>
      <c r="G71" s="17"/>
      <c r="H71" s="21">
        <f>+B71+C71+D71+G71+E71+F71</f>
        <v>50000000</v>
      </c>
      <c r="I71" s="17"/>
      <c r="J71" s="20">
        <f>+H71+I71</f>
        <v>50000000</v>
      </c>
      <c r="K71" s="20"/>
      <c r="L71" s="20"/>
      <c r="M71" s="20">
        <f>+J71+K71+L71</f>
        <v>50000000</v>
      </c>
      <c r="N71" s="22">
        <f>+M71/$M$209</f>
        <v>8.8704883242358523E-4</v>
      </c>
      <c r="P71" s="1"/>
    </row>
    <row r="72" spans="1:16" s="28" customFormat="1" hidden="1" outlineLevel="1" x14ac:dyDescent="0.3">
      <c r="A72" s="29" t="s">
        <v>119</v>
      </c>
      <c r="B72" s="20"/>
      <c r="C72" s="17"/>
      <c r="D72" s="17"/>
      <c r="E72" s="17"/>
      <c r="F72" s="20">
        <f>+'[8]Presupuesto 2020 FNP'!$F$26</f>
        <v>29285130</v>
      </c>
      <c r="G72" s="17"/>
      <c r="H72" s="21">
        <f>+B72+C72+D72+G72+E72+F72</f>
        <v>29285130</v>
      </c>
      <c r="I72" s="17"/>
      <c r="J72" s="20">
        <f>+H72+I72</f>
        <v>29285130</v>
      </c>
      <c r="K72" s="20"/>
      <c r="L72" s="20"/>
      <c r="M72" s="20">
        <f>+J72+K72+L72</f>
        <v>29285130</v>
      </c>
      <c r="N72" s="22">
        <f>+M72/$M$209</f>
        <v>5.1954680747745812E-4</v>
      </c>
      <c r="P72" s="1"/>
    </row>
    <row r="73" spans="1:16" s="28" customFormat="1" collapsed="1" x14ac:dyDescent="0.3">
      <c r="A73" s="30" t="s">
        <v>118</v>
      </c>
      <c r="B73" s="20"/>
      <c r="C73" s="17"/>
      <c r="D73" s="17"/>
      <c r="E73" s="17"/>
      <c r="F73" s="17">
        <f>SUM(F74:F83)</f>
        <v>6974710112.5660334</v>
      </c>
      <c r="G73" s="17"/>
      <c r="H73" s="17">
        <f>SUM(H74:H83)</f>
        <v>6974710112.5660334</v>
      </c>
      <c r="I73" s="17"/>
      <c r="J73" s="17">
        <f>SUM(J74:J83)</f>
        <v>6974710112.5660334</v>
      </c>
      <c r="K73" s="17">
        <f>SUM(K74:K83)</f>
        <v>809589656</v>
      </c>
      <c r="L73" s="17">
        <f>SUM(L74:L83)</f>
        <v>-518300000</v>
      </c>
      <c r="M73" s="17">
        <f>+J73+K73+L73</f>
        <v>7265999768.5660334</v>
      </c>
      <c r="N73" s="16">
        <f>+M73/$M$209</f>
        <v>0.12890593222193081</v>
      </c>
      <c r="P73" s="1"/>
    </row>
    <row r="74" spans="1:16" s="28" customFormat="1" hidden="1" outlineLevel="1" x14ac:dyDescent="0.3">
      <c r="A74" s="29" t="s">
        <v>117</v>
      </c>
      <c r="B74" s="20"/>
      <c r="C74" s="17"/>
      <c r="D74" s="17"/>
      <c r="E74" s="17"/>
      <c r="F74" s="20">
        <f>+'[8]Presupuesto 2020 FNP'!$F$29</f>
        <v>5520796050.3540001</v>
      </c>
      <c r="G74" s="17"/>
      <c r="H74" s="21">
        <f>+B74+C74+D74+G74+E74+F74</f>
        <v>5520796050.3540001</v>
      </c>
      <c r="I74" s="17"/>
      <c r="J74" s="20">
        <f>+H74+I74</f>
        <v>5520796050.3540001</v>
      </c>
      <c r="K74" s="20">
        <v>692000000</v>
      </c>
      <c r="L74" s="20">
        <v>-90000000</v>
      </c>
      <c r="M74" s="20">
        <f>+J74+K74+L74</f>
        <v>6122796050.3540001</v>
      </c>
      <c r="N74" s="22">
        <f>+M74/$M$209</f>
        <v>0.1086243817526851</v>
      </c>
      <c r="P74" s="1"/>
    </row>
    <row r="75" spans="1:16" s="28" customFormat="1" hidden="1" outlineLevel="1" x14ac:dyDescent="0.3">
      <c r="A75" s="29" t="s">
        <v>116</v>
      </c>
      <c r="B75" s="20"/>
      <c r="C75" s="17"/>
      <c r="D75" s="17"/>
      <c r="E75" s="17"/>
      <c r="F75" s="20">
        <f>+'[8]Presupuesto 2020 FNP'!$F$35</f>
        <v>67571750.137673706</v>
      </c>
      <c r="G75" s="17"/>
      <c r="H75" s="21">
        <f>+B75+C75+D75+G75+E75+F75</f>
        <v>67571750.137673706</v>
      </c>
      <c r="I75" s="17"/>
      <c r="J75" s="20">
        <f>+H75+I75</f>
        <v>67571750.137673706</v>
      </c>
      <c r="K75" s="20"/>
      <c r="L75" s="20"/>
      <c r="M75" s="20">
        <f>+J75+K75+L75</f>
        <v>67571750.137673706</v>
      </c>
      <c r="N75" s="22">
        <f>+M75/$M$209</f>
        <v>1.1987888412888338E-3</v>
      </c>
      <c r="P75" s="1"/>
    </row>
    <row r="76" spans="1:16" s="28" customFormat="1" hidden="1" outlineLevel="1" x14ac:dyDescent="0.3">
      <c r="A76" s="29" t="s">
        <v>115</v>
      </c>
      <c r="B76" s="20"/>
      <c r="C76" s="17"/>
      <c r="D76" s="17"/>
      <c r="E76" s="17"/>
      <c r="F76" s="20">
        <f>+'[8]Presupuesto 2020 FNP'!$F$36</f>
        <v>56295977.883322053</v>
      </c>
      <c r="G76" s="17"/>
      <c r="H76" s="21">
        <f>+B76+C76+D76+G76+E76+F76</f>
        <v>56295977.883322053</v>
      </c>
      <c r="I76" s="17"/>
      <c r="J76" s="20">
        <f>+H76+I76</f>
        <v>56295977.883322053</v>
      </c>
      <c r="K76" s="20"/>
      <c r="L76" s="20"/>
      <c r="M76" s="20">
        <f>+J76+K76+L76</f>
        <v>56295977.883322053</v>
      </c>
      <c r="N76" s="22">
        <f>+M76/$M$209</f>
        <v>9.9874562903089605E-4</v>
      </c>
      <c r="P76" s="1"/>
    </row>
    <row r="77" spans="1:16" s="28" customFormat="1" hidden="1" outlineLevel="1" x14ac:dyDescent="0.3">
      <c r="A77" s="29" t="s">
        <v>114</v>
      </c>
      <c r="B77" s="20"/>
      <c r="C77" s="17"/>
      <c r="D77" s="17"/>
      <c r="E77" s="17"/>
      <c r="F77" s="20">
        <f>+'[8]Presupuesto 2020 FNP'!$F$37</f>
        <v>65000000</v>
      </c>
      <c r="G77" s="17"/>
      <c r="H77" s="21">
        <f>+B77+C77+D77+G77+E77+F77</f>
        <v>65000000</v>
      </c>
      <c r="I77" s="17"/>
      <c r="J77" s="20">
        <f>+H77+I77</f>
        <v>65000000</v>
      </c>
      <c r="K77" s="20"/>
      <c r="L77" s="20">
        <v>-65000000</v>
      </c>
      <c r="M77" s="20">
        <f>+J77+K77+L77</f>
        <v>0</v>
      </c>
      <c r="N77" s="22">
        <f>+M77/$M$209</f>
        <v>0</v>
      </c>
      <c r="P77" s="1"/>
    </row>
    <row r="78" spans="1:16" s="28" customFormat="1" hidden="1" outlineLevel="1" x14ac:dyDescent="0.3">
      <c r="A78" s="29" t="s">
        <v>113</v>
      </c>
      <c r="B78" s="20"/>
      <c r="C78" s="17"/>
      <c r="D78" s="17"/>
      <c r="E78" s="17"/>
      <c r="F78" s="20"/>
      <c r="G78" s="17"/>
      <c r="H78" s="21">
        <f>+B78+C78+D78+G78+E78+F78</f>
        <v>0</v>
      </c>
      <c r="I78" s="17"/>
      <c r="J78" s="20">
        <f>+H78+I78</f>
        <v>0</v>
      </c>
      <c r="K78" s="20">
        <v>117589656</v>
      </c>
      <c r="L78" s="20"/>
      <c r="M78" s="20">
        <f>+J78+K78+L78</f>
        <v>117589656</v>
      </c>
      <c r="N78" s="22">
        <f>+M78/$M$209</f>
        <v>2.0861553411978206E-3</v>
      </c>
      <c r="P78" s="1"/>
    </row>
    <row r="79" spans="1:16" s="28" customFormat="1" hidden="1" outlineLevel="1" x14ac:dyDescent="0.3">
      <c r="A79" s="29" t="s">
        <v>112</v>
      </c>
      <c r="B79" s="20"/>
      <c r="C79" s="17"/>
      <c r="D79" s="17"/>
      <c r="E79" s="17"/>
      <c r="F79" s="20">
        <f>+'[8]Presupuesto 2020 FNP'!$F$42</f>
        <v>246026067.65399998</v>
      </c>
      <c r="G79" s="17"/>
      <c r="H79" s="21">
        <f>+B79+C79+D79+G79+E79+F79</f>
        <v>246026067.65399998</v>
      </c>
      <c r="I79" s="17"/>
      <c r="J79" s="20">
        <f>+H79+I79</f>
        <v>246026067.65399998</v>
      </c>
      <c r="K79" s="20"/>
      <c r="L79" s="20"/>
      <c r="M79" s="20">
        <f>+J79+K79+L79</f>
        <v>246026067.65399998</v>
      </c>
      <c r="N79" s="22">
        <f>+M79/$M$209</f>
        <v>4.3647427211649329E-3</v>
      </c>
      <c r="P79" s="1"/>
    </row>
    <row r="80" spans="1:16" s="28" customFormat="1" hidden="1" outlineLevel="1" x14ac:dyDescent="0.3">
      <c r="A80" s="29" t="s">
        <v>111</v>
      </c>
      <c r="B80" s="20"/>
      <c r="C80" s="17"/>
      <c r="D80" s="17"/>
      <c r="E80" s="17"/>
      <c r="F80" s="20">
        <f>+'[8]Presupuesto 2020 FNP'!$F$51</f>
        <v>140262268.58028793</v>
      </c>
      <c r="G80" s="17"/>
      <c r="H80" s="21">
        <f>+B80+C80+D80+G80+E80+F80</f>
        <v>140262268.58028793</v>
      </c>
      <c r="I80" s="17"/>
      <c r="J80" s="20">
        <f>+H80+I80</f>
        <v>140262268.58028793</v>
      </c>
      <c r="K80" s="20"/>
      <c r="L80" s="20">
        <v>-51900000</v>
      </c>
      <c r="M80" s="20">
        <f>+J80+K80+L80</f>
        <v>88362268.580287933</v>
      </c>
      <c r="N80" s="22">
        <f>+M80/$M$209</f>
        <v>1.5676329434888732E-3</v>
      </c>
      <c r="P80" s="1"/>
    </row>
    <row r="81" spans="1:16" s="28" customFormat="1" hidden="1" outlineLevel="1" x14ac:dyDescent="0.3">
      <c r="A81" s="29" t="s">
        <v>110</v>
      </c>
      <c r="B81" s="20"/>
      <c r="C81" s="17"/>
      <c r="D81" s="17"/>
      <c r="E81" s="17"/>
      <c r="F81" s="20">
        <f>+'[8]Presupuesto 2020 FNP'!$F$54</f>
        <v>299605897.95675004</v>
      </c>
      <c r="G81" s="17"/>
      <c r="H81" s="21">
        <f>+B81+C81+D81+G81+E81+F81</f>
        <v>299605897.95675004</v>
      </c>
      <c r="I81" s="17"/>
      <c r="J81" s="20">
        <f>+H81+I81</f>
        <v>299605897.95675004</v>
      </c>
      <c r="K81" s="20"/>
      <c r="L81" s="20"/>
      <c r="M81" s="20">
        <f>+J81+K81+L81</f>
        <v>299605897.95675004</v>
      </c>
      <c r="N81" s="22">
        <f>+M81/$M$209</f>
        <v>5.3153012393950989E-3</v>
      </c>
      <c r="P81" s="1"/>
    </row>
    <row r="82" spans="1:16" s="28" customFormat="1" hidden="1" outlineLevel="1" x14ac:dyDescent="0.3">
      <c r="A82" s="29" t="s">
        <v>109</v>
      </c>
      <c r="B82" s="20"/>
      <c r="C82" s="17"/>
      <c r="D82" s="17"/>
      <c r="E82" s="17"/>
      <c r="F82" s="20">
        <f>+'[8]Presupuesto 2020 FNP'!$F$55</f>
        <v>267752100</v>
      </c>
      <c r="G82" s="17"/>
      <c r="H82" s="21">
        <f>+B82+C82+D82+G82+E82+F82</f>
        <v>267752100</v>
      </c>
      <c r="I82" s="17"/>
      <c r="J82" s="20">
        <f>+H82+I82</f>
        <v>267752100</v>
      </c>
      <c r="K82" s="20"/>
      <c r="L82" s="20"/>
      <c r="M82" s="20">
        <f>+J82+K82+L82</f>
        <v>267752100</v>
      </c>
      <c r="N82" s="22">
        <f>+M82/$M$209</f>
        <v>4.7501837536792603E-3</v>
      </c>
      <c r="P82" s="1"/>
    </row>
    <row r="83" spans="1:16" s="28" customFormat="1" hidden="1" outlineLevel="1" x14ac:dyDescent="0.3">
      <c r="A83" s="29" t="s">
        <v>108</v>
      </c>
      <c r="B83" s="20"/>
      <c r="C83" s="17"/>
      <c r="D83" s="17"/>
      <c r="E83" s="17"/>
      <c r="F83" s="20">
        <f>+'[8]Presupuesto 2020 FNP'!$F$56</f>
        <v>311400000</v>
      </c>
      <c r="G83" s="17"/>
      <c r="H83" s="21">
        <f>+B83+C83+D83+G83+E83+F83</f>
        <v>311400000</v>
      </c>
      <c r="I83" s="17"/>
      <c r="J83" s="20">
        <f>+H83+I83</f>
        <v>311400000</v>
      </c>
      <c r="K83" s="20"/>
      <c r="L83" s="20">
        <v>-311400000</v>
      </c>
      <c r="M83" s="20">
        <f>+J83+K83+L83</f>
        <v>0</v>
      </c>
      <c r="N83" s="22">
        <f>+M83/$M$209</f>
        <v>0</v>
      </c>
      <c r="P83" s="1"/>
    </row>
    <row r="84" spans="1:16" s="28" customFormat="1" collapsed="1" x14ac:dyDescent="0.3">
      <c r="A84" s="30" t="s">
        <v>107</v>
      </c>
      <c r="B84" s="20"/>
      <c r="C84" s="17"/>
      <c r="D84" s="17"/>
      <c r="E84" s="17"/>
      <c r="F84" s="17">
        <f>SUM(F85:F92)</f>
        <v>1810945181.4904492</v>
      </c>
      <c r="G84" s="17"/>
      <c r="H84" s="18">
        <f>SUM(H85:H92)</f>
        <v>1810945181.4904492</v>
      </c>
      <c r="I84" s="17"/>
      <c r="J84" s="17">
        <f>SUM(J85:J92)</f>
        <v>1810945181.4904492</v>
      </c>
      <c r="K84" s="17">
        <f>SUM(K85:K92)</f>
        <v>0</v>
      </c>
      <c r="L84" s="17">
        <f>SUM(L85:L92)</f>
        <v>-279000000</v>
      </c>
      <c r="M84" s="17">
        <f>+J84+K84+L84</f>
        <v>1531945181.4904492</v>
      </c>
      <c r="N84" s="16">
        <f>+M84/$M$209</f>
        <v>2.7178203691560807E-2</v>
      </c>
      <c r="P84" s="1"/>
    </row>
    <row r="85" spans="1:16" s="28" customFormat="1" hidden="1" outlineLevel="1" x14ac:dyDescent="0.3">
      <c r="A85" s="29" t="s">
        <v>106</v>
      </c>
      <c r="B85" s="20"/>
      <c r="C85" s="17"/>
      <c r="D85" s="17"/>
      <c r="E85" s="17"/>
      <c r="F85" s="20">
        <f>+'[8]Presupuesto 2020 FNP'!$F$61</f>
        <v>363958627</v>
      </c>
      <c r="G85" s="17"/>
      <c r="H85" s="21">
        <f>+B85+C85+D85+G85+E85+F85</f>
        <v>363958627</v>
      </c>
      <c r="I85" s="17"/>
      <c r="J85" s="20">
        <f>+H85+I85</f>
        <v>363958627</v>
      </c>
      <c r="K85" s="20"/>
      <c r="L85" s="20">
        <v>-110000000</v>
      </c>
      <c r="M85" s="20">
        <f>+J85+K85+L85</f>
        <v>253958627</v>
      </c>
      <c r="N85" s="22">
        <f>+M85/$M$209</f>
        <v>4.5054740712849352E-3</v>
      </c>
      <c r="P85" s="1"/>
    </row>
    <row r="86" spans="1:16" s="28" customFormat="1" hidden="1" outlineLevel="1" x14ac:dyDescent="0.3">
      <c r="A86" s="29" t="s">
        <v>105</v>
      </c>
      <c r="B86" s="20"/>
      <c r="C86" s="17"/>
      <c r="D86" s="17"/>
      <c r="E86" s="17"/>
      <c r="F86" s="20">
        <f>+'[8]Presupuesto 2020 FNP'!$F$64</f>
        <v>45759233.519999996</v>
      </c>
      <c r="G86" s="17"/>
      <c r="H86" s="21">
        <f>+B86+C86+D86+G86+E86+F86</f>
        <v>45759233.519999996</v>
      </c>
      <c r="I86" s="17"/>
      <c r="J86" s="20">
        <f>+H86+I86</f>
        <v>45759233.519999996</v>
      </c>
      <c r="K86" s="20"/>
      <c r="L86" s="20"/>
      <c r="M86" s="20">
        <f>+J86+K86+L86</f>
        <v>45759233.519999996</v>
      </c>
      <c r="N86" s="22">
        <f>+M86/$M$209</f>
        <v>8.1181349333028362E-4</v>
      </c>
      <c r="P86" s="1"/>
    </row>
    <row r="87" spans="1:16" s="28" customFormat="1" hidden="1" outlineLevel="1" x14ac:dyDescent="0.3">
      <c r="A87" s="29" t="s">
        <v>104</v>
      </c>
      <c r="B87" s="20"/>
      <c r="C87" s="17"/>
      <c r="D87" s="17"/>
      <c r="E87" s="17"/>
      <c r="F87" s="20">
        <f>+'[8]Presupuesto 2020 FNP'!$F$66</f>
        <v>45774769.288849115</v>
      </c>
      <c r="G87" s="17"/>
      <c r="H87" s="21">
        <f>+B87+C87+D87+G87+E87+F87</f>
        <v>45774769.288849115</v>
      </c>
      <c r="I87" s="17"/>
      <c r="J87" s="20">
        <f>+H87+I87</f>
        <v>45774769.288849115</v>
      </c>
      <c r="K87" s="20"/>
      <c r="L87" s="20"/>
      <c r="M87" s="20">
        <f>+J87+K87+L87</f>
        <v>45774769.288849115</v>
      </c>
      <c r="N87" s="22">
        <f>+M87/$M$209</f>
        <v>8.1208911304265184E-4</v>
      </c>
      <c r="P87" s="1"/>
    </row>
    <row r="88" spans="1:16" s="28" customFormat="1" hidden="1" outlineLevel="1" x14ac:dyDescent="0.3">
      <c r="A88" s="29" t="s">
        <v>103</v>
      </c>
      <c r="B88" s="20"/>
      <c r="C88" s="17"/>
      <c r="D88" s="17"/>
      <c r="E88" s="17"/>
      <c r="F88" s="20">
        <f>+'[8]Presupuesto 2020 FNP'!$F$67</f>
        <v>94759074.702600002</v>
      </c>
      <c r="G88" s="17"/>
      <c r="H88" s="21">
        <f>+B88+C88+D88+G88+E88+F88</f>
        <v>94759074.702600002</v>
      </c>
      <c r="I88" s="17"/>
      <c r="J88" s="20">
        <f>+H88+I88</f>
        <v>94759074.702600002</v>
      </c>
      <c r="K88" s="20"/>
      <c r="L88" s="20"/>
      <c r="M88" s="20">
        <f>+J88+K88+L88</f>
        <v>94759074.702600002</v>
      </c>
      <c r="N88" s="22">
        <f>+M88/$M$209</f>
        <v>1.6811185315296123E-3</v>
      </c>
      <c r="P88" s="1"/>
    </row>
    <row r="89" spans="1:16" s="28" customFormat="1" hidden="1" outlineLevel="1" x14ac:dyDescent="0.3">
      <c r="A89" s="29" t="s">
        <v>102</v>
      </c>
      <c r="B89" s="20"/>
      <c r="C89" s="17"/>
      <c r="D89" s="17"/>
      <c r="E89" s="17"/>
      <c r="F89" s="20">
        <f>+'[8]Presupuesto 2020 FNP'!$F$68</f>
        <v>555693476.97900009</v>
      </c>
      <c r="G89" s="17"/>
      <c r="H89" s="21">
        <f>+B89+C89+D89+G89+E89+F89</f>
        <v>555693476.97900009</v>
      </c>
      <c r="I89" s="17"/>
      <c r="J89" s="20">
        <f>+H89+I89</f>
        <v>555693476.97900009</v>
      </c>
      <c r="K89" s="20"/>
      <c r="L89" s="20"/>
      <c r="M89" s="20">
        <f>+J89+K89+L89</f>
        <v>555693476.97900009</v>
      </c>
      <c r="N89" s="22">
        <f>+M89/$M$209</f>
        <v>9.8585449987924883E-3</v>
      </c>
      <c r="P89" s="1"/>
    </row>
    <row r="90" spans="1:16" s="28" customFormat="1" ht="33" hidden="1" outlineLevel="1" x14ac:dyDescent="0.3">
      <c r="A90" s="31" t="s">
        <v>101</v>
      </c>
      <c r="B90" s="20"/>
      <c r="C90" s="17"/>
      <c r="D90" s="17"/>
      <c r="E90" s="17"/>
      <c r="F90" s="20">
        <f>+'[8]Presupuesto 2020 FNP'!$F$71</f>
        <v>20000000</v>
      </c>
      <c r="G90" s="17"/>
      <c r="H90" s="21">
        <f>+B90+C90+D90+G90+E90+F90</f>
        <v>20000000</v>
      </c>
      <c r="I90" s="17"/>
      <c r="J90" s="20">
        <f>+H90+I90</f>
        <v>20000000</v>
      </c>
      <c r="K90" s="20"/>
      <c r="L90" s="20">
        <v>-10000000</v>
      </c>
      <c r="M90" s="20">
        <f>+J90+K90+L90</f>
        <v>10000000</v>
      </c>
      <c r="N90" s="22">
        <f>+M90/$M$209</f>
        <v>1.7740976648471704E-4</v>
      </c>
      <c r="P90" s="1"/>
    </row>
    <row r="91" spans="1:16" s="28" customFormat="1" hidden="1" outlineLevel="1" x14ac:dyDescent="0.3">
      <c r="A91" s="29" t="s">
        <v>100</v>
      </c>
      <c r="B91" s="20"/>
      <c r="C91" s="17"/>
      <c r="D91" s="17"/>
      <c r="E91" s="17"/>
      <c r="F91" s="20">
        <f>+'[8]Presupuesto 2020 FNP'!$F$72</f>
        <v>85000000</v>
      </c>
      <c r="G91" s="17"/>
      <c r="H91" s="21">
        <f>+B91+C91+D91+G91+E91+F91</f>
        <v>85000000</v>
      </c>
      <c r="I91" s="17"/>
      <c r="J91" s="20">
        <f>+H91+I91</f>
        <v>85000000</v>
      </c>
      <c r="K91" s="20"/>
      <c r="L91" s="20">
        <v>-85000000</v>
      </c>
      <c r="M91" s="20">
        <f>+J91+K91+L91</f>
        <v>0</v>
      </c>
      <c r="N91" s="22">
        <f>+M91/$M$209</f>
        <v>0</v>
      </c>
      <c r="P91" s="1"/>
    </row>
    <row r="92" spans="1:16" s="28" customFormat="1" hidden="1" outlineLevel="1" x14ac:dyDescent="0.3">
      <c r="A92" s="29" t="s">
        <v>99</v>
      </c>
      <c r="B92" s="20"/>
      <c r="C92" s="17"/>
      <c r="D92" s="17"/>
      <c r="E92" s="17"/>
      <c r="F92" s="20">
        <f>+'[8]Presupuesto 2020 FNP'!$F$73</f>
        <v>600000000</v>
      </c>
      <c r="G92" s="17"/>
      <c r="H92" s="21">
        <f>+B92+C92+D92+G92+E92+F92</f>
        <v>600000000</v>
      </c>
      <c r="I92" s="17"/>
      <c r="J92" s="20">
        <f>+H92+I92</f>
        <v>600000000</v>
      </c>
      <c r="K92" s="20"/>
      <c r="L92" s="20">
        <v>-74000000</v>
      </c>
      <c r="M92" s="20">
        <f>+J92+K92+L92</f>
        <v>526000000</v>
      </c>
      <c r="N92" s="22">
        <f>+M92/$M$209</f>
        <v>9.3317537170961168E-3</v>
      </c>
      <c r="P92" s="1"/>
    </row>
    <row r="93" spans="1:16" s="28" customFormat="1" collapsed="1" x14ac:dyDescent="0.3">
      <c r="A93" s="30" t="s">
        <v>98</v>
      </c>
      <c r="B93" s="17"/>
      <c r="C93" s="17"/>
      <c r="D93" s="17"/>
      <c r="E93" s="17"/>
      <c r="F93" s="17">
        <f>SUM(F94:F101)</f>
        <v>960118319.28267276</v>
      </c>
      <c r="G93" s="17"/>
      <c r="H93" s="17">
        <f>SUM(H94:H101)</f>
        <v>960118319.28267276</v>
      </c>
      <c r="I93" s="17"/>
      <c r="J93" s="17">
        <f>+H93+I93</f>
        <v>960118319.28267276</v>
      </c>
      <c r="K93" s="17">
        <f>SUM(K94:K101)</f>
        <v>0</v>
      </c>
      <c r="L93" s="17">
        <f>SUM(L94:L101)</f>
        <v>-172494095</v>
      </c>
      <c r="M93" s="17">
        <f>+J93+K93+L93</f>
        <v>787624224.28267276</v>
      </c>
      <c r="N93" s="16">
        <f>+M93/$M$209</f>
        <v>1.3973222970769538E-2</v>
      </c>
      <c r="P93" s="1"/>
    </row>
    <row r="94" spans="1:16" s="28" customFormat="1" hidden="1" outlineLevel="1" x14ac:dyDescent="0.3">
      <c r="A94" s="29" t="s">
        <v>97</v>
      </c>
      <c r="B94" s="20"/>
      <c r="C94" s="17"/>
      <c r="D94" s="17"/>
      <c r="E94" s="17"/>
      <c r="F94" s="20">
        <f>+'[8]Presupuesto 2020 FNP'!$F$79</f>
        <v>10384433.185896002</v>
      </c>
      <c r="G94" s="17"/>
      <c r="H94" s="21">
        <f>+B94+C94+D94+G94+E94+F94</f>
        <v>10384433.185896002</v>
      </c>
      <c r="I94" s="17"/>
      <c r="J94" s="20">
        <f>+H94+I94</f>
        <v>10384433.185896002</v>
      </c>
      <c r="K94" s="20"/>
      <c r="L94" s="20">
        <v>-6000000</v>
      </c>
      <c r="M94" s="20">
        <f>+J94+K94+L94</f>
        <v>4384433.1858960018</v>
      </c>
      <c r="N94" s="22">
        <f>+M94/$M$209</f>
        <v>7.7784126767765365E-5</v>
      </c>
      <c r="P94" s="1"/>
    </row>
    <row r="95" spans="1:16" s="28" customFormat="1" hidden="1" outlineLevel="1" x14ac:dyDescent="0.3">
      <c r="A95" s="29" t="s">
        <v>96</v>
      </c>
      <c r="B95" s="20"/>
      <c r="C95" s="17"/>
      <c r="D95" s="17"/>
      <c r="E95" s="17"/>
      <c r="F95" s="20">
        <f>+'[8]Presupuesto 2020 FNP'!$F$80</f>
        <v>228796167.59999996</v>
      </c>
      <c r="G95" s="17"/>
      <c r="H95" s="21">
        <f>+B95+C95+D95+G95+E95+F95</f>
        <v>228796167.59999996</v>
      </c>
      <c r="I95" s="17"/>
      <c r="J95" s="20">
        <f>+H95+I95</f>
        <v>228796167.59999996</v>
      </c>
      <c r="K95" s="20"/>
      <c r="L95" s="20"/>
      <c r="M95" s="20">
        <f>+J95+K95+L95</f>
        <v>228796167.59999996</v>
      </c>
      <c r="N95" s="22">
        <f>+M95/$M$209</f>
        <v>4.0590674666514176E-3</v>
      </c>
      <c r="P95" s="1"/>
    </row>
    <row r="96" spans="1:16" s="28" customFormat="1" hidden="1" outlineLevel="1" x14ac:dyDescent="0.3">
      <c r="A96" s="29" t="s">
        <v>95</v>
      </c>
      <c r="B96" s="20"/>
      <c r="C96" s="17"/>
      <c r="D96" s="17"/>
      <c r="E96" s="17"/>
      <c r="F96" s="20">
        <f>+'[8]Presupuesto 2020 FNP'!$F$81</f>
        <v>115064740.65147601</v>
      </c>
      <c r="G96" s="17"/>
      <c r="H96" s="21">
        <f>+B96+C96+D96+G96+E96+F96</f>
        <v>115064740.65147601</v>
      </c>
      <c r="I96" s="17"/>
      <c r="J96" s="20">
        <f>+H96+I96</f>
        <v>115064740.65147601</v>
      </c>
      <c r="K96" s="20"/>
      <c r="L96" s="20"/>
      <c r="M96" s="20">
        <f>+J96+K96+L96</f>
        <v>115064740.65147601</v>
      </c>
      <c r="N96" s="22">
        <f>+M96/$M$209</f>
        <v>2.0413608769602886E-3</v>
      </c>
      <c r="P96" s="1"/>
    </row>
    <row r="97" spans="1:16" s="28" customFormat="1" hidden="1" outlineLevel="1" x14ac:dyDescent="0.3">
      <c r="A97" s="29" t="s">
        <v>94</v>
      </c>
      <c r="B97" s="20"/>
      <c r="C97" s="17"/>
      <c r="D97" s="17"/>
      <c r="E97" s="17"/>
      <c r="F97" s="20">
        <f>+'[8]Presupuesto 2020 FNP'!$F$82</f>
        <v>160376877.615834</v>
      </c>
      <c r="G97" s="17"/>
      <c r="H97" s="21">
        <f>+B97+C97+D97+G97+E97+F97</f>
        <v>160376877.615834</v>
      </c>
      <c r="I97" s="17"/>
      <c r="J97" s="20">
        <f>+H97+I97</f>
        <v>160376877.615834</v>
      </c>
      <c r="K97" s="20"/>
      <c r="L97" s="20">
        <v>-70376878</v>
      </c>
      <c r="M97" s="20">
        <f>+J97+K97+L97</f>
        <v>89999999.615833998</v>
      </c>
      <c r="N97" s="22">
        <f>+M97/$M$209</f>
        <v>1.5966878915469732E-3</v>
      </c>
      <c r="P97" s="1"/>
    </row>
    <row r="98" spans="1:16" s="28" customFormat="1" hidden="1" outlineLevel="1" x14ac:dyDescent="0.3">
      <c r="A98" s="29" t="s">
        <v>93</v>
      </c>
      <c r="B98" s="20"/>
      <c r="C98" s="17"/>
      <c r="D98" s="17"/>
      <c r="E98" s="17"/>
      <c r="F98" s="20">
        <f>+'[8]Presupuesto 2020 FNP'!$F$83</f>
        <v>146117216.54939643</v>
      </c>
      <c r="G98" s="17"/>
      <c r="H98" s="21">
        <f>+B98+C98+D98+G98+E98+F98</f>
        <v>146117216.54939643</v>
      </c>
      <c r="I98" s="17"/>
      <c r="J98" s="20">
        <f>+H98+I98</f>
        <v>146117216.54939643</v>
      </c>
      <c r="K98" s="20"/>
      <c r="L98" s="20">
        <v>-46117217</v>
      </c>
      <c r="M98" s="20">
        <f>+J98+K98+L98</f>
        <v>99999999.549396425</v>
      </c>
      <c r="N98" s="22">
        <f>+M98/$M$209</f>
        <v>1.7740976568530228E-3</v>
      </c>
      <c r="P98" s="1"/>
    </row>
    <row r="99" spans="1:16" s="28" customFormat="1" hidden="1" outlineLevel="1" x14ac:dyDescent="0.3">
      <c r="A99" s="29" t="s">
        <v>92</v>
      </c>
      <c r="B99" s="20"/>
      <c r="C99" s="17"/>
      <c r="D99" s="17"/>
      <c r="E99" s="17"/>
      <c r="F99" s="20">
        <f>+'[8]Presupuesto 2020 FNP'!$F$84</f>
        <v>184153623.822</v>
      </c>
      <c r="G99" s="17"/>
      <c r="H99" s="21">
        <f>+B99+C99+D99+G99+E99+F99</f>
        <v>184153623.822</v>
      </c>
      <c r="I99" s="17"/>
      <c r="J99" s="20">
        <f>+H99+I99</f>
        <v>184153623.822</v>
      </c>
      <c r="K99" s="20"/>
      <c r="L99" s="20"/>
      <c r="M99" s="20">
        <f>+J99+K99+L99</f>
        <v>184153623.822</v>
      </c>
      <c r="N99" s="22">
        <f>+M99/$M$209</f>
        <v>3.2670651399575442E-3</v>
      </c>
      <c r="P99" s="1"/>
    </row>
    <row r="100" spans="1:16" s="28" customFormat="1" hidden="1" outlineLevel="1" x14ac:dyDescent="0.3">
      <c r="A100" s="29" t="s">
        <v>91</v>
      </c>
      <c r="B100" s="20"/>
      <c r="C100" s="17"/>
      <c r="D100" s="17"/>
      <c r="E100" s="17"/>
      <c r="F100" s="20">
        <f>+'[8]Presupuesto 2020 FNP'!$F$85</f>
        <v>37725259.858070403</v>
      </c>
      <c r="G100" s="17"/>
      <c r="H100" s="21">
        <f>+B100+C100+D100+G100+E100+F100</f>
        <v>37725259.858070403</v>
      </c>
      <c r="I100" s="17"/>
      <c r="J100" s="20">
        <f>+H100+I100</f>
        <v>37725259.858070403</v>
      </c>
      <c r="K100" s="20"/>
      <c r="L100" s="20">
        <v>-20000000</v>
      </c>
      <c r="M100" s="20">
        <f>+J100+K100+L100</f>
        <v>17725259.858070403</v>
      </c>
      <c r="N100" s="22">
        <f>+M100/$M$209</f>
        <v>3.1446342123011992E-4</v>
      </c>
      <c r="P100" s="1"/>
    </row>
    <row r="101" spans="1:16" s="28" customFormat="1" hidden="1" outlineLevel="1" x14ac:dyDescent="0.3">
      <c r="A101" s="29" t="s">
        <v>90</v>
      </c>
      <c r="B101" s="20"/>
      <c r="C101" s="17"/>
      <c r="D101" s="17"/>
      <c r="E101" s="17"/>
      <c r="F101" s="20">
        <f>+'[8]Presupuesto 2020 FNP'!$F$86</f>
        <v>77500000</v>
      </c>
      <c r="G101" s="17"/>
      <c r="H101" s="21">
        <f>+B101+C101+D101+G101+E101+F101</f>
        <v>77500000</v>
      </c>
      <c r="I101" s="17"/>
      <c r="J101" s="20">
        <f>+H101+I101</f>
        <v>77500000</v>
      </c>
      <c r="K101" s="20"/>
      <c r="L101" s="20">
        <v>-30000000</v>
      </c>
      <c r="M101" s="20">
        <f>+J101+K101+L101</f>
        <v>47500000</v>
      </c>
      <c r="N101" s="22">
        <f>+M101/$M$209</f>
        <v>8.4269639080240594E-4</v>
      </c>
      <c r="P101" s="1"/>
    </row>
    <row r="102" spans="1:16" s="28" customFormat="1" collapsed="1" x14ac:dyDescent="0.3">
      <c r="A102" s="30" t="s">
        <v>89</v>
      </c>
      <c r="B102" s="20"/>
      <c r="C102" s="17"/>
      <c r="D102" s="17"/>
      <c r="E102" s="17"/>
      <c r="F102" s="17">
        <f>SUM(F103:F105)</f>
        <v>111800000</v>
      </c>
      <c r="G102" s="17"/>
      <c r="H102" s="17">
        <f>SUM(H103:H105)</f>
        <v>111800000</v>
      </c>
      <c r="I102" s="17"/>
      <c r="J102" s="17">
        <f>SUM(J103:J105)</f>
        <v>111800000</v>
      </c>
      <c r="K102" s="17">
        <f>SUM(K103:K105)</f>
        <v>0</v>
      </c>
      <c r="L102" s="17">
        <f>SUM(L103:L105)</f>
        <v>0</v>
      </c>
      <c r="M102" s="17">
        <f>+J102+K102+L102</f>
        <v>111800000</v>
      </c>
      <c r="N102" s="16">
        <f>+M102/$M$209</f>
        <v>1.9834411892991365E-3</v>
      </c>
      <c r="P102" s="1"/>
    </row>
    <row r="103" spans="1:16" s="28" customFormat="1" hidden="1" outlineLevel="1" x14ac:dyDescent="0.3">
      <c r="A103" s="29" t="s">
        <v>88</v>
      </c>
      <c r="B103" s="20"/>
      <c r="C103" s="17"/>
      <c r="D103" s="17"/>
      <c r="E103" s="17"/>
      <c r="F103" s="20">
        <f>+'[8]Presupuesto 2020 FNP'!$F$91</f>
        <v>41440000</v>
      </c>
      <c r="G103" s="17"/>
      <c r="H103" s="21">
        <f>+B103+C103+D103+G103+E103+F103</f>
        <v>41440000</v>
      </c>
      <c r="I103" s="17"/>
      <c r="J103" s="20">
        <f>+H103+I103</f>
        <v>41440000</v>
      </c>
      <c r="K103" s="20"/>
      <c r="L103" s="20">
        <v>0</v>
      </c>
      <c r="M103" s="20">
        <f>+J103+K103+L103</f>
        <v>41440000</v>
      </c>
      <c r="N103" s="22">
        <f>+M103/$M$209</f>
        <v>7.3518607231266744E-4</v>
      </c>
      <c r="P103" s="1"/>
    </row>
    <row r="104" spans="1:16" s="28" customFormat="1" hidden="1" outlineLevel="1" x14ac:dyDescent="0.3">
      <c r="A104" s="29" t="s">
        <v>87</v>
      </c>
      <c r="B104" s="20"/>
      <c r="C104" s="17"/>
      <c r="D104" s="17"/>
      <c r="E104" s="17"/>
      <c r="F104" s="20">
        <f>+'[8]Presupuesto 2020 FNP'!$F$92</f>
        <v>10360000</v>
      </c>
      <c r="G104" s="17"/>
      <c r="H104" s="21">
        <f>+B104+C104+D104+G104+E104+F104</f>
        <v>10360000</v>
      </c>
      <c r="I104" s="17"/>
      <c r="J104" s="20">
        <f>+H104+I104</f>
        <v>10360000</v>
      </c>
      <c r="K104" s="20"/>
      <c r="L104" s="20"/>
      <c r="M104" s="20">
        <f>+J104+K104+L104</f>
        <v>10360000</v>
      </c>
      <c r="N104" s="22">
        <f>+M104/$M$209</f>
        <v>1.8379651807816686E-4</v>
      </c>
      <c r="P104" s="1"/>
    </row>
    <row r="105" spans="1:16" s="28" customFormat="1" hidden="1" outlineLevel="1" x14ac:dyDescent="0.3">
      <c r="A105" s="29" t="s">
        <v>86</v>
      </c>
      <c r="B105" s="20"/>
      <c r="C105" s="17"/>
      <c r="D105" s="17"/>
      <c r="E105" s="17"/>
      <c r="F105" s="20">
        <f>+'[8]Presupuesto 2020 FNP'!$F$93</f>
        <v>60000000</v>
      </c>
      <c r="G105" s="17"/>
      <c r="H105" s="21">
        <f>+B105+C105+D105+G105+E105+F105</f>
        <v>60000000</v>
      </c>
      <c r="I105" s="17"/>
      <c r="J105" s="20">
        <f>+H105+I105</f>
        <v>60000000</v>
      </c>
      <c r="K105" s="20"/>
      <c r="L105" s="20">
        <v>0</v>
      </c>
      <c r="M105" s="20">
        <f>+J105+K105+L105</f>
        <v>60000000</v>
      </c>
      <c r="N105" s="22">
        <f>+M105/$M$209</f>
        <v>1.0644585989083022E-3</v>
      </c>
      <c r="P105" s="1"/>
    </row>
    <row r="106" spans="1:16" s="28" customFormat="1" collapsed="1" x14ac:dyDescent="0.3">
      <c r="A106" s="30" t="s">
        <v>85</v>
      </c>
      <c r="B106" s="20"/>
      <c r="C106" s="17"/>
      <c r="D106" s="17"/>
      <c r="E106" s="17"/>
      <c r="F106" s="17">
        <f>SUM(F107:F109)</f>
        <v>121305680.24600001</v>
      </c>
      <c r="G106" s="17"/>
      <c r="H106" s="17">
        <f>SUM(H107:H109)</f>
        <v>121305680.24600001</v>
      </c>
      <c r="I106" s="17"/>
      <c r="J106" s="17">
        <f>SUM(J107:J109)</f>
        <v>121305680.24600001</v>
      </c>
      <c r="K106" s="17">
        <f>SUM(K107:K109)</f>
        <v>0</v>
      </c>
      <c r="L106" s="17">
        <f>SUM(L107:L109)</f>
        <v>0</v>
      </c>
      <c r="M106" s="17">
        <f>+J106+K106+L106</f>
        <v>121305680.24600001</v>
      </c>
      <c r="N106" s="16">
        <f>+M106/$M$209</f>
        <v>2.1520812405712614E-3</v>
      </c>
      <c r="P106" s="1"/>
    </row>
    <row r="107" spans="1:16" s="28" customFormat="1" hidden="1" outlineLevel="1" x14ac:dyDescent="0.3">
      <c r="A107" s="29" t="s">
        <v>84</v>
      </c>
      <c r="B107" s="20"/>
      <c r="C107" s="17"/>
      <c r="D107" s="17"/>
      <c r="E107" s="17"/>
      <c r="F107" s="20">
        <f>+'[8]Presupuesto 2020 FNP'!$F$96</f>
        <v>72692560.246000007</v>
      </c>
      <c r="G107" s="17"/>
      <c r="H107" s="21">
        <f>+B107+C107+D107+G107+E107+F107</f>
        <v>72692560.246000007</v>
      </c>
      <c r="I107" s="17"/>
      <c r="J107" s="20">
        <f>+H107+I107</f>
        <v>72692560.246000007</v>
      </c>
      <c r="K107" s="20"/>
      <c r="L107" s="20"/>
      <c r="M107" s="20">
        <f>+J107+K107+L107</f>
        <v>72692560.246000007</v>
      </c>
      <c r="N107" s="22">
        <f>+M107/$M$209</f>
        <v>1.2896370138419087E-3</v>
      </c>
      <c r="P107" s="1"/>
    </row>
    <row r="108" spans="1:16" s="28" customFormat="1" hidden="1" outlineLevel="1" x14ac:dyDescent="0.3">
      <c r="A108" s="29" t="s">
        <v>83</v>
      </c>
      <c r="B108" s="20"/>
      <c r="C108" s="17"/>
      <c r="D108" s="17"/>
      <c r="E108" s="17"/>
      <c r="F108" s="20">
        <f>+'[8]Presupuesto 2020 FNP'!$F$102</f>
        <v>38613120</v>
      </c>
      <c r="G108" s="17"/>
      <c r="H108" s="21">
        <f>+B108+C108+D108+G108+E108+F108</f>
        <v>38613120</v>
      </c>
      <c r="I108" s="17"/>
      <c r="J108" s="20">
        <f>+H108+I108</f>
        <v>38613120</v>
      </c>
      <c r="K108" s="20"/>
      <c r="L108" s="20"/>
      <c r="M108" s="20">
        <f>+J108+K108+L108</f>
        <v>38613120</v>
      </c>
      <c r="N108" s="22">
        <f>+M108/$M$209</f>
        <v>6.8503446024463575E-4</v>
      </c>
      <c r="P108" s="1"/>
    </row>
    <row r="109" spans="1:16" s="28" customFormat="1" ht="33" hidden="1" outlineLevel="1" x14ac:dyDescent="0.3">
      <c r="A109" s="31" t="s">
        <v>82</v>
      </c>
      <c r="B109" s="20"/>
      <c r="C109" s="17"/>
      <c r="D109" s="17"/>
      <c r="E109" s="17"/>
      <c r="F109" s="20">
        <f>+'[8]Presupuesto 2020 FNP'!$F$103</f>
        <v>10000000</v>
      </c>
      <c r="G109" s="17"/>
      <c r="H109" s="21">
        <f>+B109+C109+D109+G109+E109+F109</f>
        <v>10000000</v>
      </c>
      <c r="I109" s="17"/>
      <c r="J109" s="20">
        <f>+H109+I109</f>
        <v>10000000</v>
      </c>
      <c r="K109" s="20"/>
      <c r="L109" s="20"/>
      <c r="M109" s="20">
        <f>+J109+K109+L109</f>
        <v>10000000</v>
      </c>
      <c r="N109" s="22">
        <f>+M109/$M$209</f>
        <v>1.7740976648471704E-4</v>
      </c>
      <c r="P109" s="1"/>
    </row>
    <row r="110" spans="1:16" s="28" customFormat="1" collapsed="1" x14ac:dyDescent="0.3">
      <c r="A110" s="29"/>
      <c r="B110" s="20"/>
      <c r="C110" s="17"/>
      <c r="D110" s="17"/>
      <c r="E110" s="17"/>
      <c r="F110" s="20"/>
      <c r="G110" s="17"/>
      <c r="H110" s="21"/>
      <c r="I110" s="17"/>
      <c r="J110" s="20"/>
      <c r="K110" s="20"/>
      <c r="L110" s="20"/>
      <c r="M110" s="20"/>
      <c r="N110" s="22"/>
      <c r="P110" s="1"/>
    </row>
    <row r="111" spans="1:16" s="28" customFormat="1" x14ac:dyDescent="0.3">
      <c r="A111" s="30" t="s">
        <v>81</v>
      </c>
      <c r="B111" s="17"/>
      <c r="C111" s="17"/>
      <c r="D111" s="17"/>
      <c r="E111" s="17"/>
      <c r="F111" s="17"/>
      <c r="G111" s="17">
        <f>+G112+G120+G122+G125</f>
        <v>14609892870.674999</v>
      </c>
      <c r="H111" s="18">
        <f>+H112+H120+H122+H125</f>
        <v>14609892870.674999</v>
      </c>
      <c r="I111" s="17"/>
      <c r="J111" s="17">
        <f>+J112+J120+J122+J125</f>
        <v>14609892870.674999</v>
      </c>
      <c r="K111" s="17">
        <f>+K112+K120+K122+K125</f>
        <v>832334215</v>
      </c>
      <c r="L111" s="17">
        <f>+L112+L120+L122+L125</f>
        <v>-635000000</v>
      </c>
      <c r="M111" s="17">
        <f>+J111+K111+L111</f>
        <v>14807227085.674999</v>
      </c>
      <c r="N111" s="16">
        <f>+M111/$M$209</f>
        <v>0.26269466995557789</v>
      </c>
      <c r="P111" s="1"/>
    </row>
    <row r="112" spans="1:16" s="28" customFormat="1" x14ac:dyDescent="0.3">
      <c r="A112" s="30" t="s">
        <v>80</v>
      </c>
      <c r="B112" s="17"/>
      <c r="C112" s="17"/>
      <c r="D112" s="17"/>
      <c r="E112" s="17"/>
      <c r="F112" s="17"/>
      <c r="G112" s="17">
        <f>SUM(G113:G119)</f>
        <v>13563969521.099998</v>
      </c>
      <c r="H112" s="18">
        <f>SUM(H113:H119)</f>
        <v>13563969521.099998</v>
      </c>
      <c r="I112" s="17"/>
      <c r="J112" s="17">
        <f>SUM(J113:J119)</f>
        <v>13563969521.099998</v>
      </c>
      <c r="K112" s="17">
        <f>SUM(K113:K119)</f>
        <v>832334215</v>
      </c>
      <c r="L112" s="17">
        <f>SUM(L113:L119)</f>
        <v>-400000000</v>
      </c>
      <c r="M112" s="17">
        <f>+J112+K112+L112</f>
        <v>13996303736.099998</v>
      </c>
      <c r="N112" s="16">
        <f>+M112/$M$209</f>
        <v>0.24830809774706733</v>
      </c>
      <c r="P112" s="1"/>
    </row>
    <row r="113" spans="1:16" s="28" customFormat="1" hidden="1" outlineLevel="1" x14ac:dyDescent="0.3">
      <c r="A113" s="29" t="s">
        <v>79</v>
      </c>
      <c r="B113" s="17"/>
      <c r="C113" s="17"/>
      <c r="D113" s="17"/>
      <c r="E113" s="20"/>
      <c r="F113" s="17"/>
      <c r="G113" s="20">
        <f>+'[6]Presupuesto PPC'!$D$23</f>
        <v>2473320000</v>
      </c>
      <c r="H113" s="21">
        <f>+B113+C113+D113+G113+E113+F113</f>
        <v>2473320000</v>
      </c>
      <c r="I113" s="17"/>
      <c r="J113" s="20">
        <f>+H113+I113</f>
        <v>2473320000</v>
      </c>
      <c r="K113" s="20"/>
      <c r="L113" s="20">
        <v>-100000000</v>
      </c>
      <c r="M113" s="20">
        <f>+J113+K113+L113</f>
        <v>2373320000</v>
      </c>
      <c r="N113" s="22">
        <f>+M113/$M$209</f>
        <v>4.2105014699350865E-2</v>
      </c>
      <c r="P113" s="1"/>
    </row>
    <row r="114" spans="1:16" s="28" customFormat="1" hidden="1" outlineLevel="1" x14ac:dyDescent="0.3">
      <c r="A114" s="29" t="s">
        <v>78</v>
      </c>
      <c r="B114" s="17"/>
      <c r="C114" s="17"/>
      <c r="D114" s="17"/>
      <c r="E114" s="20"/>
      <c r="F114" s="17"/>
      <c r="G114" s="20">
        <f>+'[6]Presupuesto PPC'!$D$24</f>
        <v>552363677.60000002</v>
      </c>
      <c r="H114" s="21">
        <f>+B114+C114+D114+G114+E114+F114</f>
        <v>552363677.60000002</v>
      </c>
      <c r="I114" s="17"/>
      <c r="J114" s="20">
        <f>+H114+I114</f>
        <v>552363677.60000002</v>
      </c>
      <c r="K114" s="20"/>
      <c r="L114" s="20"/>
      <c r="M114" s="20">
        <f>+J114+K114+L114</f>
        <v>552363677.60000002</v>
      </c>
      <c r="N114" s="22">
        <f>+M114/$M$209</f>
        <v>9.7994711057655531E-3</v>
      </c>
      <c r="P114" s="1"/>
    </row>
    <row r="115" spans="1:16" s="28" customFormat="1" hidden="1" outlineLevel="1" x14ac:dyDescent="0.3">
      <c r="A115" s="29" t="s">
        <v>77</v>
      </c>
      <c r="B115" s="17"/>
      <c r="C115" s="17"/>
      <c r="D115" s="17"/>
      <c r="E115" s="20"/>
      <c r="F115" s="17"/>
      <c r="G115" s="20">
        <f>+'[6]Presupuesto PPC'!$D$25</f>
        <v>264569176.80000001</v>
      </c>
      <c r="H115" s="21">
        <f>+B115+C115+D115+G115+E115+F115</f>
        <v>264569176.80000001</v>
      </c>
      <c r="I115" s="17"/>
      <c r="J115" s="20">
        <f>+H115+I115</f>
        <v>264569176.80000001</v>
      </c>
      <c r="K115" s="20"/>
      <c r="L115" s="20"/>
      <c r="M115" s="20">
        <f>+J115+K115+L115</f>
        <v>264569176.80000001</v>
      </c>
      <c r="N115" s="22">
        <f>+M115/$M$209</f>
        <v>4.6937155875141816E-3</v>
      </c>
      <c r="P115" s="1"/>
    </row>
    <row r="116" spans="1:16" s="28" customFormat="1" hidden="1" outlineLevel="1" x14ac:dyDescent="0.3">
      <c r="A116" s="29" t="s">
        <v>76</v>
      </c>
      <c r="B116" s="17"/>
      <c r="C116" s="17"/>
      <c r="D116" s="17"/>
      <c r="E116" s="20"/>
      <c r="F116" s="17"/>
      <c r="G116" s="20">
        <f>+'[6]Presupuesto PPC'!$D$26</f>
        <v>1349100000</v>
      </c>
      <c r="H116" s="21">
        <f>+B116+C116+D116+G116+E116+F116</f>
        <v>1349100000</v>
      </c>
      <c r="I116" s="17"/>
      <c r="J116" s="20">
        <f>+H116+I116</f>
        <v>1349100000</v>
      </c>
      <c r="K116" s="20">
        <v>360000000</v>
      </c>
      <c r="L116" s="20"/>
      <c r="M116" s="20">
        <f>+J116+K116+L116</f>
        <v>1709100000</v>
      </c>
      <c r="N116" s="22">
        <f>+M116/$M$209</f>
        <v>3.0321103189902988E-2</v>
      </c>
      <c r="P116" s="1"/>
    </row>
    <row r="117" spans="1:16" s="28" customFormat="1" hidden="1" outlineLevel="1" x14ac:dyDescent="0.3">
      <c r="A117" s="29" t="s">
        <v>75</v>
      </c>
      <c r="B117" s="17"/>
      <c r="C117" s="17"/>
      <c r="D117" s="17"/>
      <c r="E117" s="20"/>
      <c r="F117" s="17"/>
      <c r="G117" s="20">
        <f>+'[6]Presupuesto PPC'!$D$27</f>
        <v>276000000</v>
      </c>
      <c r="H117" s="21">
        <f>+B117+C117+D117+G117+E117+F117</f>
        <v>276000000</v>
      </c>
      <c r="I117" s="17"/>
      <c r="J117" s="20">
        <f>+H117+I117</f>
        <v>276000000</v>
      </c>
      <c r="K117" s="20"/>
      <c r="L117" s="20"/>
      <c r="M117" s="20">
        <f>+J117+K117+L117</f>
        <v>276000000</v>
      </c>
      <c r="N117" s="22">
        <f>+M117/$M$209</f>
        <v>4.8965095549781904E-3</v>
      </c>
      <c r="P117" s="1"/>
    </row>
    <row r="118" spans="1:16" s="28" customFormat="1" hidden="1" outlineLevel="1" x14ac:dyDescent="0.3">
      <c r="A118" s="29" t="s">
        <v>74</v>
      </c>
      <c r="B118" s="17"/>
      <c r="C118" s="17"/>
      <c r="D118" s="17"/>
      <c r="E118" s="20"/>
      <c r="F118" s="17"/>
      <c r="G118" s="20">
        <f>+'[6]Presupuesto PPC'!$D$28+0.5</f>
        <v>8614736346.6999989</v>
      </c>
      <c r="H118" s="21">
        <f>+B118+C118+D118+G118+E118+F118</f>
        <v>8614736346.6999989</v>
      </c>
      <c r="I118" s="17"/>
      <c r="J118" s="20">
        <f>+H118+I118</f>
        <v>8614736346.6999989</v>
      </c>
      <c r="K118" s="20">
        <v>472334215</v>
      </c>
      <c r="L118" s="20">
        <v>-300000000</v>
      </c>
      <c r="M118" s="20">
        <f>+J118+K118+L118</f>
        <v>8787070561.6999989</v>
      </c>
      <c r="N118" s="22">
        <f>+M118/$M$209</f>
        <v>0.15589121364359282</v>
      </c>
      <c r="P118" s="1"/>
    </row>
    <row r="119" spans="1:16" s="28" customFormat="1" hidden="1" outlineLevel="1" x14ac:dyDescent="0.3">
      <c r="A119" s="29" t="s">
        <v>73</v>
      </c>
      <c r="B119" s="17"/>
      <c r="C119" s="17"/>
      <c r="D119" s="17"/>
      <c r="E119" s="20"/>
      <c r="F119" s="17"/>
      <c r="G119" s="20">
        <f>+'[6]Presupuesto PPC'!$D$29</f>
        <v>33880320</v>
      </c>
      <c r="H119" s="21">
        <f>+B119+C119+D119+G119+E119+F119</f>
        <v>33880320</v>
      </c>
      <c r="I119" s="17"/>
      <c r="J119" s="20">
        <f>+H119+I119</f>
        <v>33880320</v>
      </c>
      <c r="K119" s="20"/>
      <c r="L119" s="20"/>
      <c r="M119" s="20">
        <f>+J119+K119+L119</f>
        <v>33880320</v>
      </c>
      <c r="N119" s="22">
        <f>+M119/$M$209</f>
        <v>6.0106996596274889E-4</v>
      </c>
      <c r="P119" s="1"/>
    </row>
    <row r="120" spans="1:16" s="28" customFormat="1" collapsed="1" x14ac:dyDescent="0.3">
      <c r="A120" s="30" t="s">
        <v>72</v>
      </c>
      <c r="B120" s="17"/>
      <c r="C120" s="17"/>
      <c r="D120" s="17"/>
      <c r="E120" s="17"/>
      <c r="F120" s="17"/>
      <c r="G120" s="17">
        <f>SUM(G121:G121)</f>
        <v>177100000</v>
      </c>
      <c r="H120" s="18">
        <f>SUM(H121:H121)</f>
        <v>177100000</v>
      </c>
      <c r="I120" s="17"/>
      <c r="J120" s="17">
        <f>SUM(J121:J121)</f>
        <v>177100000</v>
      </c>
      <c r="K120" s="17">
        <f>SUM(K121:K121)</f>
        <v>0</v>
      </c>
      <c r="L120" s="17">
        <f>SUM(L121:L121)</f>
        <v>-60000000</v>
      </c>
      <c r="M120" s="17">
        <f>+J120+K120+L120</f>
        <v>117100000</v>
      </c>
      <c r="N120" s="16">
        <f>+M120/$M$209</f>
        <v>2.0774683655360366E-3</v>
      </c>
      <c r="P120" s="1"/>
    </row>
    <row r="121" spans="1:16" s="28" customFormat="1" hidden="1" outlineLevel="1" x14ac:dyDescent="0.3">
      <c r="A121" s="29" t="s">
        <v>71</v>
      </c>
      <c r="B121" s="17"/>
      <c r="C121" s="17"/>
      <c r="D121" s="17"/>
      <c r="E121" s="20"/>
      <c r="F121" s="17"/>
      <c r="G121" s="20">
        <f>+'[6]Presupuesto PPC'!$D$31</f>
        <v>177100000</v>
      </c>
      <c r="H121" s="21">
        <f>+B121+C121+D121+G121+E121+F121</f>
        <v>177100000</v>
      </c>
      <c r="I121" s="17"/>
      <c r="J121" s="20">
        <f>+H121+I121</f>
        <v>177100000</v>
      </c>
      <c r="K121" s="20"/>
      <c r="L121" s="20">
        <v>-60000000</v>
      </c>
      <c r="M121" s="20">
        <f>+J121+K121+L121</f>
        <v>117100000</v>
      </c>
      <c r="N121" s="22">
        <f>+M121/$M$209</f>
        <v>2.0774683655360366E-3</v>
      </c>
      <c r="P121" s="1"/>
    </row>
    <row r="122" spans="1:16" s="28" customFormat="1" collapsed="1" x14ac:dyDescent="0.3">
      <c r="A122" s="30" t="s">
        <v>70</v>
      </c>
      <c r="B122" s="17"/>
      <c r="C122" s="17"/>
      <c r="D122" s="17"/>
      <c r="E122" s="17"/>
      <c r="F122" s="17"/>
      <c r="G122" s="17">
        <f>SUM(G123:G124)</f>
        <v>475923349.57499999</v>
      </c>
      <c r="H122" s="18">
        <f>SUM(H123:H124)</f>
        <v>475923349.57499999</v>
      </c>
      <c r="I122" s="17"/>
      <c r="J122" s="17">
        <f>SUM(J123:J124)</f>
        <v>475923349.57499999</v>
      </c>
      <c r="K122" s="17">
        <f>SUM(K123:K124)</f>
        <v>0</v>
      </c>
      <c r="L122" s="17">
        <f>SUM(L123:L124)</f>
        <v>-140000000</v>
      </c>
      <c r="M122" s="17">
        <f>+J122+K122+L122</f>
        <v>335923349.57499999</v>
      </c>
      <c r="N122" s="16">
        <f>+M122/$M$209</f>
        <v>5.9596083004864716E-3</v>
      </c>
      <c r="P122" s="1"/>
    </row>
    <row r="123" spans="1:16" s="28" customFormat="1" hidden="1" outlineLevel="1" x14ac:dyDescent="0.3">
      <c r="A123" s="29" t="str">
        <f>+'[7]Presupuesto 2017 vs 2018'!$B$37</f>
        <v>Diagnóstico Rutinario</v>
      </c>
      <c r="B123" s="17"/>
      <c r="C123" s="17"/>
      <c r="D123" s="17"/>
      <c r="E123" s="20"/>
      <c r="F123" s="17"/>
      <c r="G123" s="20">
        <f>+'[6]Presupuesto PPC'!$D$34</f>
        <v>332976305</v>
      </c>
      <c r="H123" s="21">
        <f>+B123+C123+D123+G123+E123+F123</f>
        <v>332976305</v>
      </c>
      <c r="I123" s="17"/>
      <c r="J123" s="20">
        <f>+H123+I123</f>
        <v>332976305</v>
      </c>
      <c r="K123" s="20"/>
      <c r="L123" s="20">
        <v>-70000000</v>
      </c>
      <c r="M123" s="20">
        <f>+J123+K123+L123</f>
        <v>262976305</v>
      </c>
      <c r="N123" s="22">
        <f>+M123/$M$209</f>
        <v>4.6654564861063723E-3</v>
      </c>
      <c r="P123" s="1"/>
    </row>
    <row r="124" spans="1:16" s="28" customFormat="1" hidden="1" outlineLevel="1" x14ac:dyDescent="0.3">
      <c r="A124" s="29" t="s">
        <v>69</v>
      </c>
      <c r="B124" s="17"/>
      <c r="C124" s="17"/>
      <c r="D124" s="17"/>
      <c r="E124" s="20"/>
      <c r="F124" s="17"/>
      <c r="G124" s="20">
        <f>+'[6]Presupuesto PPC'!$D$35</f>
        <v>142947044.57499999</v>
      </c>
      <c r="H124" s="21">
        <f>+B124+C124+D124+G124+E124+F124</f>
        <v>142947044.57499999</v>
      </c>
      <c r="I124" s="17"/>
      <c r="J124" s="20">
        <f>+H124+I124</f>
        <v>142947044.57499999</v>
      </c>
      <c r="K124" s="20"/>
      <c r="L124" s="20">
        <v>-70000000</v>
      </c>
      <c r="M124" s="20">
        <f>+J124+K124+L124</f>
        <v>72947044.574999988</v>
      </c>
      <c r="N124" s="22">
        <f>+M124/$M$209</f>
        <v>1.2941518143800993E-3</v>
      </c>
      <c r="P124" s="1"/>
    </row>
    <row r="125" spans="1:16" s="28" customFormat="1" collapsed="1" x14ac:dyDescent="0.3">
      <c r="A125" s="30" t="s">
        <v>68</v>
      </c>
      <c r="B125" s="17"/>
      <c r="C125" s="17"/>
      <c r="D125" s="17"/>
      <c r="E125" s="17"/>
      <c r="F125" s="17"/>
      <c r="G125" s="17">
        <f>SUM(G126:G126)</f>
        <v>392900000</v>
      </c>
      <c r="H125" s="18">
        <f>SUM(H126:H126)</f>
        <v>392900000</v>
      </c>
      <c r="I125" s="17"/>
      <c r="J125" s="17">
        <f>SUM(J126:J126)</f>
        <v>392900000</v>
      </c>
      <c r="K125" s="17">
        <f>SUM(K126:K126)</f>
        <v>0</v>
      </c>
      <c r="L125" s="17">
        <f>SUM(L126:L126)</f>
        <v>-35000000</v>
      </c>
      <c r="M125" s="17">
        <f>+J125+K125+L125</f>
        <v>357900000</v>
      </c>
      <c r="N125" s="16">
        <f>+M125/$M$209</f>
        <v>6.3494955424880225E-3</v>
      </c>
      <c r="P125" s="1"/>
    </row>
    <row r="126" spans="1:16" s="28" customFormat="1" hidden="1" outlineLevel="1" x14ac:dyDescent="0.3">
      <c r="A126" s="29" t="s">
        <v>67</v>
      </c>
      <c r="B126" s="17"/>
      <c r="C126" s="17"/>
      <c r="D126" s="17"/>
      <c r="E126" s="20"/>
      <c r="F126" s="17"/>
      <c r="G126" s="20">
        <f>+'[6]Presupuesto PPC'!$D$39</f>
        <v>392900000</v>
      </c>
      <c r="H126" s="21">
        <f>+B126+C126+D126+G126+E126+F126</f>
        <v>392900000</v>
      </c>
      <c r="I126" s="17"/>
      <c r="J126" s="20">
        <f>+H126+I126</f>
        <v>392900000</v>
      </c>
      <c r="K126" s="20"/>
      <c r="L126" s="20">
        <v>-35000000</v>
      </c>
      <c r="M126" s="20">
        <f>+J126+K126+L126</f>
        <v>357900000</v>
      </c>
      <c r="N126" s="22">
        <f>+M126/$M$209</f>
        <v>6.3494955424880225E-3</v>
      </c>
      <c r="P126" s="1"/>
    </row>
    <row r="127" spans="1:16" s="28" customFormat="1" collapsed="1" x14ac:dyDescent="0.3">
      <c r="A127" s="29"/>
      <c r="B127" s="17"/>
      <c r="C127" s="17"/>
      <c r="D127" s="17"/>
      <c r="E127" s="20"/>
      <c r="F127" s="17"/>
      <c r="G127" s="20"/>
      <c r="H127" s="21"/>
      <c r="I127" s="17"/>
      <c r="J127" s="20"/>
      <c r="K127" s="20"/>
      <c r="L127" s="20"/>
      <c r="M127" s="20"/>
      <c r="N127" s="22"/>
      <c r="P127" s="1"/>
    </row>
    <row r="128" spans="1:16" s="37" customFormat="1" x14ac:dyDescent="0.3">
      <c r="A128" s="30" t="s">
        <v>66</v>
      </c>
      <c r="B128" s="32"/>
      <c r="C128" s="17">
        <f>+C129+C133+C142+C146</f>
        <v>4016287880.2937174</v>
      </c>
      <c r="D128" s="32"/>
      <c r="E128" s="38"/>
      <c r="F128" s="32"/>
      <c r="G128" s="38"/>
      <c r="H128" s="17">
        <f>+H129+H133+H142+H146</f>
        <v>4016287880.2937174</v>
      </c>
      <c r="I128" s="32"/>
      <c r="J128" s="17">
        <f>+J129+J133+J142+J146</f>
        <v>4016287880.2937174</v>
      </c>
      <c r="K128" s="17">
        <f>+K129+K133+K142+K146</f>
        <v>1364622777</v>
      </c>
      <c r="L128" s="17">
        <f>+L129+L133+L142+L146</f>
        <v>-678066916</v>
      </c>
      <c r="M128" s="17">
        <f>+J128+K128+L128</f>
        <v>4702843741.2937174</v>
      </c>
      <c r="N128" s="16">
        <f>+M128/$M$209</f>
        <v>8.3433040995703145E-2</v>
      </c>
      <c r="P128" s="1"/>
    </row>
    <row r="129" spans="1:17" s="28" customFormat="1" x14ac:dyDescent="0.3">
      <c r="A129" s="30" t="s">
        <v>65</v>
      </c>
      <c r="B129" s="32"/>
      <c r="C129" s="17">
        <f>SUM(C130:C132)</f>
        <v>1384049523.9267251</v>
      </c>
      <c r="D129" s="17"/>
      <c r="E129" s="17"/>
      <c r="F129" s="17"/>
      <c r="G129" s="17"/>
      <c r="H129" s="17">
        <f>SUM(H130:H132)</f>
        <v>1384049523.9267251</v>
      </c>
      <c r="I129" s="17"/>
      <c r="J129" s="17">
        <f>SUM(J130:J132)</f>
        <v>1384049523.9267251</v>
      </c>
      <c r="K129" s="17">
        <f>SUM(K130:K132)</f>
        <v>0</v>
      </c>
      <c r="L129" s="17">
        <f>SUM(L130:L132)</f>
        <v>-180074757</v>
      </c>
      <c r="M129" s="17">
        <f>+J129+K129+L129</f>
        <v>1203974766.9267251</v>
      </c>
      <c r="N129" s="16">
        <f>+M129/$M$209</f>
        <v>2.1359688225396193E-2</v>
      </c>
      <c r="P129" s="1"/>
    </row>
    <row r="130" spans="1:17" s="28" customFormat="1" hidden="1" outlineLevel="1" x14ac:dyDescent="0.3">
      <c r="A130" s="29" t="s">
        <v>64</v>
      </c>
      <c r="B130" s="32"/>
      <c r="C130" s="20">
        <f>+[5]General!$D$20</f>
        <v>37938900</v>
      </c>
      <c r="D130" s="17"/>
      <c r="E130" s="17"/>
      <c r="F130" s="17"/>
      <c r="G130" s="17"/>
      <c r="H130" s="21">
        <f>+B130+C130+D130+G130+E130+F130</f>
        <v>37938900</v>
      </c>
      <c r="I130" s="17"/>
      <c r="J130" s="20">
        <f>+H130+I130</f>
        <v>37938900</v>
      </c>
      <c r="K130" s="20"/>
      <c r="L130" s="20">
        <v>-6500000</v>
      </c>
      <c r="M130" s="20">
        <f>+J130+K130+L130</f>
        <v>31438900</v>
      </c>
      <c r="N130" s="22">
        <f>+M130/$M$209</f>
        <v>5.5775679075363701E-4</v>
      </c>
      <c r="P130" s="1"/>
    </row>
    <row r="131" spans="1:17" s="28" customFormat="1" hidden="1" outlineLevel="1" x14ac:dyDescent="0.3">
      <c r="A131" s="29" t="s">
        <v>63</v>
      </c>
      <c r="B131" s="32"/>
      <c r="C131" s="20">
        <f>+[5]General!$D$21</f>
        <v>1036660662.5852052</v>
      </c>
      <c r="D131" s="17"/>
      <c r="E131" s="17"/>
      <c r="F131" s="17"/>
      <c r="G131" s="17"/>
      <c r="H131" s="21">
        <f>+B131+C131+D131+G131+E131+F131</f>
        <v>1036660662.5852052</v>
      </c>
      <c r="I131" s="17"/>
      <c r="J131" s="20">
        <f>+H131+I131</f>
        <v>1036660662.5852052</v>
      </c>
      <c r="K131" s="20"/>
      <c r="L131" s="20">
        <v>-110792469</v>
      </c>
      <c r="M131" s="20">
        <f>+J131+K131+L131</f>
        <v>925868193.5852052</v>
      </c>
      <c r="N131" s="22">
        <f>+M131/$M$209</f>
        <v>1.6425806001957803E-2</v>
      </c>
      <c r="P131" s="1"/>
    </row>
    <row r="132" spans="1:17" s="28" customFormat="1" hidden="1" outlineLevel="1" x14ac:dyDescent="0.3">
      <c r="A132" s="29" t="s">
        <v>62</v>
      </c>
      <c r="B132" s="32"/>
      <c r="C132" s="20">
        <f>+[5]General!$D$22</f>
        <v>309449961.34152001</v>
      </c>
      <c r="D132" s="17"/>
      <c r="E132" s="17"/>
      <c r="F132" s="17"/>
      <c r="G132" s="17"/>
      <c r="H132" s="21">
        <f>+B132+C132+D132+G132+E132+F132</f>
        <v>309449961.34152001</v>
      </c>
      <c r="I132" s="17"/>
      <c r="J132" s="20">
        <f>+H132+I132</f>
        <v>309449961.34152001</v>
      </c>
      <c r="K132" s="20"/>
      <c r="L132" s="36">
        <v>-62782288</v>
      </c>
      <c r="M132" s="20">
        <f>+J132+K132+L132</f>
        <v>246667673.34152001</v>
      </c>
      <c r="N132" s="22">
        <f>+M132/$M$209</f>
        <v>4.3761254326847524E-3</v>
      </c>
      <c r="P132" s="1"/>
    </row>
    <row r="133" spans="1:17" s="28" customFormat="1" collapsed="1" x14ac:dyDescent="0.3">
      <c r="A133" s="30" t="s">
        <v>61</v>
      </c>
      <c r="B133" s="17"/>
      <c r="C133" s="17">
        <f>+C134+C135+C136+C137</f>
        <v>807983690.31400001</v>
      </c>
      <c r="D133" s="17"/>
      <c r="E133" s="17"/>
      <c r="F133" s="17"/>
      <c r="G133" s="17"/>
      <c r="H133" s="17">
        <f>+H134+H135+H136+H137</f>
        <v>807983690.31400001</v>
      </c>
      <c r="I133" s="17"/>
      <c r="J133" s="17">
        <f>+J134+J135+J136+J137</f>
        <v>807983690.31400001</v>
      </c>
      <c r="K133" s="17">
        <f>+K134+K135+K136+K137</f>
        <v>320000000</v>
      </c>
      <c r="L133" s="17">
        <f>+L134+L135+L136+L137</f>
        <v>-54215347</v>
      </c>
      <c r="M133" s="17">
        <f>+J133+K133+L133</f>
        <v>1073768343.3140001</v>
      </c>
      <c r="N133" s="16">
        <f>+M133/$M$209</f>
        <v>1.9049699104601824E-2</v>
      </c>
      <c r="P133" s="1"/>
      <c r="Q133" s="35"/>
    </row>
    <row r="134" spans="1:17" s="28" customFormat="1" hidden="1" outlineLevel="1" x14ac:dyDescent="0.3">
      <c r="A134" s="29" t="s">
        <v>60</v>
      </c>
      <c r="C134" s="20">
        <f>+[5]General!$D$38</f>
        <v>39697168.200000003</v>
      </c>
      <c r="D134" s="17"/>
      <c r="E134" s="17"/>
      <c r="F134" s="17"/>
      <c r="G134" s="17"/>
      <c r="H134" s="21">
        <f>+B134+C134+D134+G134+E134+F134</f>
        <v>39697168.200000003</v>
      </c>
      <c r="I134" s="17"/>
      <c r="J134" s="20">
        <f>+H134+I134</f>
        <v>39697168.200000003</v>
      </c>
      <c r="K134" s="20"/>
      <c r="L134" s="20">
        <v>-2491200</v>
      </c>
      <c r="M134" s="20">
        <f>+J134+K134+L134</f>
        <v>37205968.200000003</v>
      </c>
      <c r="N134" s="22">
        <f>+M134/$M$209</f>
        <v>6.6007021301998079E-4</v>
      </c>
      <c r="P134" s="1"/>
    </row>
    <row r="135" spans="1:17" s="28" customFormat="1" hidden="1" outlineLevel="1" x14ac:dyDescent="0.3">
      <c r="A135" s="29" t="s">
        <v>59</v>
      </c>
      <c r="C135" s="20">
        <f>+[5]General!$D$41</f>
        <v>57728889</v>
      </c>
      <c r="D135" s="17"/>
      <c r="E135" s="17"/>
      <c r="F135" s="17"/>
      <c r="G135" s="17"/>
      <c r="H135" s="21">
        <f>+B135+C135+D135+G135+E135+F135</f>
        <v>57728889</v>
      </c>
      <c r="I135" s="17"/>
      <c r="J135" s="20">
        <f>+H135+I135</f>
        <v>57728889</v>
      </c>
      <c r="K135" s="20"/>
      <c r="L135" s="20">
        <v>-30015835</v>
      </c>
      <c r="M135" s="20">
        <f>+J135+K135+L135</f>
        <v>27713054</v>
      </c>
      <c r="N135" s="22">
        <f>+M135/$M$209</f>
        <v>4.9165664387183533E-4</v>
      </c>
      <c r="P135" s="1"/>
    </row>
    <row r="136" spans="1:17" s="28" customFormat="1" hidden="1" outlineLevel="1" x14ac:dyDescent="0.3">
      <c r="A136" s="34" t="s">
        <v>58</v>
      </c>
      <c r="C136" s="20">
        <f>+[5]General!$D$39</f>
        <v>250557633.11399999</v>
      </c>
      <c r="D136" s="17"/>
      <c r="E136" s="17"/>
      <c r="F136" s="17"/>
      <c r="G136" s="17"/>
      <c r="H136" s="21">
        <f>+B136+C136+D136+G136+E136+F136</f>
        <v>250557633.11399999</v>
      </c>
      <c r="I136" s="17"/>
      <c r="J136" s="20">
        <f>+H136+I136</f>
        <v>250557633.11399999</v>
      </c>
      <c r="K136" s="20">
        <v>50000000</v>
      </c>
      <c r="L136" s="20">
        <v>-21708312</v>
      </c>
      <c r="M136" s="20">
        <f>+J136+K136+L136</f>
        <v>278849321.11399996</v>
      </c>
      <c r="N136" s="22">
        <f>+M136/$M$209</f>
        <v>4.9470592943256612E-3</v>
      </c>
      <c r="P136" s="1"/>
    </row>
    <row r="137" spans="1:17" s="28" customFormat="1" hidden="1" outlineLevel="1" x14ac:dyDescent="0.3">
      <c r="A137" s="34" t="s">
        <v>57</v>
      </c>
      <c r="B137" s="17"/>
      <c r="C137" s="20">
        <f>+C138+C140</f>
        <v>460000000</v>
      </c>
      <c r="D137" s="17"/>
      <c r="E137" s="17"/>
      <c r="F137" s="17"/>
      <c r="G137" s="17"/>
      <c r="H137" s="21">
        <f>+B137+C137+D137+G137+E137+F137</f>
        <v>460000000</v>
      </c>
      <c r="I137" s="17"/>
      <c r="J137" s="20">
        <f>+H137+I137</f>
        <v>460000000</v>
      </c>
      <c r="K137" s="20">
        <f>+K138+K140</f>
        <v>270000000</v>
      </c>
      <c r="L137" s="20">
        <f>+L138+L140</f>
        <v>0</v>
      </c>
      <c r="M137" s="20">
        <f>+J137+K137+L137</f>
        <v>730000000</v>
      </c>
      <c r="N137" s="22">
        <f>+M137/$M$209</f>
        <v>1.2950912953384344E-2</v>
      </c>
      <c r="P137" s="1"/>
    </row>
    <row r="138" spans="1:17" s="28" customFormat="1" hidden="1" outlineLevel="2" x14ac:dyDescent="0.3">
      <c r="A138" s="34" t="s">
        <v>56</v>
      </c>
      <c r="B138" s="17"/>
      <c r="C138" s="20">
        <f>+C139</f>
        <v>290000000</v>
      </c>
      <c r="D138" s="17"/>
      <c r="E138" s="17"/>
      <c r="F138" s="17"/>
      <c r="G138" s="17"/>
      <c r="H138" s="21">
        <f>+H139</f>
        <v>290000000</v>
      </c>
      <c r="I138" s="17"/>
      <c r="J138" s="20">
        <f>+J139</f>
        <v>290000000</v>
      </c>
      <c r="K138" s="20">
        <f>+K139</f>
        <v>180000000</v>
      </c>
      <c r="L138" s="20">
        <v>0</v>
      </c>
      <c r="M138" s="20">
        <f>+J138+K138+L138</f>
        <v>470000000</v>
      </c>
      <c r="N138" s="22">
        <f>+M138/$M$209</f>
        <v>8.3382590247817016E-3</v>
      </c>
      <c r="P138" s="1"/>
    </row>
    <row r="139" spans="1:17" s="28" customFormat="1" hidden="1" outlineLevel="2" x14ac:dyDescent="0.3">
      <c r="A139" s="34" t="s">
        <v>55</v>
      </c>
      <c r="C139" s="20">
        <f>+[5]General!$D$43</f>
        <v>290000000</v>
      </c>
      <c r="D139" s="17"/>
      <c r="E139" s="17"/>
      <c r="F139" s="17"/>
      <c r="G139" s="17"/>
      <c r="H139" s="21">
        <f>+B139+C139+D139+G139+E139+F139</f>
        <v>290000000</v>
      </c>
      <c r="I139" s="17"/>
      <c r="J139" s="20">
        <f>+H139+I139</f>
        <v>290000000</v>
      </c>
      <c r="K139" s="20">
        <v>180000000</v>
      </c>
      <c r="L139" s="20">
        <v>0</v>
      </c>
      <c r="M139" s="20">
        <f>+J139+K139+L139</f>
        <v>470000000</v>
      </c>
      <c r="N139" s="22">
        <f>+M139/$M$209</f>
        <v>8.3382590247817016E-3</v>
      </c>
      <c r="P139" s="1"/>
    </row>
    <row r="140" spans="1:17" s="28" customFormat="1" hidden="1" outlineLevel="2" x14ac:dyDescent="0.3">
      <c r="A140" s="34" t="s">
        <v>54</v>
      </c>
      <c r="B140" s="17"/>
      <c r="C140" s="20">
        <f>+C141</f>
        <v>170000000</v>
      </c>
      <c r="D140" s="17"/>
      <c r="E140" s="17"/>
      <c r="F140" s="17"/>
      <c r="G140" s="17"/>
      <c r="H140" s="21">
        <f>+B140+C140+D140+G140+E140+F140</f>
        <v>170000000</v>
      </c>
      <c r="I140" s="17"/>
      <c r="J140" s="20">
        <f>+H140+I140</f>
        <v>170000000</v>
      </c>
      <c r="K140" s="20">
        <f>+K141</f>
        <v>90000000</v>
      </c>
      <c r="L140" s="20">
        <v>0</v>
      </c>
      <c r="M140" s="20">
        <f>+J140+K140+L140</f>
        <v>260000000</v>
      </c>
      <c r="N140" s="22">
        <f>+M140/$M$209</f>
        <v>4.6126539286026431E-3</v>
      </c>
      <c r="P140" s="1"/>
    </row>
    <row r="141" spans="1:17" s="28" customFormat="1" hidden="1" outlineLevel="2" x14ac:dyDescent="0.3">
      <c r="A141" s="34" t="s">
        <v>53</v>
      </c>
      <c r="C141" s="20">
        <f>+[5]General!$D$44</f>
        <v>170000000</v>
      </c>
      <c r="D141" s="17"/>
      <c r="E141" s="17"/>
      <c r="F141" s="17"/>
      <c r="G141" s="17"/>
      <c r="H141" s="21">
        <f>+B141+C141+D141+G141+E141+F141</f>
        <v>170000000</v>
      </c>
      <c r="I141" s="17"/>
      <c r="J141" s="20">
        <f>+H141+I141</f>
        <v>170000000</v>
      </c>
      <c r="K141" s="20">
        <v>90000000</v>
      </c>
      <c r="L141" s="20">
        <v>0</v>
      </c>
      <c r="M141" s="20">
        <f>+J141+K141+L141</f>
        <v>260000000</v>
      </c>
      <c r="N141" s="22">
        <f>+M141/$M$209</f>
        <v>4.6126539286026431E-3</v>
      </c>
      <c r="P141" s="1"/>
    </row>
    <row r="142" spans="1:17" s="28" customFormat="1" ht="30" collapsed="1" x14ac:dyDescent="0.3">
      <c r="A142" s="33" t="s">
        <v>52</v>
      </c>
      <c r="B142" s="32"/>
      <c r="C142" s="17">
        <f>SUM(C143:C145)</f>
        <v>1082759950.4469926</v>
      </c>
      <c r="D142" s="17"/>
      <c r="E142" s="17"/>
      <c r="F142" s="17"/>
      <c r="G142" s="17"/>
      <c r="H142" s="17">
        <f>SUM(H143:H145)</f>
        <v>1082759950.4469926</v>
      </c>
      <c r="I142" s="17"/>
      <c r="J142" s="17">
        <f>SUM(J143:J145)</f>
        <v>1082759950.4469926</v>
      </c>
      <c r="K142" s="17">
        <f>SUM(K143:K145)</f>
        <v>1044622777</v>
      </c>
      <c r="L142" s="17">
        <f>SUM(L143:L145)</f>
        <v>-249081143</v>
      </c>
      <c r="M142" s="17">
        <f>+J142+K142+L142</f>
        <v>1878301584.4469926</v>
      </c>
      <c r="N142" s="16">
        <f>+M142/$M$209</f>
        <v>3.3322904548461499E-2</v>
      </c>
      <c r="P142" s="1"/>
    </row>
    <row r="143" spans="1:17" s="28" customFormat="1" hidden="1" outlineLevel="1" x14ac:dyDescent="0.3">
      <c r="A143" s="29" t="s">
        <v>51</v>
      </c>
      <c r="B143" s="32"/>
      <c r="C143" s="20">
        <f>+[5]General!$D$29</f>
        <v>63795342.861979254</v>
      </c>
      <c r="D143" s="17"/>
      <c r="E143" s="17"/>
      <c r="F143" s="17"/>
      <c r="G143" s="17"/>
      <c r="H143" s="21">
        <f>+B143+C143+D143+G143+E143+F143</f>
        <v>63795342.861979254</v>
      </c>
      <c r="I143" s="17"/>
      <c r="J143" s="20">
        <f>+H143+I143</f>
        <v>63795342.861979254</v>
      </c>
      <c r="K143" s="20"/>
      <c r="L143" s="20">
        <v>-31595343</v>
      </c>
      <c r="M143" s="20">
        <f>+J143+K143+L143</f>
        <v>32199999.861979254</v>
      </c>
      <c r="N143" s="22">
        <f>+M143/$M$209</f>
        <v>5.71259445632166E-4</v>
      </c>
      <c r="P143" s="1"/>
    </row>
    <row r="144" spans="1:17" s="28" customFormat="1" ht="33" hidden="1" outlineLevel="1" x14ac:dyDescent="0.3">
      <c r="A144" s="31" t="s">
        <v>50</v>
      </c>
      <c r="B144" s="32"/>
      <c r="C144" s="20">
        <f>+[5]General!$D$30</f>
        <v>767835369.41964948</v>
      </c>
      <c r="D144" s="17"/>
      <c r="E144" s="17"/>
      <c r="F144" s="17"/>
      <c r="G144" s="17"/>
      <c r="H144" s="21">
        <f>+B144+C144+D144+G144+E144+F144</f>
        <v>767835369.41964948</v>
      </c>
      <c r="I144" s="17"/>
      <c r="J144" s="20">
        <f>+H144+I144</f>
        <v>767835369.41964948</v>
      </c>
      <c r="K144" s="20">
        <v>1044622777</v>
      </c>
      <c r="L144" s="20">
        <v>-60534881</v>
      </c>
      <c r="M144" s="20">
        <f>+J144+K144+L144</f>
        <v>1751923265.4196496</v>
      </c>
      <c r="N144" s="22">
        <f>+M144/$M$209</f>
        <v>3.1080829741724297E-2</v>
      </c>
      <c r="P144" s="1"/>
    </row>
    <row r="145" spans="1:16" s="28" customFormat="1" hidden="1" outlineLevel="1" x14ac:dyDescent="0.3">
      <c r="A145" s="29" t="s">
        <v>49</v>
      </c>
      <c r="B145" s="32"/>
      <c r="C145" s="20">
        <f>+[5]General!$D$31</f>
        <v>251129238.16536385</v>
      </c>
      <c r="D145" s="17"/>
      <c r="E145" s="17"/>
      <c r="F145" s="17"/>
      <c r="G145" s="17"/>
      <c r="H145" s="21">
        <f>+B145+C145+D145+G145+E145+F145</f>
        <v>251129238.16536385</v>
      </c>
      <c r="I145" s="17"/>
      <c r="J145" s="20">
        <f>+H145+I145</f>
        <v>251129238.16536385</v>
      </c>
      <c r="K145" s="20"/>
      <c r="L145" s="20">
        <v>-156950919</v>
      </c>
      <c r="M145" s="20">
        <f>+J145+K145+L145</f>
        <v>94178319.165363848</v>
      </c>
      <c r="N145" s="22">
        <f>+M145/$M$209</f>
        <v>1.6708153611050352E-3</v>
      </c>
      <c r="P145" s="1"/>
    </row>
    <row r="146" spans="1:16" s="28" customFormat="1" collapsed="1" x14ac:dyDescent="0.3">
      <c r="A146" s="30" t="s">
        <v>48</v>
      </c>
      <c r="B146" s="32"/>
      <c r="C146" s="17">
        <f>SUM(C147:C149)</f>
        <v>741494715.60599995</v>
      </c>
      <c r="D146" s="17"/>
      <c r="E146" s="17"/>
      <c r="F146" s="17"/>
      <c r="G146" s="17"/>
      <c r="H146" s="17">
        <f>SUM(H147:H149)</f>
        <v>741494715.60599995</v>
      </c>
      <c r="I146" s="17"/>
      <c r="J146" s="17">
        <f>SUM(J147:J149)</f>
        <v>741494715.60599995</v>
      </c>
      <c r="K146" s="17">
        <f>SUM(K147:K149)</f>
        <v>0</v>
      </c>
      <c r="L146" s="17">
        <f>SUM(L147:L149)</f>
        <v>-194695669</v>
      </c>
      <c r="M146" s="17">
        <f>+J146+K146+L146</f>
        <v>546799046.60599995</v>
      </c>
      <c r="N146" s="16">
        <f>+M146/$M$209</f>
        <v>9.7007491172436365E-3</v>
      </c>
      <c r="P146" s="1"/>
    </row>
    <row r="147" spans="1:16" s="28" customFormat="1" hidden="1" outlineLevel="1" x14ac:dyDescent="0.3">
      <c r="A147" s="29" t="s">
        <v>47</v>
      </c>
      <c r="B147" s="32"/>
      <c r="C147" s="20">
        <f>+[5]General!$D$47</f>
        <v>16410261</v>
      </c>
      <c r="D147" s="17"/>
      <c r="E147" s="17"/>
      <c r="F147" s="17"/>
      <c r="G147" s="17"/>
      <c r="H147" s="21">
        <f>+B147+C147+D147+G147+E147+F147</f>
        <v>16410261</v>
      </c>
      <c r="I147" s="17"/>
      <c r="J147" s="20">
        <f>+H147+I147</f>
        <v>16410261</v>
      </c>
      <c r="K147" s="20"/>
      <c r="L147" s="20">
        <v>-3197040</v>
      </c>
      <c r="M147" s="20">
        <f>+J147+K147+L147</f>
        <v>13213221</v>
      </c>
      <c r="N147" s="22">
        <f>+M147/$M$209</f>
        <v>2.3441544521209595E-4</v>
      </c>
      <c r="P147" s="1"/>
    </row>
    <row r="148" spans="1:16" s="28" customFormat="1" hidden="1" outlineLevel="1" x14ac:dyDescent="0.3">
      <c r="A148" s="29" t="s">
        <v>46</v>
      </c>
      <c r="B148" s="32"/>
      <c r="C148" s="20">
        <f>+[5]General!$D$48</f>
        <v>567259825.34399998</v>
      </c>
      <c r="D148" s="17"/>
      <c r="E148" s="17"/>
      <c r="F148" s="17"/>
      <c r="G148" s="17"/>
      <c r="H148" s="21">
        <f>+B148+C148+D148+G148+E148+F148</f>
        <v>567259825.34399998</v>
      </c>
      <c r="I148" s="17"/>
      <c r="J148" s="20">
        <f>+H148+I148</f>
        <v>567259825.34399998</v>
      </c>
      <c r="K148" s="20"/>
      <c r="L148" s="20">
        <v>-150248720</v>
      </c>
      <c r="M148" s="20">
        <f>+J148+K148+L148</f>
        <v>417011105.34399998</v>
      </c>
      <c r="N148" s="22">
        <f>+M148/$M$209</f>
        <v>7.3981842820612775E-3</v>
      </c>
      <c r="P148" s="1"/>
    </row>
    <row r="149" spans="1:16" s="28" customFormat="1" hidden="1" outlineLevel="1" x14ac:dyDescent="0.3">
      <c r="A149" s="29" t="s">
        <v>45</v>
      </c>
      <c r="B149" s="32"/>
      <c r="C149" s="20">
        <f>+[5]General!$D$49</f>
        <v>157824629.26199999</v>
      </c>
      <c r="D149" s="17"/>
      <c r="E149" s="17"/>
      <c r="F149" s="17"/>
      <c r="G149" s="17"/>
      <c r="H149" s="21">
        <f>+B149+C149+D149+G149+E149+F149</f>
        <v>157824629.26199999</v>
      </c>
      <c r="I149" s="17"/>
      <c r="J149" s="20">
        <f>+H149+I149</f>
        <v>157824629.26199999</v>
      </c>
      <c r="K149" s="20"/>
      <c r="L149" s="20">
        <v>-41249909</v>
      </c>
      <c r="M149" s="20">
        <f>+J149+K149+L149</f>
        <v>116574720.26199999</v>
      </c>
      <c r="N149" s="22">
        <f>+M149/$M$209</f>
        <v>2.0681493899702631E-3</v>
      </c>
      <c r="P149" s="1"/>
    </row>
    <row r="150" spans="1:16" s="28" customFormat="1" collapsed="1" x14ac:dyDescent="0.3">
      <c r="A150" s="29"/>
      <c r="B150" s="32"/>
      <c r="C150" s="17"/>
      <c r="D150" s="17"/>
      <c r="E150" s="17"/>
      <c r="F150" s="17"/>
      <c r="G150" s="17"/>
      <c r="H150" s="21"/>
      <c r="I150" s="17"/>
      <c r="J150" s="20"/>
      <c r="K150" s="20"/>
      <c r="L150" s="20"/>
      <c r="M150" s="20"/>
      <c r="N150" s="22"/>
      <c r="P150" s="1"/>
    </row>
    <row r="151" spans="1:16" s="28" customFormat="1" x14ac:dyDescent="0.3">
      <c r="A151" s="30" t="s">
        <v>44</v>
      </c>
      <c r="B151" s="32"/>
      <c r="C151" s="17"/>
      <c r="D151" s="17">
        <f>+D152+D156+D170</f>
        <v>3213870720.3852186</v>
      </c>
      <c r="E151" s="17"/>
      <c r="F151" s="17"/>
      <c r="G151" s="17"/>
      <c r="H151" s="18">
        <f>+H152+H156+H170</f>
        <v>3213870720.3852186</v>
      </c>
      <c r="I151" s="17"/>
      <c r="J151" s="17">
        <f>+H151+I151</f>
        <v>3213870720.3852186</v>
      </c>
      <c r="K151" s="17">
        <f>+K152+K156</f>
        <v>0</v>
      </c>
      <c r="L151" s="17">
        <f>+L152+L156+L170</f>
        <v>-806499503</v>
      </c>
      <c r="M151" s="17">
        <f>+J151+K151+L151</f>
        <v>2407371217.3852186</v>
      </c>
      <c r="N151" s="16">
        <f>+M151/$M$209</f>
        <v>4.2709116551834063E-2</v>
      </c>
      <c r="P151" s="1"/>
    </row>
    <row r="152" spans="1:16" s="28" customFormat="1" x14ac:dyDescent="0.3">
      <c r="A152" s="30" t="s">
        <v>43</v>
      </c>
      <c r="B152" s="17"/>
      <c r="C152" s="17"/>
      <c r="D152" s="17">
        <f>SUM(D153:D155)</f>
        <v>1212317076.3008168</v>
      </c>
      <c r="E152" s="17"/>
      <c r="F152" s="17"/>
      <c r="G152" s="17"/>
      <c r="H152" s="18">
        <f>SUM(H153:H155)</f>
        <v>1212317076.3008168</v>
      </c>
      <c r="I152" s="17"/>
      <c r="J152" s="17">
        <f>SUM(J153:J155)</f>
        <v>1212317076.3008168</v>
      </c>
      <c r="K152" s="17">
        <f>SUM(K153:K155)</f>
        <v>0</v>
      </c>
      <c r="L152" s="17">
        <f>SUM(L153:L155)</f>
        <v>-363649503</v>
      </c>
      <c r="M152" s="17">
        <f>+J152+K152+L152</f>
        <v>848667573.30081677</v>
      </c>
      <c r="N152" s="16">
        <f>+M152/$M$209</f>
        <v>1.5056191600244939E-2</v>
      </c>
      <c r="P152" s="1"/>
    </row>
    <row r="153" spans="1:16" s="28" customFormat="1" hidden="1" outlineLevel="1" x14ac:dyDescent="0.3">
      <c r="A153" s="29" t="s">
        <v>42</v>
      </c>
      <c r="B153" s="17"/>
      <c r="C153" s="17"/>
      <c r="D153" s="20">
        <f>+[3]General!$E$18</f>
        <v>1159544000</v>
      </c>
      <c r="E153" s="17"/>
      <c r="F153" s="17"/>
      <c r="G153" s="17"/>
      <c r="H153" s="21">
        <f>+B153+C153+D153+G153+E153+F153</f>
        <v>1159544000</v>
      </c>
      <c r="I153" s="17"/>
      <c r="J153" s="20">
        <f>+H153+I153</f>
        <v>1159544000</v>
      </c>
      <c r="K153" s="20"/>
      <c r="L153" s="20">
        <f>-455044000+40000000+90000000</f>
        <v>-325044000</v>
      </c>
      <c r="M153" s="20">
        <f>+J153+K153+L153</f>
        <v>834500000</v>
      </c>
      <c r="N153" s="22">
        <f>+M153/$M$209</f>
        <v>1.4804845013149636E-2</v>
      </c>
      <c r="P153" s="1"/>
    </row>
    <row r="154" spans="1:16" s="28" customFormat="1" hidden="1" outlineLevel="1" x14ac:dyDescent="0.3">
      <c r="A154" s="29" t="s">
        <v>41</v>
      </c>
      <c r="B154" s="17"/>
      <c r="C154" s="17"/>
      <c r="D154" s="20">
        <f>+[3]General!$E$19</f>
        <v>20367573</v>
      </c>
      <c r="E154" s="17"/>
      <c r="F154" s="17"/>
      <c r="G154" s="17"/>
      <c r="H154" s="21">
        <f>+B154+C154+D154+G154+E154+F154</f>
        <v>20367573</v>
      </c>
      <c r="I154" s="17"/>
      <c r="J154" s="20">
        <f>+H154+I154</f>
        <v>20367573</v>
      </c>
      <c r="K154" s="20"/>
      <c r="L154" s="20">
        <v>-6200000</v>
      </c>
      <c r="M154" s="20">
        <f>+J154+K154+L154</f>
        <v>14167573</v>
      </c>
      <c r="N154" s="22">
        <f>+M154/$M$209</f>
        <v>2.5134658175851821E-4</v>
      </c>
      <c r="P154" s="1"/>
    </row>
    <row r="155" spans="1:16" s="28" customFormat="1" hidden="1" outlineLevel="1" x14ac:dyDescent="0.3">
      <c r="A155" s="29" t="s">
        <v>40</v>
      </c>
      <c r="B155" s="17"/>
      <c r="C155" s="17"/>
      <c r="D155" s="20">
        <f>+[3]General!$E$20</f>
        <v>32405503.3008168</v>
      </c>
      <c r="E155" s="17"/>
      <c r="F155" s="17"/>
      <c r="G155" s="17"/>
      <c r="H155" s="21">
        <f>+B155+C155+D155+G155+E155+F155</f>
        <v>32405503.3008168</v>
      </c>
      <c r="I155" s="17"/>
      <c r="J155" s="20">
        <f>+H155+I155</f>
        <v>32405503.3008168</v>
      </c>
      <c r="K155" s="20"/>
      <c r="L155" s="20">
        <v>-32405503</v>
      </c>
      <c r="M155" s="20">
        <f>+J155+K155+L155</f>
        <v>0.30081680044531822</v>
      </c>
      <c r="N155" s="22">
        <f>+M155/$M$209</f>
        <v>5.3367838321683633E-12</v>
      </c>
      <c r="P155" s="1"/>
    </row>
    <row r="156" spans="1:16" s="28" customFormat="1" collapsed="1" x14ac:dyDescent="0.3">
      <c r="A156" s="30" t="s">
        <v>39</v>
      </c>
      <c r="B156" s="17"/>
      <c r="C156" s="17"/>
      <c r="D156" s="17">
        <f>+D157+D164</f>
        <v>1024198755.2</v>
      </c>
      <c r="E156" s="17"/>
      <c r="F156" s="17"/>
      <c r="G156" s="17"/>
      <c r="H156" s="18">
        <f>+H157+H164</f>
        <v>1024198755.2</v>
      </c>
      <c r="I156" s="17"/>
      <c r="J156" s="17">
        <f>+J157+J164</f>
        <v>1024198755.2</v>
      </c>
      <c r="K156" s="17">
        <f>+K157+K164</f>
        <v>0</v>
      </c>
      <c r="L156" s="17">
        <f>+L157+L164</f>
        <v>-582850000</v>
      </c>
      <c r="M156" s="17">
        <f>+J156+K156+L156</f>
        <v>441348755.20000005</v>
      </c>
      <c r="N156" s="16">
        <f>+M156/$M$209</f>
        <v>7.8299579598352549E-3</v>
      </c>
      <c r="P156" s="1"/>
    </row>
    <row r="157" spans="1:16" s="28" customFormat="1" hidden="1" outlineLevel="1" x14ac:dyDescent="0.3">
      <c r="A157" s="30" t="s">
        <v>38</v>
      </c>
      <c r="B157" s="17"/>
      <c r="C157" s="17"/>
      <c r="D157" s="17">
        <f>SUM(D158:D163)</f>
        <v>613832117.20000005</v>
      </c>
      <c r="E157" s="17"/>
      <c r="F157" s="17"/>
      <c r="G157" s="17"/>
      <c r="H157" s="18">
        <f>SUM(H158:H163)</f>
        <v>613832117.20000005</v>
      </c>
      <c r="I157" s="17"/>
      <c r="J157" s="17">
        <f>SUM(J158:J163)</f>
        <v>613832117.20000005</v>
      </c>
      <c r="K157" s="17">
        <f>SUM(K158:K163)</f>
        <v>0</v>
      </c>
      <c r="L157" s="17">
        <f>SUM(L158:L163)</f>
        <v>-391330000</v>
      </c>
      <c r="M157" s="17">
        <f>+J157+K157+L157</f>
        <v>222502117.20000005</v>
      </c>
      <c r="N157" s="16">
        <f>+M157/$M$209</f>
        <v>3.9474048654807147E-3</v>
      </c>
      <c r="P157" s="1"/>
    </row>
    <row r="158" spans="1:16" s="28" customFormat="1" hidden="1" outlineLevel="2" x14ac:dyDescent="0.3">
      <c r="A158" s="29" t="str">
        <f>+[4]Hoja1!$A$23</f>
        <v>Gira técnica</v>
      </c>
      <c r="B158" s="17"/>
      <c r="C158" s="17"/>
      <c r="D158" s="20">
        <f>+[3]General!$E$24</f>
        <v>36330000</v>
      </c>
      <c r="E158" s="17"/>
      <c r="F158" s="17"/>
      <c r="G158" s="17"/>
      <c r="H158" s="21">
        <f>+B158+C158+D158+G158+E158+F158</f>
        <v>36330000</v>
      </c>
      <c r="I158" s="17"/>
      <c r="J158" s="20">
        <f>+H158+I158</f>
        <v>36330000</v>
      </c>
      <c r="K158" s="20"/>
      <c r="L158" s="20">
        <v>-36330000</v>
      </c>
      <c r="M158" s="20">
        <f>+J158+K158+L158</f>
        <v>0</v>
      </c>
      <c r="N158" s="22">
        <f>+M158/$M$209</f>
        <v>0</v>
      </c>
      <c r="P158" s="1"/>
    </row>
    <row r="159" spans="1:16" s="28" customFormat="1" hidden="1" outlineLevel="2" x14ac:dyDescent="0.3">
      <c r="A159" s="29" t="str">
        <f>+[4]Hoja1!$A$28</f>
        <v>Campus virtual</v>
      </c>
      <c r="B159" s="17"/>
      <c r="C159" s="17"/>
      <c r="D159" s="20">
        <f>+[3]General!$E$26</f>
        <v>52500000</v>
      </c>
      <c r="E159" s="17"/>
      <c r="F159" s="17"/>
      <c r="G159" s="17"/>
      <c r="H159" s="21">
        <f>+B159+C159+D159+G159+E159+F159</f>
        <v>52500000</v>
      </c>
      <c r="I159" s="17"/>
      <c r="J159" s="20">
        <f>+H159+I159</f>
        <v>52500000</v>
      </c>
      <c r="K159" s="20"/>
      <c r="L159" s="20"/>
      <c r="M159" s="20">
        <f>+J159+K159+L159</f>
        <v>52500000</v>
      </c>
      <c r="N159" s="22">
        <f>+M159/$M$209</f>
        <v>9.3140127404476442E-4</v>
      </c>
      <c r="P159" s="1"/>
    </row>
    <row r="160" spans="1:16" s="28" customFormat="1" hidden="1" outlineLevel="2" x14ac:dyDescent="0.3">
      <c r="A160" s="29" t="str">
        <f>+[4]Hoja1!$A$30</f>
        <v>Encuentros regionales porcicolas</v>
      </c>
      <c r="B160" s="17"/>
      <c r="C160" s="17"/>
      <c r="D160" s="20">
        <f>+[3]General!$E$27</f>
        <v>185002117.19999999</v>
      </c>
      <c r="E160" s="17"/>
      <c r="F160" s="17"/>
      <c r="G160" s="17"/>
      <c r="H160" s="21">
        <f>+B160+C160+D160+G160+E160+F160</f>
        <v>185002117.19999999</v>
      </c>
      <c r="I160" s="17"/>
      <c r="J160" s="20">
        <f>+H160+I160</f>
        <v>185002117.19999999</v>
      </c>
      <c r="K160" s="20"/>
      <c r="L160" s="20">
        <v>-100000000</v>
      </c>
      <c r="M160" s="20">
        <f>+J160+K160+L160</f>
        <v>85002117.199999988</v>
      </c>
      <c r="N160" s="22">
        <f>+M160/$M$209</f>
        <v>1.5080205763158547E-3</v>
      </c>
      <c r="P160" s="1"/>
    </row>
    <row r="161" spans="1:16" s="28" customFormat="1" hidden="1" outlineLevel="2" x14ac:dyDescent="0.3">
      <c r="A161" s="29" t="s">
        <v>37</v>
      </c>
      <c r="B161" s="17"/>
      <c r="C161" s="17"/>
      <c r="D161" s="20">
        <f>+[3]General!$E$29</f>
        <v>150000000</v>
      </c>
      <c r="E161" s="17"/>
      <c r="F161" s="17"/>
      <c r="G161" s="17"/>
      <c r="H161" s="21">
        <f>+B161+C161+D161+G161+E161+F161</f>
        <v>150000000</v>
      </c>
      <c r="I161" s="17"/>
      <c r="J161" s="20">
        <f>+H161+I161</f>
        <v>150000000</v>
      </c>
      <c r="K161" s="20"/>
      <c r="L161" s="20">
        <v>-115000000</v>
      </c>
      <c r="M161" s="20">
        <f>+J161+K161+L161</f>
        <v>35000000</v>
      </c>
      <c r="N161" s="22">
        <f>+M161/$M$209</f>
        <v>6.2093418269650968E-4</v>
      </c>
      <c r="P161" s="1"/>
    </row>
    <row r="162" spans="1:16" s="28" customFormat="1" hidden="1" outlineLevel="2" x14ac:dyDescent="0.3">
      <c r="A162" s="29" t="s">
        <v>36</v>
      </c>
      <c r="B162" s="17"/>
      <c r="C162" s="17"/>
      <c r="D162" s="20">
        <f>+[3]General!$E$31</f>
        <v>150000000</v>
      </c>
      <c r="E162" s="17"/>
      <c r="F162" s="17"/>
      <c r="G162" s="17"/>
      <c r="H162" s="21">
        <f>+B162+C162+D162+G162+E162+F162</f>
        <v>150000000</v>
      </c>
      <c r="I162" s="17"/>
      <c r="J162" s="20">
        <f>+H162+I162</f>
        <v>150000000</v>
      </c>
      <c r="K162" s="20"/>
      <c r="L162" s="20">
        <v>-100000000</v>
      </c>
      <c r="M162" s="20">
        <f>+J162+K162+L162</f>
        <v>50000000</v>
      </c>
      <c r="N162" s="22">
        <f>+M162/$M$209</f>
        <v>8.8704883242358523E-4</v>
      </c>
      <c r="P162" s="1"/>
    </row>
    <row r="163" spans="1:16" s="28" customFormat="1" hidden="1" outlineLevel="2" x14ac:dyDescent="0.3">
      <c r="A163" s="29" t="s">
        <v>35</v>
      </c>
      <c r="B163" s="17"/>
      <c r="C163" s="17"/>
      <c r="D163" s="20">
        <f>+[3]General!$E$34</f>
        <v>40000000</v>
      </c>
      <c r="E163" s="17"/>
      <c r="F163" s="17"/>
      <c r="G163" s="17"/>
      <c r="H163" s="21">
        <f>+B163+C163+D163+G163+E163+F163</f>
        <v>40000000</v>
      </c>
      <c r="I163" s="17"/>
      <c r="J163" s="20">
        <f>+H163+I163</f>
        <v>40000000</v>
      </c>
      <c r="K163" s="20"/>
      <c r="L163" s="20">
        <v>-40000000</v>
      </c>
      <c r="M163" s="20">
        <f>+J163+K163+L163</f>
        <v>0</v>
      </c>
      <c r="N163" s="22">
        <f>+M163/$M$209</f>
        <v>0</v>
      </c>
      <c r="P163" s="1"/>
    </row>
    <row r="164" spans="1:16" s="28" customFormat="1" hidden="1" outlineLevel="1" x14ac:dyDescent="0.3">
      <c r="A164" s="30" t="s">
        <v>34</v>
      </c>
      <c r="B164" s="17"/>
      <c r="C164" s="17"/>
      <c r="D164" s="17">
        <f>SUM(D165:D169)</f>
        <v>410366638</v>
      </c>
      <c r="E164" s="17"/>
      <c r="F164" s="17"/>
      <c r="G164" s="17"/>
      <c r="H164" s="18">
        <f>SUM(H165:H169)</f>
        <v>410366638</v>
      </c>
      <c r="I164" s="17"/>
      <c r="J164" s="17">
        <f>SUM(J165:J169)</f>
        <v>410366638</v>
      </c>
      <c r="K164" s="17">
        <f>SUM(K165:K169)</f>
        <v>0</v>
      </c>
      <c r="L164" s="17">
        <f>SUM(L165:L169)</f>
        <v>-191520000</v>
      </c>
      <c r="M164" s="17">
        <f>+J164+K164+L164</f>
        <v>218846638</v>
      </c>
      <c r="N164" s="16">
        <f>+M164/$M$209</f>
        <v>3.8825530943545402E-3</v>
      </c>
      <c r="P164" s="1"/>
    </row>
    <row r="165" spans="1:16" s="28" customFormat="1" hidden="1" outlineLevel="2" x14ac:dyDescent="0.3">
      <c r="A165" s="29" t="s">
        <v>33</v>
      </c>
      <c r="B165" s="17"/>
      <c r="C165" s="17"/>
      <c r="D165" s="20">
        <f>+[3]General!$E$36</f>
        <v>41520000</v>
      </c>
      <c r="E165" s="17"/>
      <c r="F165" s="17"/>
      <c r="G165" s="17"/>
      <c r="H165" s="21">
        <f>+B165+C165+D165+G165+E165+F165</f>
        <v>41520000</v>
      </c>
      <c r="I165" s="17"/>
      <c r="J165" s="20">
        <f>+H165+I165</f>
        <v>41520000</v>
      </c>
      <c r="K165" s="20"/>
      <c r="L165" s="20">
        <v>-41520000</v>
      </c>
      <c r="M165" s="20">
        <f>+J165+K165+L165</f>
        <v>0</v>
      </c>
      <c r="N165" s="22">
        <f>+M165/$M$209</f>
        <v>0</v>
      </c>
      <c r="P165" s="1"/>
    </row>
    <row r="166" spans="1:16" s="28" customFormat="1" hidden="1" outlineLevel="2" x14ac:dyDescent="0.3">
      <c r="A166" s="31" t="s">
        <v>32</v>
      </c>
      <c r="B166" s="17"/>
      <c r="C166" s="17"/>
      <c r="D166" s="20">
        <f>+[3]General!$E$38</f>
        <v>30000000</v>
      </c>
      <c r="E166" s="17"/>
      <c r="F166" s="17"/>
      <c r="G166" s="17"/>
      <c r="H166" s="21">
        <f>+B166+C166+D166+G166+E166+F166</f>
        <v>30000000</v>
      </c>
      <c r="I166" s="17"/>
      <c r="J166" s="20">
        <f>+H166+I166</f>
        <v>30000000</v>
      </c>
      <c r="K166" s="20"/>
      <c r="L166" s="20"/>
      <c r="M166" s="20">
        <f>+J166+K166+L166</f>
        <v>30000000</v>
      </c>
      <c r="N166" s="22">
        <f>+M166/$M$209</f>
        <v>5.3222929945415109E-4</v>
      </c>
      <c r="P166" s="1"/>
    </row>
    <row r="167" spans="1:16" s="28" customFormat="1" hidden="1" outlineLevel="2" x14ac:dyDescent="0.3">
      <c r="A167" s="31" t="s">
        <v>31</v>
      </c>
      <c r="B167" s="17"/>
      <c r="C167" s="17"/>
      <c r="D167" s="20">
        <f>+[3]General!$E$39</f>
        <v>30000000</v>
      </c>
      <c r="E167" s="17"/>
      <c r="F167" s="17"/>
      <c r="G167" s="17"/>
      <c r="H167" s="21">
        <f>+B167+C167+D167+G167+E167+F167</f>
        <v>30000000</v>
      </c>
      <c r="I167" s="17"/>
      <c r="J167" s="20">
        <f>+H167+I167</f>
        <v>30000000</v>
      </c>
      <c r="K167" s="20"/>
      <c r="L167" s="20"/>
      <c r="M167" s="20">
        <f>+J167+K167+L167</f>
        <v>30000000</v>
      </c>
      <c r="N167" s="22">
        <f>+M167/$M$209</f>
        <v>5.3222929945415109E-4</v>
      </c>
      <c r="P167" s="1"/>
    </row>
    <row r="168" spans="1:16" s="28" customFormat="1" hidden="1" outlineLevel="2" x14ac:dyDescent="0.3">
      <c r="A168" s="31" t="s">
        <v>30</v>
      </c>
      <c r="B168" s="17"/>
      <c r="C168" s="17"/>
      <c r="D168" s="20">
        <f>+[3]General!$E$40</f>
        <v>100000000</v>
      </c>
      <c r="E168" s="17"/>
      <c r="F168" s="17"/>
      <c r="G168" s="17"/>
      <c r="H168" s="21">
        <f>+B168+C168+D168+G168+E168+F168</f>
        <v>100000000</v>
      </c>
      <c r="I168" s="17"/>
      <c r="J168" s="20">
        <f>+H168+I168</f>
        <v>100000000</v>
      </c>
      <c r="K168" s="20"/>
      <c r="L168" s="20">
        <v>-100000000</v>
      </c>
      <c r="M168" s="20">
        <f>+J168+K168+L168</f>
        <v>0</v>
      </c>
      <c r="N168" s="22">
        <f>+M168/$M$209</f>
        <v>0</v>
      </c>
      <c r="P168" s="1"/>
    </row>
    <row r="169" spans="1:16" s="28" customFormat="1" hidden="1" outlineLevel="2" x14ac:dyDescent="0.3">
      <c r="A169" s="29" t="s">
        <v>29</v>
      </c>
      <c r="B169" s="17"/>
      <c r="C169" s="17"/>
      <c r="D169" s="20">
        <f>+[3]General!$E$41</f>
        <v>208846638</v>
      </c>
      <c r="E169" s="17"/>
      <c r="F169" s="17"/>
      <c r="G169" s="17"/>
      <c r="H169" s="21">
        <f>+B169+C169+D169+G169+E169+F169</f>
        <v>208846638</v>
      </c>
      <c r="I169" s="17"/>
      <c r="J169" s="20">
        <f>+H169+I169</f>
        <v>208846638</v>
      </c>
      <c r="K169" s="20"/>
      <c r="L169" s="20">
        <v>-50000000</v>
      </c>
      <c r="M169" s="20">
        <f>+J169+K169+L169</f>
        <v>158846638</v>
      </c>
      <c r="N169" s="22">
        <f>+M169/$M$209</f>
        <v>2.818094495446238E-3</v>
      </c>
      <c r="P169" s="1"/>
    </row>
    <row r="170" spans="1:16" s="28" customFormat="1" collapsed="1" x14ac:dyDescent="0.3">
      <c r="A170" s="30" t="s">
        <v>28</v>
      </c>
      <c r="B170" s="17"/>
      <c r="C170" s="17"/>
      <c r="D170" s="17">
        <f>+D171+D175+D179+D180</f>
        <v>977354888.88440204</v>
      </c>
      <c r="E170" s="17"/>
      <c r="F170" s="17"/>
      <c r="G170" s="17"/>
      <c r="H170" s="18">
        <f>+H171+H175+H179+H180</f>
        <v>977354888.88440204</v>
      </c>
      <c r="I170" s="17"/>
      <c r="J170" s="17">
        <f>+J171+J175+J179+J180</f>
        <v>977354888.88440204</v>
      </c>
      <c r="K170" s="17">
        <f>+K171+K175+K179+K180</f>
        <v>0</v>
      </c>
      <c r="L170" s="17">
        <f>+L171+L175+L179+L180</f>
        <v>140000000</v>
      </c>
      <c r="M170" s="17">
        <f>+J170+K170+L170</f>
        <v>1117354888.884402</v>
      </c>
      <c r="N170" s="16">
        <f>+M170/$M$209</f>
        <v>1.9822966991753871E-2</v>
      </c>
      <c r="P170" s="1"/>
    </row>
    <row r="171" spans="1:16" s="28" customFormat="1" hidden="1" outlineLevel="1" x14ac:dyDescent="0.3">
      <c r="A171" s="30" t="s">
        <v>27</v>
      </c>
      <c r="B171" s="17"/>
      <c r="C171" s="17"/>
      <c r="D171" s="17">
        <f>SUM(D172:D174)</f>
        <v>381653076.59876561</v>
      </c>
      <c r="E171" s="17"/>
      <c r="F171" s="17"/>
      <c r="G171" s="17"/>
      <c r="H171" s="18">
        <f>SUM(H172:H174)</f>
        <v>381653076.59876561</v>
      </c>
      <c r="I171" s="17"/>
      <c r="J171" s="17">
        <f>SUM(J172:J174)</f>
        <v>381653076.59876561</v>
      </c>
      <c r="K171" s="17">
        <f>SUM(K172:K174)</f>
        <v>0</v>
      </c>
      <c r="L171" s="17">
        <f>SUM(L172:L174)</f>
        <v>140000000</v>
      </c>
      <c r="M171" s="17">
        <f>+J171+K171+L171</f>
        <v>521653076.59876561</v>
      </c>
      <c r="N171" s="16">
        <f>+M171/$M$209</f>
        <v>9.2546350505421215E-3</v>
      </c>
      <c r="P171" s="1"/>
    </row>
    <row r="172" spans="1:16" s="28" customFormat="1" hidden="1" outlineLevel="2" x14ac:dyDescent="0.3">
      <c r="A172" s="29" t="s">
        <v>26</v>
      </c>
      <c r="B172" s="17"/>
      <c r="C172" s="17"/>
      <c r="D172" s="20">
        <f>+[3]General!$E$45</f>
        <v>92746507.638565615</v>
      </c>
      <c r="E172" s="17"/>
      <c r="F172" s="17"/>
      <c r="G172" s="17"/>
      <c r="H172" s="21">
        <f>+B172+C172+D172+G172+E172+F172</f>
        <v>92746507.638565615</v>
      </c>
      <c r="I172" s="17"/>
      <c r="J172" s="20">
        <f>+H172+I172</f>
        <v>92746507.638565615</v>
      </c>
      <c r="K172" s="20"/>
      <c r="L172" s="20"/>
      <c r="M172" s="20">
        <f>+J172+K172+L172</f>
        <v>92746507.638565615</v>
      </c>
      <c r="N172" s="22">
        <f>+M172/$M$209</f>
        <v>1.645413626243095E-3</v>
      </c>
      <c r="P172" s="1"/>
    </row>
    <row r="173" spans="1:16" s="28" customFormat="1" hidden="1" outlineLevel="2" x14ac:dyDescent="0.3">
      <c r="A173" s="29" t="str">
        <f>+[4]Hoja1!$A$43</f>
        <v>Compras de insumos</v>
      </c>
      <c r="B173" s="17"/>
      <c r="C173" s="17"/>
      <c r="D173" s="20">
        <f>+[3]General!$E$46</f>
        <v>238740000</v>
      </c>
      <c r="E173" s="17"/>
      <c r="F173" s="17"/>
      <c r="G173" s="17"/>
      <c r="H173" s="21">
        <f>+B173+C173+D173+G173+E173+F173</f>
        <v>238740000</v>
      </c>
      <c r="I173" s="17"/>
      <c r="J173" s="20">
        <f>+H173+I173</f>
        <v>238740000</v>
      </c>
      <c r="K173" s="20"/>
      <c r="L173" s="20">
        <v>140000000</v>
      </c>
      <c r="M173" s="20">
        <f>+J173+K173+L173</f>
        <v>378740000</v>
      </c>
      <c r="N173" s="22">
        <f>+M173/$M$209</f>
        <v>6.7192174958421733E-3</v>
      </c>
      <c r="P173" s="1"/>
    </row>
    <row r="174" spans="1:16" s="28" customFormat="1" hidden="1" outlineLevel="2" x14ac:dyDescent="0.3">
      <c r="A174" s="29" t="str">
        <f>+[4]Hoja1!$A$44</f>
        <v>Diagnóstico importados</v>
      </c>
      <c r="B174" s="17"/>
      <c r="C174" s="17"/>
      <c r="D174" s="20">
        <f>+[3]General!$E$47</f>
        <v>50166568.960199997</v>
      </c>
      <c r="E174" s="17"/>
      <c r="F174" s="17"/>
      <c r="G174" s="17"/>
      <c r="H174" s="21">
        <f>+B174+C174+D174+G174+E174+F174</f>
        <v>50166568.960199997</v>
      </c>
      <c r="I174" s="17"/>
      <c r="J174" s="20">
        <f>+H174+I174</f>
        <v>50166568.960199997</v>
      </c>
      <c r="K174" s="20"/>
      <c r="L174" s="20"/>
      <c r="M174" s="20">
        <f>+J174+K174+L174</f>
        <v>50166568.960199997</v>
      </c>
      <c r="N174" s="22">
        <f>+M174/$M$209</f>
        <v>8.900039284568535E-4</v>
      </c>
      <c r="P174" s="1"/>
    </row>
    <row r="175" spans="1:16" s="28" customFormat="1" hidden="1" outlineLevel="1" x14ac:dyDescent="0.3">
      <c r="A175" s="30" t="s">
        <v>25</v>
      </c>
      <c r="B175" s="17"/>
      <c r="C175" s="17"/>
      <c r="D175" s="17">
        <f>SUM(D176:D178)</f>
        <v>408251188.36869544</v>
      </c>
      <c r="E175" s="17"/>
      <c r="F175" s="17"/>
      <c r="G175" s="17"/>
      <c r="H175" s="18">
        <f>SUM(H176:H178)</f>
        <v>408251188.36869544</v>
      </c>
      <c r="I175" s="17"/>
      <c r="J175" s="17">
        <f>SUM(J176:J178)</f>
        <v>408251188.36869544</v>
      </c>
      <c r="K175" s="17">
        <f>SUM(K176:K178)</f>
        <v>0</v>
      </c>
      <c r="L175" s="17">
        <f>SUM(L176:L178)</f>
        <v>0</v>
      </c>
      <c r="M175" s="17">
        <f>+J175+K175+L175</f>
        <v>408251188.36869544</v>
      </c>
      <c r="N175" s="16">
        <f>+M175/$M$209</f>
        <v>7.2427747995598485E-3</v>
      </c>
      <c r="P175" s="1"/>
    </row>
    <row r="176" spans="1:16" s="28" customFormat="1" hidden="1" outlineLevel="2" x14ac:dyDescent="0.3">
      <c r="A176" s="29" t="s">
        <v>24</v>
      </c>
      <c r="B176" s="17"/>
      <c r="C176" s="17"/>
      <c r="D176" s="20">
        <f>+[3]General!$E$49</f>
        <v>363342506.34610748</v>
      </c>
      <c r="E176" s="17"/>
      <c r="F176" s="17"/>
      <c r="G176" s="17"/>
      <c r="H176" s="21">
        <f>+B176+C176+D176+G176+E176+F176</f>
        <v>363342506.34610748</v>
      </c>
      <c r="I176" s="17"/>
      <c r="J176" s="20">
        <f>+H176+I176</f>
        <v>363342506.34610748</v>
      </c>
      <c r="K176" s="20"/>
      <c r="L176" s="20"/>
      <c r="M176" s="20">
        <f>+J176+K176+L176</f>
        <v>363342506.34610748</v>
      </c>
      <c r="N176" s="22">
        <f>+M176/$M$209</f>
        <v>6.4460509204834751E-3</v>
      </c>
      <c r="P176" s="1"/>
    </row>
    <row r="177" spans="1:16" s="28" customFormat="1" hidden="1" outlineLevel="2" x14ac:dyDescent="0.3">
      <c r="A177" s="29" t="str">
        <f>+[4]Hoja1!$A$50</f>
        <v>Pruebas interlaboratorios</v>
      </c>
      <c r="B177" s="17"/>
      <c r="C177" s="17"/>
      <c r="D177" s="20">
        <f>+[3]General!$E$50</f>
        <v>28729277.177999999</v>
      </c>
      <c r="E177" s="20"/>
      <c r="F177" s="20"/>
      <c r="G177" s="20"/>
      <c r="H177" s="21">
        <f>+B177+C177+D177+G177+E177+F177</f>
        <v>28729277.177999999</v>
      </c>
      <c r="I177" s="20"/>
      <c r="J177" s="20">
        <f>+H177+I177</f>
        <v>28729277.177999999</v>
      </c>
      <c r="K177" s="20"/>
      <c r="L177" s="20"/>
      <c r="M177" s="20">
        <f>+J177+K177+L177</f>
        <v>28729277.177999999</v>
      </c>
      <c r="N177" s="22">
        <f>+M177/$M$209</f>
        <v>5.0968543554236905E-4</v>
      </c>
      <c r="P177" s="1"/>
    </row>
    <row r="178" spans="1:16" s="28" customFormat="1" hidden="1" outlineLevel="2" x14ac:dyDescent="0.3">
      <c r="A178" s="29" t="str">
        <f>+[4]Hoja1!$A$51</f>
        <v>Promoción al diagnóstico</v>
      </c>
      <c r="B178" s="17"/>
      <c r="C178" s="17"/>
      <c r="D178" s="20">
        <f>+[3]General!$E$51</f>
        <v>16179404.844588</v>
      </c>
      <c r="E178" s="20"/>
      <c r="F178" s="20"/>
      <c r="G178" s="20"/>
      <c r="H178" s="21">
        <f>+B178+C178+D178+G178+E178+F178</f>
        <v>16179404.844588</v>
      </c>
      <c r="I178" s="20"/>
      <c r="J178" s="20">
        <f>+H178+I178</f>
        <v>16179404.844588</v>
      </c>
      <c r="K178" s="20"/>
      <c r="L178" s="20"/>
      <c r="M178" s="20">
        <f>+J178+K178+L178</f>
        <v>16179404.844588</v>
      </c>
      <c r="N178" s="22">
        <f>+M178/$M$209</f>
        <v>2.8703844353400568E-4</v>
      </c>
      <c r="P178" s="1"/>
    </row>
    <row r="179" spans="1:16" s="28" customFormat="1" hidden="1" outlineLevel="1" x14ac:dyDescent="0.3">
      <c r="A179" s="30" t="str">
        <f>+[4]Hoja1!$A$52</f>
        <v>Inocuidad y ambiente</v>
      </c>
      <c r="B179" s="17"/>
      <c r="C179" s="17"/>
      <c r="D179" s="17">
        <f>+[3]General!$E$52</f>
        <v>31511800.876940999</v>
      </c>
      <c r="E179" s="17"/>
      <c r="F179" s="17"/>
      <c r="G179" s="17"/>
      <c r="H179" s="18">
        <f>+B179+C179+D179+G179+E179+F179</f>
        <v>31511800.876940999</v>
      </c>
      <c r="I179" s="17"/>
      <c r="J179" s="17">
        <f>+H179+I179</f>
        <v>31511800.876940999</v>
      </c>
      <c r="K179" s="17"/>
      <c r="L179" s="17"/>
      <c r="M179" s="17">
        <f>+J179+K179+L179</f>
        <v>31511800.876940999</v>
      </c>
      <c r="N179" s="16">
        <f>+M179/$M$209</f>
        <v>5.5905012350910047E-4</v>
      </c>
      <c r="P179" s="1"/>
    </row>
    <row r="180" spans="1:16" s="28" customFormat="1" hidden="1" outlineLevel="1" x14ac:dyDescent="0.3">
      <c r="A180" s="30" t="s">
        <v>23</v>
      </c>
      <c r="B180" s="17"/>
      <c r="C180" s="17"/>
      <c r="D180" s="17">
        <f>+[3]General!$E$53</f>
        <v>155938823.03999999</v>
      </c>
      <c r="E180" s="17"/>
      <c r="F180" s="17"/>
      <c r="G180" s="17"/>
      <c r="H180" s="18">
        <f>+B180+C180+D180+G180+E180+F180</f>
        <v>155938823.03999999</v>
      </c>
      <c r="I180" s="17"/>
      <c r="J180" s="17">
        <f>+H180+I180</f>
        <v>155938823.03999999</v>
      </c>
      <c r="K180" s="17"/>
      <c r="L180" s="17"/>
      <c r="M180" s="17">
        <f>+J180+K180+L180</f>
        <v>155938823.03999999</v>
      </c>
      <c r="N180" s="16">
        <f>+M180/$M$209</f>
        <v>2.7665070181428011E-3</v>
      </c>
      <c r="P180" s="1"/>
    </row>
    <row r="181" spans="1:16" s="28" customFormat="1" collapsed="1" x14ac:dyDescent="0.3">
      <c r="A181" s="29"/>
      <c r="B181" s="17"/>
      <c r="C181" s="17"/>
      <c r="D181" s="17"/>
      <c r="E181" s="17"/>
      <c r="F181" s="17"/>
      <c r="G181" s="17"/>
      <c r="H181" s="21"/>
      <c r="I181" s="17"/>
      <c r="J181" s="20"/>
      <c r="K181" s="20"/>
      <c r="L181" s="20"/>
      <c r="M181" s="20"/>
      <c r="N181" s="22"/>
      <c r="P181" s="1"/>
    </row>
    <row r="182" spans="1:16" s="28" customFormat="1" x14ac:dyDescent="0.3">
      <c r="A182" s="30" t="s">
        <v>22</v>
      </c>
      <c r="B182" s="17"/>
      <c r="C182" s="17"/>
      <c r="D182" s="17"/>
      <c r="E182" s="17">
        <f>+E183+E190</f>
        <v>1607525735</v>
      </c>
      <c r="F182" s="17"/>
      <c r="G182" s="17"/>
      <c r="H182" s="17">
        <f>+H183+H190</f>
        <v>1607525735</v>
      </c>
      <c r="I182" s="17"/>
      <c r="J182" s="17">
        <f>+J183+J190</f>
        <v>1607525735</v>
      </c>
      <c r="K182" s="17">
        <f>+K183+K190</f>
        <v>50000000</v>
      </c>
      <c r="L182" s="17">
        <f>+L183+L190</f>
        <v>-370000000</v>
      </c>
      <c r="M182" s="17">
        <f>+J182+K182+L182</f>
        <v>1287525735</v>
      </c>
      <c r="N182" s="16">
        <f>+M182/$M$209</f>
        <v>2.2841963998941367E-2</v>
      </c>
      <c r="P182" s="1"/>
    </row>
    <row r="183" spans="1:16" s="28" customFormat="1" x14ac:dyDescent="0.3">
      <c r="A183" s="30" t="s">
        <v>21</v>
      </c>
      <c r="B183" s="17"/>
      <c r="C183" s="17"/>
      <c r="D183" s="17"/>
      <c r="E183" s="17">
        <f>SUM(E184:E189)</f>
        <v>869303000</v>
      </c>
      <c r="F183" s="17"/>
      <c r="G183" s="17"/>
      <c r="H183" s="17">
        <f>SUM(H184:H189)</f>
        <v>869303000</v>
      </c>
      <c r="I183" s="17"/>
      <c r="J183" s="17">
        <f>SUM(J184:J189)</f>
        <v>869303000</v>
      </c>
      <c r="K183" s="17">
        <f>SUM(K184:K189)</f>
        <v>50000000</v>
      </c>
      <c r="L183" s="17">
        <f>SUM(L184:L189)</f>
        <v>-370000000</v>
      </c>
      <c r="M183" s="17">
        <f>+J183+K183+L183</f>
        <v>549303000</v>
      </c>
      <c r="N183" s="16">
        <f>+M183/$M$209</f>
        <v>9.745171695935452E-3</v>
      </c>
      <c r="P183" s="1"/>
    </row>
    <row r="184" spans="1:16" s="28" customFormat="1" hidden="1" outlineLevel="1" x14ac:dyDescent="0.3">
      <c r="A184" s="29" t="s">
        <v>20</v>
      </c>
      <c r="B184" s="17"/>
      <c r="C184" s="17"/>
      <c r="D184" s="17"/>
      <c r="E184" s="20">
        <f>+[2]SUPERÁVIT!$C$17</f>
        <v>213500000</v>
      </c>
      <c r="F184" s="17"/>
      <c r="G184" s="17"/>
      <c r="H184" s="21">
        <f>+B184+C184+D184+G184+E184+F184</f>
        <v>213500000</v>
      </c>
      <c r="I184" s="17"/>
      <c r="J184" s="20">
        <f>+H184+I184</f>
        <v>213500000</v>
      </c>
      <c r="K184" s="20"/>
      <c r="L184" s="20"/>
      <c r="M184" s="20">
        <f>+J184+K184+L184</f>
        <v>213500000</v>
      </c>
      <c r="N184" s="22">
        <f>+M184/$M$209</f>
        <v>3.7876985144487088E-3</v>
      </c>
      <c r="P184" s="1"/>
    </row>
    <row r="185" spans="1:16" s="28" customFormat="1" hidden="1" outlineLevel="1" x14ac:dyDescent="0.3">
      <c r="A185" s="29" t="s">
        <v>19</v>
      </c>
      <c r="B185" s="17"/>
      <c r="C185" s="17"/>
      <c r="D185" s="17"/>
      <c r="E185" s="20">
        <f>+[2]SUPERÁVIT!$C$22</f>
        <v>211803000</v>
      </c>
      <c r="F185" s="17"/>
      <c r="G185" s="17"/>
      <c r="H185" s="21">
        <f>+B185+C185+D185+G185+E185+F185</f>
        <v>211803000</v>
      </c>
      <c r="I185" s="17"/>
      <c r="J185" s="20">
        <f>+H185+I185</f>
        <v>211803000</v>
      </c>
      <c r="K185" s="20"/>
      <c r="L185" s="20"/>
      <c r="M185" s="20">
        <f>+J185+K185+L185</f>
        <v>211803000</v>
      </c>
      <c r="N185" s="22">
        <f>+M185/$M$209</f>
        <v>3.7575920770762522E-3</v>
      </c>
      <c r="P185" s="1"/>
    </row>
    <row r="186" spans="1:16" s="28" customFormat="1" hidden="1" outlineLevel="1" x14ac:dyDescent="0.3">
      <c r="A186" s="29" t="s">
        <v>18</v>
      </c>
      <c r="B186" s="17"/>
      <c r="C186" s="17"/>
      <c r="D186" s="17"/>
      <c r="E186" s="20"/>
      <c r="F186" s="17"/>
      <c r="G186" s="17"/>
      <c r="H186" s="21">
        <f>+B186+C186+D186+G186+E186+F186</f>
        <v>0</v>
      </c>
      <c r="I186" s="17"/>
      <c r="J186" s="20">
        <f>+H186+I186</f>
        <v>0</v>
      </c>
      <c r="K186" s="20">
        <v>50000000</v>
      </c>
      <c r="L186" s="20"/>
      <c r="M186" s="20">
        <f>+J186+K186+L186</f>
        <v>50000000</v>
      </c>
      <c r="N186" s="22">
        <f>+M186/$M$209</f>
        <v>8.8704883242358523E-4</v>
      </c>
      <c r="P186" s="1"/>
    </row>
    <row r="187" spans="1:16" s="28" customFormat="1" hidden="1" outlineLevel="1" x14ac:dyDescent="0.3">
      <c r="A187" s="29" t="s">
        <v>17</v>
      </c>
      <c r="B187" s="17"/>
      <c r="C187" s="17"/>
      <c r="D187" s="17"/>
      <c r="E187" s="20">
        <f>+[2]SUPERÁVIT!$C$30</f>
        <v>34000000</v>
      </c>
      <c r="F187" s="17"/>
      <c r="G187" s="17"/>
      <c r="H187" s="21">
        <f>+B187+C187+D187+G187+E187+F187</f>
        <v>34000000</v>
      </c>
      <c r="I187" s="17"/>
      <c r="J187" s="20">
        <f>+H187+I187</f>
        <v>34000000</v>
      </c>
      <c r="K187" s="20"/>
      <c r="L187" s="20"/>
      <c r="M187" s="20">
        <f>+J187+K187+L187</f>
        <v>34000000</v>
      </c>
      <c r="N187" s="22">
        <f>+M187/$M$209</f>
        <v>6.0319320604803792E-4</v>
      </c>
      <c r="P187" s="1"/>
    </row>
    <row r="188" spans="1:16" s="28" customFormat="1" hidden="1" outlineLevel="1" x14ac:dyDescent="0.3">
      <c r="A188" s="29" t="s">
        <v>16</v>
      </c>
      <c r="B188" s="17"/>
      <c r="C188" s="17"/>
      <c r="D188" s="17"/>
      <c r="E188" s="20">
        <f>+[2]SUPERÁVIT!$C$34</f>
        <v>40000000</v>
      </c>
      <c r="F188" s="17"/>
      <c r="G188" s="17"/>
      <c r="H188" s="21">
        <f>+B188+C188+D188+G188+E188+F188</f>
        <v>40000000</v>
      </c>
      <c r="I188" s="17"/>
      <c r="J188" s="20">
        <f>+H188+I188</f>
        <v>40000000</v>
      </c>
      <c r="K188" s="20"/>
      <c r="L188" s="20"/>
      <c r="M188" s="20">
        <f>+J188+K188+L188</f>
        <v>40000000</v>
      </c>
      <c r="N188" s="22">
        <f>+M188/$M$209</f>
        <v>7.0963906593886816E-4</v>
      </c>
      <c r="P188" s="1"/>
    </row>
    <row r="189" spans="1:16" s="28" customFormat="1" hidden="1" outlineLevel="1" x14ac:dyDescent="0.3">
      <c r="A189" s="29" t="s">
        <v>15</v>
      </c>
      <c r="B189" s="17"/>
      <c r="C189" s="17"/>
      <c r="D189" s="17"/>
      <c r="E189" s="20">
        <f>+[2]SUPERÁVIT!$C$37</f>
        <v>370000000</v>
      </c>
      <c r="F189" s="17"/>
      <c r="G189" s="17"/>
      <c r="H189" s="21">
        <f>+B189+C189+D189+G189+E189+F189</f>
        <v>370000000</v>
      </c>
      <c r="I189" s="17"/>
      <c r="J189" s="20">
        <f>+H189+I189</f>
        <v>370000000</v>
      </c>
      <c r="K189" s="20"/>
      <c r="L189" s="20">
        <v>-370000000</v>
      </c>
      <c r="M189" s="20">
        <f>+J189+K189+L189</f>
        <v>0</v>
      </c>
      <c r="N189" s="22">
        <f>+M189/$M$209</f>
        <v>0</v>
      </c>
      <c r="P189" s="1"/>
    </row>
    <row r="190" spans="1:16" s="28" customFormat="1" collapsed="1" x14ac:dyDescent="0.3">
      <c r="A190" s="30" t="s">
        <v>14</v>
      </c>
      <c r="B190" s="17"/>
      <c r="C190" s="17"/>
      <c r="D190" s="17"/>
      <c r="E190" s="17">
        <f>SUM(E191:E195)</f>
        <v>738222735</v>
      </c>
      <c r="F190" s="17"/>
      <c r="G190" s="17"/>
      <c r="H190" s="17">
        <f>SUM(H191:H195)</f>
        <v>738222735</v>
      </c>
      <c r="I190" s="17"/>
      <c r="J190" s="17">
        <f>SUM(J191:J195)</f>
        <v>738222735</v>
      </c>
      <c r="K190" s="17">
        <f>SUM(K191:K195)</f>
        <v>0</v>
      </c>
      <c r="L190" s="17">
        <f>SUM(L191:L195)</f>
        <v>0</v>
      </c>
      <c r="M190" s="17">
        <f>+J190+K190+L190</f>
        <v>738222735</v>
      </c>
      <c r="N190" s="16">
        <f>+M190/$M$209</f>
        <v>1.3096792303005915E-2</v>
      </c>
      <c r="P190" s="1"/>
    </row>
    <row r="191" spans="1:16" s="28" customFormat="1" hidden="1" outlineLevel="1" x14ac:dyDescent="0.3">
      <c r="A191" s="29" t="s">
        <v>13</v>
      </c>
      <c r="B191" s="17"/>
      <c r="C191" s="17"/>
      <c r="D191" s="17"/>
      <c r="E191" s="20">
        <f>+[2]SUPERÁVIT!$C$39</f>
        <v>50000000</v>
      </c>
      <c r="F191" s="17"/>
      <c r="G191" s="17"/>
      <c r="H191" s="21">
        <f>+B191+C191+D191+G191+E191+F191</f>
        <v>50000000</v>
      </c>
      <c r="I191" s="17"/>
      <c r="J191" s="20">
        <f>+H191+I191</f>
        <v>50000000</v>
      </c>
      <c r="K191" s="20"/>
      <c r="L191" s="20"/>
      <c r="M191" s="20">
        <f>+J191+K191+L191</f>
        <v>50000000</v>
      </c>
      <c r="N191" s="22">
        <f>+M191/$M$209</f>
        <v>8.8704883242358523E-4</v>
      </c>
      <c r="P191" s="1"/>
    </row>
    <row r="192" spans="1:16" s="28" customFormat="1" hidden="1" outlineLevel="1" x14ac:dyDescent="0.3">
      <c r="A192" s="29" t="s">
        <v>12</v>
      </c>
      <c r="B192" s="17"/>
      <c r="C192" s="17"/>
      <c r="D192" s="17"/>
      <c r="E192" s="20"/>
      <c r="F192" s="17"/>
      <c r="G192" s="17"/>
      <c r="H192" s="21">
        <f>+B192+C192+D192+G192+E192+F192</f>
        <v>0</v>
      </c>
      <c r="I192" s="17"/>
      <c r="J192" s="20">
        <f>+H192+I192</f>
        <v>0</v>
      </c>
      <c r="K192" s="20"/>
      <c r="L192" s="20"/>
      <c r="M192" s="20">
        <f>+J192+K192+L192</f>
        <v>0</v>
      </c>
      <c r="N192" s="22">
        <f>+M192/$M$209</f>
        <v>0</v>
      </c>
      <c r="P192" s="1"/>
    </row>
    <row r="193" spans="1:16" s="28" customFormat="1" hidden="1" outlineLevel="1" x14ac:dyDescent="0.3">
      <c r="A193" s="29" t="s">
        <v>11</v>
      </c>
      <c r="B193" s="17"/>
      <c r="C193" s="17"/>
      <c r="D193" s="17"/>
      <c r="E193" s="20">
        <f>+[2]SUPERÁVIT!$C$42</f>
        <v>503222735</v>
      </c>
      <c r="F193" s="17"/>
      <c r="G193" s="17"/>
      <c r="H193" s="21">
        <f>+B193+C193+D193+G193+E193+F193</f>
        <v>503222735</v>
      </c>
      <c r="I193" s="17"/>
      <c r="J193" s="20">
        <f>+H193+I193</f>
        <v>503222735</v>
      </c>
      <c r="K193" s="20"/>
      <c r="L193" s="20"/>
      <c r="M193" s="20">
        <f>+J193+K193+L193</f>
        <v>503222735</v>
      </c>
      <c r="N193" s="22">
        <f>+M193/$M$209</f>
        <v>8.9276627906150641E-3</v>
      </c>
      <c r="P193" s="1"/>
    </row>
    <row r="194" spans="1:16" s="28" customFormat="1" hidden="1" outlineLevel="1" x14ac:dyDescent="0.3">
      <c r="A194" s="29" t="s">
        <v>10</v>
      </c>
      <c r="B194" s="17"/>
      <c r="C194" s="17"/>
      <c r="D194" s="17"/>
      <c r="E194" s="20">
        <f>+[2]SUPERÁVIT!$C$56</f>
        <v>35000000</v>
      </c>
      <c r="F194" s="17"/>
      <c r="G194" s="17"/>
      <c r="H194" s="21">
        <f>+B194+C194+D194+G194+E194+F194</f>
        <v>35000000</v>
      </c>
      <c r="I194" s="17"/>
      <c r="J194" s="20">
        <f>+H194+I194</f>
        <v>35000000</v>
      </c>
      <c r="K194" s="20"/>
      <c r="L194" s="20"/>
      <c r="M194" s="20">
        <f>+J194+K194+L194</f>
        <v>35000000</v>
      </c>
      <c r="N194" s="22">
        <f>+M194/$M$209</f>
        <v>6.2093418269650968E-4</v>
      </c>
      <c r="P194" s="1"/>
    </row>
    <row r="195" spans="1:16" s="28" customFormat="1" hidden="1" outlineLevel="1" x14ac:dyDescent="0.3">
      <c r="A195" s="29" t="s">
        <v>9</v>
      </c>
      <c r="B195" s="17"/>
      <c r="C195" s="17"/>
      <c r="D195" s="17"/>
      <c r="E195" s="20">
        <f>+[2]SUPERÁVIT!$C$59</f>
        <v>150000000</v>
      </c>
      <c r="F195" s="17"/>
      <c r="G195" s="17"/>
      <c r="H195" s="21">
        <f>+B195+C195+D195+G195+E195+F195</f>
        <v>150000000</v>
      </c>
      <c r="I195" s="17"/>
      <c r="J195" s="20">
        <f>+H195+I195</f>
        <v>150000000</v>
      </c>
      <c r="K195" s="20"/>
      <c r="L195" s="20"/>
      <c r="M195" s="20">
        <f>+J195+K195+L195</f>
        <v>150000000</v>
      </c>
      <c r="N195" s="22">
        <f>+M195/$M$209</f>
        <v>2.6611464972707555E-3</v>
      </c>
      <c r="P195" s="1"/>
    </row>
    <row r="196" spans="1:16" s="28" customFormat="1" collapsed="1" x14ac:dyDescent="0.3">
      <c r="A196" s="29"/>
      <c r="B196" s="20"/>
      <c r="C196" s="17"/>
      <c r="D196" s="17"/>
      <c r="E196" s="17"/>
      <c r="F196" s="17"/>
      <c r="G196" s="17"/>
      <c r="H196" s="21"/>
      <c r="I196" s="17"/>
      <c r="J196" s="20"/>
      <c r="K196" s="20"/>
      <c r="L196" s="20"/>
      <c r="M196" s="20"/>
      <c r="N196" s="22"/>
      <c r="P196" s="1"/>
    </row>
    <row r="197" spans="1:16" x14ac:dyDescent="0.3">
      <c r="A197" s="25" t="s">
        <v>8</v>
      </c>
      <c r="B197" s="20"/>
      <c r="C197" s="20"/>
      <c r="D197" s="20"/>
      <c r="E197" s="20"/>
      <c r="F197" s="20"/>
      <c r="G197" s="20"/>
      <c r="H197" s="21"/>
      <c r="I197" s="17">
        <f>+I198+I199</f>
        <v>4858000521.3000002</v>
      </c>
      <c r="J197" s="17">
        <f>+I197+H197</f>
        <v>4858000521.3000002</v>
      </c>
      <c r="K197" s="17">
        <f>+K198+K199</f>
        <v>-20156066</v>
      </c>
      <c r="L197" s="17">
        <f>+L198+L199</f>
        <v>-133619373</v>
      </c>
      <c r="M197" s="17">
        <f>+J197+K197+L197</f>
        <v>4704225082.3000002</v>
      </c>
      <c r="N197" s="16">
        <f>+M197/$M$209</f>
        <v>8.3457547334239185E-2</v>
      </c>
      <c r="O197" s="4"/>
    </row>
    <row r="198" spans="1:16" hidden="1" outlineLevel="1" x14ac:dyDescent="0.3">
      <c r="A198" s="27" t="s">
        <v>7</v>
      </c>
      <c r="B198" s="20"/>
      <c r="C198" s="20"/>
      <c r="D198" s="20"/>
      <c r="E198" s="20"/>
      <c r="F198" s="20"/>
      <c r="G198" s="20"/>
      <c r="H198" s="21"/>
      <c r="I198" s="20">
        <f>+('[1]Anexo 1'!D13+'[1]Anexo 1'!D17)*0.1</f>
        <v>3036250325.8000002</v>
      </c>
      <c r="J198" s="20">
        <f>+I198+H198</f>
        <v>3036250325.8000002</v>
      </c>
      <c r="K198" s="20">
        <v>-12597542</v>
      </c>
      <c r="L198" s="20">
        <f>+'[1]Anexo 1'!G13*10%</f>
        <v>-83512108.125</v>
      </c>
      <c r="M198" s="20">
        <f>+J198+K198+L198</f>
        <v>2940140675.6750002</v>
      </c>
      <c r="N198" s="22">
        <f>+M198/$M$209</f>
        <v>5.2160967070371995E-2</v>
      </c>
    </row>
    <row r="199" spans="1:16" hidden="1" outlineLevel="1" x14ac:dyDescent="0.3">
      <c r="A199" s="27" t="s">
        <v>6</v>
      </c>
      <c r="B199" s="20"/>
      <c r="C199" s="20"/>
      <c r="D199" s="20"/>
      <c r="E199" s="20"/>
      <c r="F199" s="20"/>
      <c r="G199" s="20"/>
      <c r="H199" s="21"/>
      <c r="I199" s="20">
        <f>+('[1]Anexo 1'!D14+'[1]Anexo 1'!D18)*0.1</f>
        <v>1821750195.5</v>
      </c>
      <c r="J199" s="20">
        <f>+I199+H199</f>
        <v>1821750195.5</v>
      </c>
      <c r="K199" s="20">
        <v>-7558524</v>
      </c>
      <c r="L199" s="20">
        <f>+'[1]Anexo 1'!G14*10%</f>
        <v>-50107264.875</v>
      </c>
      <c r="M199" s="20">
        <f>+J199+K199+L199</f>
        <v>1764084406.625</v>
      </c>
      <c r="N199" s="22">
        <f>+M199/$M$209</f>
        <v>3.1296580263867189E-2</v>
      </c>
    </row>
    <row r="200" spans="1:16" collapsed="1" x14ac:dyDescent="0.3">
      <c r="A200" s="19"/>
      <c r="B200" s="20"/>
      <c r="C200" s="20"/>
      <c r="D200" s="20"/>
      <c r="E200" s="20"/>
      <c r="F200" s="20"/>
      <c r="G200" s="20"/>
      <c r="H200" s="21"/>
      <c r="I200" s="20"/>
      <c r="J200" s="20"/>
      <c r="K200" s="20"/>
      <c r="L200" s="20"/>
      <c r="M200" s="20"/>
      <c r="N200" s="16"/>
    </row>
    <row r="201" spans="1:16" x14ac:dyDescent="0.3">
      <c r="A201" s="25" t="s">
        <v>5</v>
      </c>
      <c r="B201" s="17"/>
      <c r="C201" s="17"/>
      <c r="D201" s="17"/>
      <c r="E201" s="17"/>
      <c r="F201" s="17"/>
      <c r="G201" s="17"/>
      <c r="H201" s="17"/>
      <c r="I201" s="17">
        <v>2300000000</v>
      </c>
      <c r="J201" s="17">
        <f>+I201</f>
        <v>2300000000</v>
      </c>
      <c r="K201" s="17">
        <v>944608474.56150019</v>
      </c>
      <c r="L201" s="17"/>
      <c r="M201" s="17">
        <f>+J201+K201+L201</f>
        <v>3244608474.5615001</v>
      </c>
      <c r="N201" s="16">
        <f>+M201/$M$209</f>
        <v>5.7562523180628968E-2</v>
      </c>
    </row>
    <row r="202" spans="1:16" x14ac:dyDescent="0.3">
      <c r="A202" s="25"/>
      <c r="B202" s="17"/>
      <c r="C202" s="17"/>
      <c r="D202" s="17"/>
      <c r="E202" s="17"/>
      <c r="F202" s="17"/>
      <c r="G202" s="17"/>
      <c r="H202" s="17"/>
      <c r="I202" s="17"/>
      <c r="J202" s="26"/>
      <c r="K202" s="26"/>
      <c r="L202" s="26"/>
      <c r="M202" s="26"/>
      <c r="N202" s="16"/>
    </row>
    <row r="203" spans="1:16" x14ac:dyDescent="0.3">
      <c r="A203" s="25" t="s">
        <v>4</v>
      </c>
      <c r="B203" s="17"/>
      <c r="C203" s="17"/>
      <c r="D203" s="17"/>
      <c r="E203" s="17"/>
      <c r="F203" s="17"/>
      <c r="G203" s="17">
        <v>1000000000</v>
      </c>
      <c r="H203" s="17">
        <f>+G203</f>
        <v>1000000000</v>
      </c>
      <c r="I203" s="17"/>
      <c r="J203" s="26">
        <f>+I203+H203</f>
        <v>1000000000</v>
      </c>
      <c r="K203" s="26">
        <v>700000000</v>
      </c>
      <c r="L203" s="17"/>
      <c r="M203" s="26">
        <f>+J203+K203+L203</f>
        <v>1700000000</v>
      </c>
      <c r="N203" s="16">
        <f>+M203/$M$209</f>
        <v>3.0159660302401897E-2</v>
      </c>
    </row>
    <row r="204" spans="1:16" x14ac:dyDescent="0.3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16"/>
    </row>
    <row r="205" spans="1:16" x14ac:dyDescent="0.3">
      <c r="A205" s="25" t="s">
        <v>3</v>
      </c>
      <c r="B205" s="20"/>
      <c r="C205" s="20"/>
      <c r="D205" s="20"/>
      <c r="E205" s="20"/>
      <c r="F205" s="20"/>
      <c r="G205" s="20"/>
      <c r="H205" s="17"/>
      <c r="I205" s="17">
        <f>+I206+I207</f>
        <v>742925985.30874252</v>
      </c>
      <c r="J205" s="17">
        <f>+I205+H205</f>
        <v>742925985.30874252</v>
      </c>
      <c r="K205" s="17">
        <f>+K206+K207</f>
        <v>1464637844</v>
      </c>
      <c r="L205" s="17">
        <f>+L206+L207</f>
        <v>2456868722</v>
      </c>
      <c r="M205" s="17">
        <f>SUM(M206:M207)</f>
        <v>4664432551.3087425</v>
      </c>
      <c r="N205" s="16">
        <f>+M205/$M$209</f>
        <v>8.2751588971139697E-2</v>
      </c>
    </row>
    <row r="206" spans="1:16" hidden="1" outlineLevel="1" x14ac:dyDescent="0.3">
      <c r="A206" s="23" t="s">
        <v>2</v>
      </c>
      <c r="B206" s="20"/>
      <c r="C206" s="20"/>
      <c r="D206" s="20"/>
      <c r="E206" s="20"/>
      <c r="F206" s="20"/>
      <c r="G206" s="20"/>
      <c r="H206" s="21"/>
      <c r="I206" s="20">
        <v>408730555.90842056</v>
      </c>
      <c r="J206" s="20">
        <f>+I206+H206</f>
        <v>408730555.90842056</v>
      </c>
      <c r="K206" s="20">
        <f>-125975414+12597542+4331050383+180000000-46676847-70000000-76811022-809589656-320000000-1044622777-50000000-944608475</f>
        <v>1035363734</v>
      </c>
      <c r="L206" s="20">
        <f>-835121081-270000000-140000000+28548886+90733587+149373800+37267506+94158786+518300000+279000000+172494095+180074757+54215347+249081143+194695669+363649503+391330000+191520000+370000000+83512108</f>
        <v>2202834106</v>
      </c>
      <c r="M206" s="20">
        <f>+J206+K206+L206</f>
        <v>3646928395.9084206</v>
      </c>
      <c r="N206" s="22">
        <f>+M206/$M$209</f>
        <v>6.4700071510459659E-2</v>
      </c>
      <c r="O206" s="24"/>
    </row>
    <row r="207" spans="1:16" hidden="1" outlineLevel="1" x14ac:dyDescent="0.3">
      <c r="A207" s="23" t="s">
        <v>1</v>
      </c>
      <c r="B207" s="20"/>
      <c r="C207" s="20"/>
      <c r="D207" s="20"/>
      <c r="E207" s="20"/>
      <c r="F207" s="20"/>
      <c r="G207" s="20"/>
      <c r="H207" s="21"/>
      <c r="I207" s="20">
        <v>334195429.40032196</v>
      </c>
      <c r="J207" s="20">
        <f>+I207+H207</f>
        <v>334195429.40032196</v>
      </c>
      <c r="K207" s="20">
        <f>-75585248+7558524+2050053549-20418500-832334215-700000000</f>
        <v>429274110</v>
      </c>
      <c r="L207" s="20">
        <f>-501072649+70000000+400000000+60000000+140000000+35000000+50107265</f>
        <v>254034616</v>
      </c>
      <c r="M207" s="20">
        <f>+J207+K207+L207</f>
        <v>1017504155.400322</v>
      </c>
      <c r="N207" s="22">
        <f>+M207/$M$209</f>
        <v>1.8051517460680035E-2</v>
      </c>
      <c r="O207" s="4"/>
    </row>
    <row r="208" spans="1:16" collapsed="1" x14ac:dyDescent="0.3">
      <c r="A208" s="19"/>
      <c r="B208" s="20"/>
      <c r="C208" s="20"/>
      <c r="D208" s="20"/>
      <c r="E208" s="20"/>
      <c r="F208" s="20"/>
      <c r="G208" s="20"/>
      <c r="H208" s="21"/>
      <c r="I208" s="20"/>
      <c r="J208" s="20"/>
      <c r="K208" s="20"/>
      <c r="L208" s="20"/>
      <c r="M208" s="20"/>
      <c r="N208" s="16"/>
    </row>
    <row r="209" spans="1:19" x14ac:dyDescent="0.3">
      <c r="A209" s="19" t="s">
        <v>0</v>
      </c>
      <c r="B209" s="17">
        <f>+B51+B49</f>
        <v>1316545682.435071</v>
      </c>
      <c r="C209" s="17">
        <f>+C49+C51</f>
        <v>4959544178.4804468</v>
      </c>
      <c r="D209" s="17">
        <f>+D51+D49</f>
        <v>3744511119.4925938</v>
      </c>
      <c r="E209" s="17">
        <f>+E51+E49</f>
        <v>1670596871.8646276</v>
      </c>
      <c r="F209" s="17">
        <f>+F51+F49</f>
        <v>11274592659.295357</v>
      </c>
      <c r="G209" s="17">
        <f>+G49+G51+G203</f>
        <v>17895768539.665234</v>
      </c>
      <c r="H209" s="18">
        <f>+B209+C209+D209+G209+E209+F209</f>
        <v>40861559051.23333</v>
      </c>
      <c r="I209" s="17">
        <f>+I205+I197+I49+I201</f>
        <v>10481774022.822437</v>
      </c>
      <c r="J209" s="17">
        <f>+I209+H209</f>
        <v>51343333074.055771</v>
      </c>
      <c r="K209" s="17">
        <f>+K49+K51+K201+K203+K205+K197</f>
        <v>6359543269.5615005</v>
      </c>
      <c r="L209" s="17">
        <f>+L49+L51+L201+L203+L205+L197</f>
        <v>-1336193730</v>
      </c>
      <c r="M209" s="17">
        <f>+J209+K209+L209</f>
        <v>56366682613.617271</v>
      </c>
      <c r="N209" s="16">
        <f>+M209/$M$209</f>
        <v>1</v>
      </c>
    </row>
    <row r="210" spans="1:19" ht="17.25" thickBot="1" x14ac:dyDescent="0.35">
      <c r="A210" s="15"/>
      <c r="B210" s="14"/>
      <c r="C210" s="11"/>
      <c r="D210" s="11"/>
      <c r="E210" s="13"/>
      <c r="F210" s="11"/>
      <c r="G210" s="13"/>
      <c r="H210" s="12"/>
      <c r="I210" s="11"/>
      <c r="J210" s="11"/>
      <c r="K210" s="11"/>
      <c r="L210" s="11"/>
      <c r="M210" s="11"/>
      <c r="N210" s="10"/>
      <c r="O210" s="9"/>
      <c r="P210" s="3"/>
      <c r="Q210" s="9"/>
      <c r="R210" s="9"/>
      <c r="S210" s="9"/>
    </row>
    <row r="211" spans="1:19" ht="17.25" thickTop="1" x14ac:dyDescent="0.3">
      <c r="B211" s="4"/>
      <c r="C211" s="4"/>
      <c r="D211" s="4"/>
      <c r="E211" s="4"/>
      <c r="F211" s="4"/>
      <c r="G211" s="8"/>
      <c r="I211" s="4"/>
      <c r="J211" s="4"/>
      <c r="K211" s="4"/>
      <c r="L211" s="4"/>
      <c r="M211" s="4"/>
      <c r="N211" s="7"/>
    </row>
    <row r="213" spans="1:19" x14ac:dyDescent="0.3">
      <c r="L213" s="3"/>
      <c r="M213" s="3"/>
      <c r="N213" s="3"/>
    </row>
    <row r="214" spans="1:19" x14ac:dyDescent="0.3">
      <c r="L214" s="3"/>
      <c r="M214" s="3"/>
      <c r="N214" s="3"/>
    </row>
    <row r="215" spans="1:19" x14ac:dyDescent="0.3">
      <c r="J215" s="3"/>
      <c r="L215" s="3"/>
      <c r="M215" s="3"/>
      <c r="N215" s="3"/>
    </row>
    <row r="216" spans="1:19" x14ac:dyDescent="0.3">
      <c r="J216" s="5"/>
      <c r="L216" s="3"/>
      <c r="M216" s="5"/>
      <c r="N216" s="6"/>
    </row>
    <row r="217" spans="1:19" x14ac:dyDescent="0.3">
      <c r="L217" s="3"/>
    </row>
    <row r="218" spans="1:19" x14ac:dyDescent="0.3">
      <c r="J218" s="2"/>
      <c r="L218" s="3"/>
    </row>
    <row r="219" spans="1:19" x14ac:dyDescent="0.3">
      <c r="L219" s="3"/>
    </row>
    <row r="220" spans="1:19" x14ac:dyDescent="0.3">
      <c r="L220" s="3"/>
    </row>
    <row r="221" spans="1:19" x14ac:dyDescent="0.3">
      <c r="J221" s="5"/>
      <c r="L221" s="3"/>
    </row>
    <row r="222" spans="1:19" x14ac:dyDescent="0.3">
      <c r="J222" s="4"/>
      <c r="L222" s="3"/>
    </row>
    <row r="223" spans="1:19" x14ac:dyDescent="0.3">
      <c r="L223" s="3"/>
    </row>
    <row r="224" spans="1:19" x14ac:dyDescent="0.3">
      <c r="L224" s="2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44" fitToHeight="2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2020-07-21T14:55:39Z</dcterms:created>
  <dcterms:modified xsi:type="dcterms:W3CDTF">2020-07-21T14:56:03Z</dcterms:modified>
</cp:coreProperties>
</file>