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8\Gastos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hidden="1">#REF!</definedName>
    <definedName name="ANEXO" hidden="1">'[7]Inversión total en programas'!$A$50:$IV$50,'[7]Inversión total en programas'!$A$60:$IV$63</definedName>
    <definedName name="_xlnm.Print_Area" localSheetId="0">'Anexo 2 '!$A$1:$M$197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'[10]Anexo 1 Minagricultura'!#REF!</definedName>
    <definedName name="CABEZAS_PROYEC" localSheetId="0">'[11]Anexo 1 Minagricultura'!$C$46</definedName>
    <definedName name="CABEZAS_PROYEC">'[1]Anexo 1'!#REF!</definedName>
    <definedName name="CONTRATOS">#REF!</definedName>
    <definedName name="CUOTAPPC2005" localSheetId="0">'[11]Anexo 1 Minagricultura'!#REF!</definedName>
    <definedName name="CUOTAPPC2005">'[1]Anexo 1'!#REF!</definedName>
    <definedName name="CUOTAPPC2013" localSheetId="0">'[11]Anexo 1 Minagricultura'!#REF!</definedName>
    <definedName name="CUOTAPPC2013">'[1]Anexo 1'!#REF!</definedName>
    <definedName name="CUOTAPPC203" localSheetId="0">'[11]Anexo 1 Minagricultura'!#REF!</definedName>
    <definedName name="CUOTAPPC203">'[1]Anexo 1'!#REF!</definedName>
    <definedName name="DIAG_PPC">#REF!</definedName>
    <definedName name="DIRECCION">[12]consecutivo!$M$9:$M$13</definedName>
    <definedName name="DISTRIBUIDOR">#REF!</definedName>
    <definedName name="Dólar" localSheetId="0">#REF!</definedName>
    <definedName name="Dólar">#REF!</definedName>
    <definedName name="eeeee" localSheetId="0">'[11]Ejecución ingresos 2014'!#REF!</definedName>
    <definedName name="eeeee">'[1]Ejecución ingresos 2017'!#REF!</definedName>
    <definedName name="EPPC" localSheetId="0">'[11]Anexo 1 Minagricultura'!$C$54</definedName>
    <definedName name="EPPC">'[1]Anexo 1'!#REF!</definedName>
    <definedName name="Euro" localSheetId="0">#REF!</definedName>
    <definedName name="Euro">#REF!</definedName>
    <definedName name="FDGFDG">#REF!</definedName>
    <definedName name="FECHA_DE_RECIBIDO">[13]BASE!$E$3:$E$177</definedName>
    <definedName name="FOMENTO" localSheetId="0">'[11]Anexo 1 Minagricultura'!$C$53</definedName>
    <definedName name="FOMENTO">'[1]Anexo 1'!#REF!</definedName>
    <definedName name="FOMENTOS">'[16]Anexo 1 Minagricultura'!$C$51</definedName>
    <definedName name="GTOSEPPC">#REF!</definedName>
    <definedName name="HONORAUDI_JURIDIC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>#REF!</definedName>
    <definedName name="LABORATORIOS">#REF!</definedName>
    <definedName name="NOMBDISTRI">#REF!</definedName>
    <definedName name="Pasajes" localSheetId="0">#REF!</definedName>
    <definedName name="Pasajes">#REF!</definedName>
    <definedName name="RESERV_FUTU">#REF!</definedName>
    <definedName name="saldo" localSheetId="0">'[11]Ejecución ingresos 2014'!#REF!</definedName>
    <definedName name="saldo">'[1]Ejecución ingresos 2017'!#REF!</definedName>
    <definedName name="saldos" localSheetId="0">'[11]Ejecución ingresos 2014'!#REF!</definedName>
    <definedName name="saldos">'[1]Ejecución ingresos 2017'!#REF!</definedName>
    <definedName name="SUPERA2004" localSheetId="0">'[11]Anexo 1 Minagricultura'!#REF!</definedName>
    <definedName name="SUPERA2004">'[1]Anexo 1'!#REF!</definedName>
    <definedName name="SUPERA2005" localSheetId="0">'[11]Anexo 1 Minagricultura'!#REF!</definedName>
    <definedName name="SUPERA2005">'[1]Anexo 1'!#REF!</definedName>
    <definedName name="SUPERA2010">'[18]Anexo 1 Minagricultura'!$C$21</definedName>
    <definedName name="SUPERA2012" localSheetId="0">'[11]Anexo 1 Minagricultura'!#REF!</definedName>
    <definedName name="SUPERA2012">'[1]Anexo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2 '!$1:$6</definedName>
    <definedName name="_xlnm.Print_Titles">#REF!</definedName>
    <definedName name="xx">[19]Ingresos!$C$19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 localSheetId="0">'[21]Ingresos 2014'!#REF!</definedName>
    <definedName name="ZFRONTERA">'[21]Ingresos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0" i="1" l="1"/>
  <c r="I199" i="1"/>
  <c r="J192" i="1"/>
  <c r="K192" i="1" s="1"/>
  <c r="L192" i="1" s="1"/>
  <c r="J191" i="1"/>
  <c r="I190" i="1"/>
  <c r="J190" i="1" s="1"/>
  <c r="H188" i="1"/>
  <c r="J188" i="1" s="1"/>
  <c r="K186" i="1"/>
  <c r="L186" i="1" s="1"/>
  <c r="J186" i="1"/>
  <c r="J184" i="1"/>
  <c r="J183" i="1"/>
  <c r="K182" i="1"/>
  <c r="I182" i="1"/>
  <c r="J182" i="1" s="1"/>
  <c r="L182" i="1" s="1"/>
  <c r="J180" i="1"/>
  <c r="H180" i="1"/>
  <c r="A180" i="1"/>
  <c r="H179" i="1"/>
  <c r="J179" i="1" s="1"/>
  <c r="L179" i="1" s="1"/>
  <c r="A179" i="1"/>
  <c r="L178" i="1"/>
  <c r="J178" i="1"/>
  <c r="H178" i="1"/>
  <c r="A178" i="1"/>
  <c r="J177" i="1"/>
  <c r="H177" i="1"/>
  <c r="A177" i="1"/>
  <c r="K176" i="1"/>
  <c r="H176" i="1"/>
  <c r="H175" i="1" s="1"/>
  <c r="J175" i="1" s="1"/>
  <c r="E176" i="1"/>
  <c r="E175" i="1"/>
  <c r="E39" i="1" s="1"/>
  <c r="J173" i="1"/>
  <c r="L173" i="1" s="1"/>
  <c r="H173" i="1"/>
  <c r="D173" i="1"/>
  <c r="D172" i="1"/>
  <c r="H172" i="1" s="1"/>
  <c r="J172" i="1" s="1"/>
  <c r="A172" i="1"/>
  <c r="D171" i="1"/>
  <c r="H171" i="1" s="1"/>
  <c r="J171" i="1" s="1"/>
  <c r="L171" i="1" s="1"/>
  <c r="A171" i="1"/>
  <c r="J170" i="1"/>
  <c r="H170" i="1"/>
  <c r="D170" i="1"/>
  <c r="A170" i="1"/>
  <c r="H169" i="1"/>
  <c r="J169" i="1" s="1"/>
  <c r="D169" i="1"/>
  <c r="A169" i="1"/>
  <c r="D168" i="1"/>
  <c r="H168" i="1" s="1"/>
  <c r="J168" i="1" s="1"/>
  <c r="A168" i="1"/>
  <c r="H167" i="1"/>
  <c r="D167" i="1"/>
  <c r="A167" i="1"/>
  <c r="K166" i="1"/>
  <c r="K159" i="1" s="1"/>
  <c r="H165" i="1"/>
  <c r="J165" i="1" s="1"/>
  <c r="L165" i="1" s="1"/>
  <c r="A165" i="1"/>
  <c r="H164" i="1"/>
  <c r="J164" i="1" s="1"/>
  <c r="A164" i="1"/>
  <c r="J163" i="1"/>
  <c r="L163" i="1" s="1"/>
  <c r="H163" i="1"/>
  <c r="D163" i="1"/>
  <c r="A163" i="1"/>
  <c r="H162" i="1"/>
  <c r="J162" i="1" s="1"/>
  <c r="D162" i="1"/>
  <c r="A162" i="1"/>
  <c r="J161" i="1"/>
  <c r="H161" i="1"/>
  <c r="D161" i="1"/>
  <c r="A161" i="1"/>
  <c r="K160" i="1"/>
  <c r="D160" i="1"/>
  <c r="L158" i="1"/>
  <c r="H158" i="1"/>
  <c r="J158" i="1" s="1"/>
  <c r="D158" i="1"/>
  <c r="D155" i="1" s="1"/>
  <c r="H157" i="1"/>
  <c r="J157" i="1" s="1"/>
  <c r="J156" i="1"/>
  <c r="L156" i="1" s="1"/>
  <c r="H156" i="1"/>
  <c r="D156" i="1"/>
  <c r="A156" i="1"/>
  <c r="K155" i="1"/>
  <c r="H154" i="1"/>
  <c r="J154" i="1" s="1"/>
  <c r="D154" i="1"/>
  <c r="A154" i="1"/>
  <c r="D153" i="1"/>
  <c r="H153" i="1" s="1"/>
  <c r="J153" i="1" s="1"/>
  <c r="A153" i="1"/>
  <c r="H152" i="1"/>
  <c r="J152" i="1" s="1"/>
  <c r="D152" i="1"/>
  <c r="A152" i="1"/>
  <c r="J151" i="1"/>
  <c r="H151" i="1"/>
  <c r="A151" i="1"/>
  <c r="H150" i="1"/>
  <c r="J150" i="1" s="1"/>
  <c r="L150" i="1" s="1"/>
  <c r="A150" i="1"/>
  <c r="H149" i="1"/>
  <c r="J149" i="1" s="1"/>
  <c r="A149" i="1"/>
  <c r="J148" i="1"/>
  <c r="L148" i="1" s="1"/>
  <c r="H148" i="1"/>
  <c r="A148" i="1"/>
  <c r="K147" i="1"/>
  <c r="K146" i="1"/>
  <c r="K141" i="1" s="1"/>
  <c r="L145" i="1"/>
  <c r="H145" i="1"/>
  <c r="J145" i="1" s="1"/>
  <c r="L144" i="1"/>
  <c r="J144" i="1"/>
  <c r="H144" i="1"/>
  <c r="H143" i="1"/>
  <c r="K142" i="1"/>
  <c r="D142" i="1"/>
  <c r="H139" i="1"/>
  <c r="J139" i="1" s="1"/>
  <c r="C138" i="1"/>
  <c r="H138" i="1" s="1"/>
  <c r="J137" i="1"/>
  <c r="L137" i="1" s="1"/>
  <c r="H137" i="1"/>
  <c r="H136" i="1"/>
  <c r="J136" i="1" s="1"/>
  <c r="K135" i="1"/>
  <c r="C135" i="1"/>
  <c r="H135" i="1" s="1"/>
  <c r="H134" i="1"/>
  <c r="J134" i="1" s="1"/>
  <c r="L134" i="1" s="1"/>
  <c r="H133" i="1"/>
  <c r="J133" i="1" s="1"/>
  <c r="K132" i="1"/>
  <c r="H132" i="1"/>
  <c r="C132" i="1"/>
  <c r="C131" i="1"/>
  <c r="H131" i="1" s="1"/>
  <c r="J131" i="1" s="1"/>
  <c r="C130" i="1"/>
  <c r="H130" i="1" s="1"/>
  <c r="J130" i="1" s="1"/>
  <c r="J129" i="1"/>
  <c r="H129" i="1"/>
  <c r="K128" i="1"/>
  <c r="H125" i="1"/>
  <c r="J125" i="1" s="1"/>
  <c r="G125" i="1"/>
  <c r="G124" i="1"/>
  <c r="K123" i="1"/>
  <c r="L122" i="1"/>
  <c r="H122" i="1"/>
  <c r="J122" i="1" s="1"/>
  <c r="A122" i="1"/>
  <c r="H121" i="1"/>
  <c r="A121" i="1"/>
  <c r="K120" i="1"/>
  <c r="G120" i="1"/>
  <c r="J119" i="1"/>
  <c r="H119" i="1"/>
  <c r="H118" i="1"/>
  <c r="J118" i="1" s="1"/>
  <c r="K117" i="1"/>
  <c r="H117" i="1"/>
  <c r="G117" i="1"/>
  <c r="L116" i="1"/>
  <c r="J116" i="1"/>
  <c r="G116" i="1"/>
  <c r="H116" i="1" s="1"/>
  <c r="G115" i="1"/>
  <c r="H115" i="1" s="1"/>
  <c r="J115" i="1" s="1"/>
  <c r="L115" i="1" s="1"/>
  <c r="G114" i="1"/>
  <c r="H114" i="1" s="1"/>
  <c r="J114" i="1" s="1"/>
  <c r="J113" i="1"/>
  <c r="H113" i="1"/>
  <c r="H112" i="1"/>
  <c r="J112" i="1" s="1"/>
  <c r="L112" i="1" s="1"/>
  <c r="G112" i="1"/>
  <c r="G111" i="1"/>
  <c r="H111" i="1" s="1"/>
  <c r="H110" i="1" s="1"/>
  <c r="K110" i="1"/>
  <c r="F107" i="1"/>
  <c r="H107" i="1" s="1"/>
  <c r="J107" i="1" s="1"/>
  <c r="L107" i="1" s="1"/>
  <c r="H106" i="1"/>
  <c r="J106" i="1" s="1"/>
  <c r="L105" i="1"/>
  <c r="J105" i="1"/>
  <c r="F105" i="1"/>
  <c r="H105" i="1" s="1"/>
  <c r="J104" i="1"/>
  <c r="F104" i="1"/>
  <c r="H104" i="1" s="1"/>
  <c r="L103" i="1"/>
  <c r="J103" i="1"/>
  <c r="H103" i="1"/>
  <c r="F103" i="1"/>
  <c r="F102" i="1"/>
  <c r="K101" i="1"/>
  <c r="L100" i="1"/>
  <c r="J100" i="1"/>
  <c r="H100" i="1"/>
  <c r="F100" i="1"/>
  <c r="F99" i="1"/>
  <c r="H99" i="1" s="1"/>
  <c r="J99" i="1" s="1"/>
  <c r="H98" i="1"/>
  <c r="J98" i="1" s="1"/>
  <c r="L98" i="1" s="1"/>
  <c r="J97" i="1"/>
  <c r="F97" i="1"/>
  <c r="H97" i="1" s="1"/>
  <c r="F96" i="1"/>
  <c r="H96" i="1" s="1"/>
  <c r="J96" i="1" s="1"/>
  <c r="L95" i="1"/>
  <c r="J95" i="1"/>
  <c r="H95" i="1"/>
  <c r="F95" i="1"/>
  <c r="F94" i="1"/>
  <c r="H94" i="1" s="1"/>
  <c r="J94" i="1" s="1"/>
  <c r="F93" i="1"/>
  <c r="K92" i="1"/>
  <c r="H91" i="1"/>
  <c r="J91" i="1" s="1"/>
  <c r="F90" i="1"/>
  <c r="H90" i="1" s="1"/>
  <c r="J90" i="1" s="1"/>
  <c r="L90" i="1" s="1"/>
  <c r="F89" i="1"/>
  <c r="H89" i="1" s="1"/>
  <c r="J89" i="1" s="1"/>
  <c r="L89" i="1" s="1"/>
  <c r="F88" i="1"/>
  <c r="H88" i="1" s="1"/>
  <c r="J88" i="1" s="1"/>
  <c r="J87" i="1"/>
  <c r="H87" i="1"/>
  <c r="F87" i="1"/>
  <c r="L86" i="1"/>
  <c r="J86" i="1"/>
  <c r="H86" i="1"/>
  <c r="L85" i="1"/>
  <c r="F85" i="1"/>
  <c r="H85" i="1" s="1"/>
  <c r="J85" i="1" s="1"/>
  <c r="H84" i="1"/>
  <c r="J84" i="1" s="1"/>
  <c r="H83" i="1"/>
  <c r="J83" i="1" s="1"/>
  <c r="H82" i="1"/>
  <c r="J82" i="1" s="1"/>
  <c r="K81" i="1"/>
  <c r="L80" i="1"/>
  <c r="J80" i="1"/>
  <c r="H80" i="1"/>
  <c r="L79" i="1"/>
  <c r="F79" i="1"/>
  <c r="H79" i="1" s="1"/>
  <c r="J79" i="1" s="1"/>
  <c r="F78" i="1"/>
  <c r="H78" i="1" s="1"/>
  <c r="J78" i="1" s="1"/>
  <c r="H77" i="1"/>
  <c r="J77" i="1" s="1"/>
  <c r="L77" i="1" s="1"/>
  <c r="F76" i="1"/>
  <c r="H76" i="1" s="1"/>
  <c r="J76" i="1" s="1"/>
  <c r="L76" i="1" s="1"/>
  <c r="L75" i="1"/>
  <c r="J75" i="1"/>
  <c r="H75" i="1"/>
  <c r="F75" i="1"/>
  <c r="H74" i="1"/>
  <c r="J74" i="1" s="1"/>
  <c r="F74" i="1"/>
  <c r="F73" i="1" s="1"/>
  <c r="K73" i="1"/>
  <c r="K72" i="1"/>
  <c r="H70" i="1"/>
  <c r="H68" i="1" s="1"/>
  <c r="L69" i="1"/>
  <c r="J69" i="1"/>
  <c r="H69" i="1"/>
  <c r="K68" i="1"/>
  <c r="B68" i="1"/>
  <c r="H67" i="1"/>
  <c r="J67" i="1" s="1"/>
  <c r="H66" i="1"/>
  <c r="J66" i="1" s="1"/>
  <c r="B66" i="1"/>
  <c r="B65" i="1"/>
  <c r="H65" i="1" s="1"/>
  <c r="K64" i="1"/>
  <c r="B64" i="1"/>
  <c r="L63" i="1"/>
  <c r="J63" i="1"/>
  <c r="H63" i="1"/>
  <c r="J62" i="1"/>
  <c r="H62" i="1"/>
  <c r="B62" i="1"/>
  <c r="J61" i="1"/>
  <c r="L61" i="1" s="1"/>
  <c r="H61" i="1"/>
  <c r="B61" i="1"/>
  <c r="K60" i="1"/>
  <c r="H60" i="1"/>
  <c r="B60" i="1"/>
  <c r="B59" i="1"/>
  <c r="J58" i="1"/>
  <c r="L58" i="1" s="1"/>
  <c r="H58" i="1"/>
  <c r="B58" i="1"/>
  <c r="H57" i="1"/>
  <c r="K56" i="1"/>
  <c r="L55" i="1"/>
  <c r="J55" i="1"/>
  <c r="H55" i="1"/>
  <c r="B55" i="1"/>
  <c r="J54" i="1"/>
  <c r="H54" i="1"/>
  <c r="B54" i="1"/>
  <c r="B53" i="1"/>
  <c r="H53" i="1" s="1"/>
  <c r="J53" i="1" s="1"/>
  <c r="L53" i="1" s="1"/>
  <c r="J52" i="1"/>
  <c r="L52" i="1" s="1"/>
  <c r="H52" i="1"/>
  <c r="L51" i="1"/>
  <c r="K51" i="1"/>
  <c r="J51" i="1"/>
  <c r="H51" i="1"/>
  <c r="B51" i="1"/>
  <c r="H50" i="1"/>
  <c r="J50" i="1" s="1"/>
  <c r="L50" i="1" s="1"/>
  <c r="J49" i="1"/>
  <c r="H49" i="1"/>
  <c r="K48" i="1"/>
  <c r="B48" i="1"/>
  <c r="K47" i="1"/>
  <c r="K44" i="1" s="1"/>
  <c r="B46" i="1"/>
  <c r="J45" i="1"/>
  <c r="L45" i="1" s="1"/>
  <c r="B45" i="1"/>
  <c r="H45" i="1" s="1"/>
  <c r="H43" i="1"/>
  <c r="K42" i="1"/>
  <c r="B42" i="1"/>
  <c r="K36" i="1"/>
  <c r="I36" i="1"/>
  <c r="I37" i="1" s="1"/>
  <c r="H35" i="1"/>
  <c r="J35" i="1" s="1"/>
  <c r="I34" i="1"/>
  <c r="H34" i="1"/>
  <c r="J34" i="1" s="1"/>
  <c r="L34" i="1" s="1"/>
  <c r="I33" i="1"/>
  <c r="G33" i="1"/>
  <c r="F33" i="1"/>
  <c r="B33" i="1"/>
  <c r="H33" i="1" s="1"/>
  <c r="J33" i="1" s="1"/>
  <c r="J32" i="1"/>
  <c r="L32" i="1" s="1"/>
  <c r="G32" i="1"/>
  <c r="F32" i="1"/>
  <c r="D32" i="1"/>
  <c r="C32" i="1"/>
  <c r="B32" i="1"/>
  <c r="H32" i="1" s="1"/>
  <c r="J31" i="1"/>
  <c r="H31" i="1"/>
  <c r="I30" i="1"/>
  <c r="G30" i="1"/>
  <c r="F30" i="1"/>
  <c r="D30" i="1"/>
  <c r="C30" i="1"/>
  <c r="H30" i="1" s="1"/>
  <c r="J30" i="1" s="1"/>
  <c r="B30" i="1"/>
  <c r="L29" i="1"/>
  <c r="G29" i="1"/>
  <c r="H29" i="1" s="1"/>
  <c r="J29" i="1" s="1"/>
  <c r="G28" i="1"/>
  <c r="E28" i="1"/>
  <c r="D28" i="1"/>
  <c r="C28" i="1"/>
  <c r="H28" i="1" s="1"/>
  <c r="J28" i="1" s="1"/>
  <c r="B28" i="1"/>
  <c r="G27" i="1"/>
  <c r="H27" i="1" s="1"/>
  <c r="J27" i="1" s="1"/>
  <c r="F27" i="1"/>
  <c r="E27" i="1"/>
  <c r="D27" i="1"/>
  <c r="C27" i="1"/>
  <c r="B27" i="1"/>
  <c r="J26" i="1"/>
  <c r="L26" i="1" s="1"/>
  <c r="H26" i="1"/>
  <c r="H25" i="1"/>
  <c r="J25" i="1" s="1"/>
  <c r="G25" i="1"/>
  <c r="F25" i="1"/>
  <c r="D25" i="1"/>
  <c r="C25" i="1"/>
  <c r="B25" i="1"/>
  <c r="I24" i="1"/>
  <c r="G24" i="1"/>
  <c r="F24" i="1"/>
  <c r="E24" i="1"/>
  <c r="D24" i="1"/>
  <c r="C24" i="1"/>
  <c r="G23" i="1"/>
  <c r="H23" i="1" s="1"/>
  <c r="J23" i="1" s="1"/>
  <c r="G22" i="1"/>
  <c r="F22" i="1"/>
  <c r="F36" i="1" s="1"/>
  <c r="F37" i="1" s="1"/>
  <c r="E22" i="1"/>
  <c r="C22" i="1"/>
  <c r="B22" i="1"/>
  <c r="H22" i="1" s="1"/>
  <c r="J22" i="1" s="1"/>
  <c r="G21" i="1"/>
  <c r="F21" i="1"/>
  <c r="C21" i="1"/>
  <c r="K19" i="1"/>
  <c r="I19" i="1"/>
  <c r="F19" i="1"/>
  <c r="E19" i="1"/>
  <c r="C19" i="1"/>
  <c r="B19" i="1"/>
  <c r="H18" i="1"/>
  <c r="J18" i="1" s="1"/>
  <c r="H17" i="1"/>
  <c r="J17" i="1" s="1"/>
  <c r="L17" i="1" s="1"/>
  <c r="H16" i="1"/>
  <c r="J16" i="1" s="1"/>
  <c r="L16" i="1" s="1"/>
  <c r="H15" i="1"/>
  <c r="J15" i="1" s="1"/>
  <c r="H14" i="1"/>
  <c r="J14" i="1" s="1"/>
  <c r="J13" i="1"/>
  <c r="H13" i="1"/>
  <c r="L12" i="1"/>
  <c r="H12" i="1"/>
  <c r="J12" i="1" s="1"/>
  <c r="J11" i="1"/>
  <c r="L11" i="1" s="1"/>
  <c r="H11" i="1"/>
  <c r="H10" i="1"/>
  <c r="J10" i="1" s="1"/>
  <c r="I9" i="1"/>
  <c r="I8" i="1" s="1"/>
  <c r="H9" i="1"/>
  <c r="J9" i="1" s="1"/>
  <c r="G9" i="1"/>
  <c r="G19" i="1" s="1"/>
  <c r="F9" i="1"/>
  <c r="D9" i="1"/>
  <c r="C9" i="1"/>
  <c r="B9" i="1"/>
  <c r="K8" i="1"/>
  <c r="G8" i="1"/>
  <c r="F8" i="1"/>
  <c r="E8" i="1"/>
  <c r="C8" i="1"/>
  <c r="B8" i="1"/>
  <c r="L25" i="1" l="1"/>
  <c r="L172" i="1"/>
  <c r="L30" i="1"/>
  <c r="L67" i="1"/>
  <c r="L84" i="1"/>
  <c r="L99" i="1"/>
  <c r="L88" i="1"/>
  <c r="L154" i="1"/>
  <c r="L164" i="1"/>
  <c r="L168" i="1"/>
  <c r="L33" i="1"/>
  <c r="H64" i="1"/>
  <c r="J65" i="1"/>
  <c r="L27" i="1"/>
  <c r="L8" i="1"/>
  <c r="L15" i="1"/>
  <c r="L28" i="1"/>
  <c r="L94" i="1"/>
  <c r="L22" i="1"/>
  <c r="B41" i="1"/>
  <c r="B39" i="1" s="1"/>
  <c r="L96" i="1"/>
  <c r="L162" i="1"/>
  <c r="L66" i="1"/>
  <c r="L83" i="1"/>
  <c r="L153" i="1"/>
  <c r="L106" i="1"/>
  <c r="J143" i="1"/>
  <c r="H142" i="1"/>
  <c r="L151" i="1"/>
  <c r="L161" i="1"/>
  <c r="J160" i="1"/>
  <c r="L170" i="1"/>
  <c r="L9" i="1"/>
  <c r="J8" i="1"/>
  <c r="L18" i="1"/>
  <c r="J19" i="1"/>
  <c r="L49" i="1"/>
  <c r="H124" i="1"/>
  <c r="G123" i="1"/>
  <c r="L23" i="1"/>
  <c r="L54" i="1"/>
  <c r="J70" i="1"/>
  <c r="J111" i="1"/>
  <c r="E36" i="1"/>
  <c r="E37" i="1" s="1"/>
  <c r="E194" i="1" s="1"/>
  <c r="L35" i="1"/>
  <c r="K41" i="1"/>
  <c r="J60" i="1"/>
  <c r="F81" i="1"/>
  <c r="F72" i="1" s="1"/>
  <c r="F39" i="1" s="1"/>
  <c r="F194" i="1" s="1"/>
  <c r="H120" i="1"/>
  <c r="J121" i="1"/>
  <c r="J128" i="1"/>
  <c r="D147" i="1"/>
  <c r="D146" i="1" s="1"/>
  <c r="J176" i="1"/>
  <c r="L183" i="1"/>
  <c r="B36" i="1"/>
  <c r="B37" i="1" s="1"/>
  <c r="H42" i="1"/>
  <c r="J43" i="1"/>
  <c r="L62" i="1"/>
  <c r="H81" i="1"/>
  <c r="L91" i="1"/>
  <c r="L104" i="1"/>
  <c r="L125" i="1"/>
  <c r="L129" i="1"/>
  <c r="L152" i="1"/>
  <c r="J155" i="1"/>
  <c r="L169" i="1"/>
  <c r="L177" i="1"/>
  <c r="L10" i="1"/>
  <c r="H46" i="1"/>
  <c r="B44" i="1"/>
  <c r="H73" i="1"/>
  <c r="L78" i="1"/>
  <c r="L97" i="1"/>
  <c r="K109" i="1"/>
  <c r="J167" i="1"/>
  <c r="H166" i="1"/>
  <c r="H59" i="1"/>
  <c r="J59" i="1" s="1"/>
  <c r="B56" i="1"/>
  <c r="L131" i="1"/>
  <c r="J147" i="1"/>
  <c r="L14" i="1"/>
  <c r="L113" i="1"/>
  <c r="C128" i="1"/>
  <c r="H8" i="1"/>
  <c r="H56" i="1"/>
  <c r="K139" i="1"/>
  <c r="J138" i="1"/>
  <c r="K188" i="1"/>
  <c r="L188" i="1" s="1"/>
  <c r="L19" i="1"/>
  <c r="L31" i="1"/>
  <c r="J57" i="1"/>
  <c r="J73" i="1"/>
  <c r="L74" i="1"/>
  <c r="L114" i="1"/>
  <c r="L117" i="1"/>
  <c r="L149" i="1"/>
  <c r="K190" i="1"/>
  <c r="L190" i="1" s="1"/>
  <c r="C36" i="1"/>
  <c r="C37" i="1" s="1"/>
  <c r="L118" i="1"/>
  <c r="J117" i="1"/>
  <c r="J135" i="1"/>
  <c r="L136" i="1"/>
  <c r="D19" i="1"/>
  <c r="H19" i="1" s="1"/>
  <c r="D8" i="1"/>
  <c r="L13" i="1"/>
  <c r="H21" i="1"/>
  <c r="H24" i="1"/>
  <c r="J24" i="1" s="1"/>
  <c r="G36" i="1"/>
  <c r="G37" i="1" s="1"/>
  <c r="L82" i="1"/>
  <c r="J81" i="1"/>
  <c r="G110" i="1"/>
  <c r="G109" i="1" s="1"/>
  <c r="G39" i="1" s="1"/>
  <c r="L119" i="1"/>
  <c r="L130" i="1"/>
  <c r="H147" i="1"/>
  <c r="L180" i="1"/>
  <c r="F101" i="1"/>
  <c r="H101" i="1" s="1"/>
  <c r="J101" i="1" s="1"/>
  <c r="L157" i="1"/>
  <c r="B47" i="1"/>
  <c r="H47" i="1" s="1"/>
  <c r="J47" i="1" s="1"/>
  <c r="L87" i="1"/>
  <c r="F92" i="1"/>
  <c r="H93" i="1"/>
  <c r="H102" i="1"/>
  <c r="J102" i="1" s="1"/>
  <c r="K175" i="1"/>
  <c r="L175" i="1" s="1"/>
  <c r="L176" i="1"/>
  <c r="K191" i="1"/>
  <c r="L191" i="1" s="1"/>
  <c r="I201" i="1"/>
  <c r="K37" i="1"/>
  <c r="H48" i="1"/>
  <c r="J48" i="1" s="1"/>
  <c r="L133" i="1"/>
  <c r="J132" i="1"/>
  <c r="D141" i="1"/>
  <c r="D39" i="1" s="1"/>
  <c r="H155" i="1"/>
  <c r="H160" i="1"/>
  <c r="D166" i="1"/>
  <c r="D159" i="1" s="1"/>
  <c r="L184" i="1"/>
  <c r="I194" i="1"/>
  <c r="D36" i="1"/>
  <c r="J146" i="1" l="1"/>
  <c r="L147" i="1"/>
  <c r="J64" i="1"/>
  <c r="L65" i="1"/>
  <c r="D194" i="1"/>
  <c r="L167" i="1"/>
  <c r="J166" i="1"/>
  <c r="H37" i="1"/>
  <c r="H141" i="1"/>
  <c r="J141" i="1" s="1"/>
  <c r="H39" i="1"/>
  <c r="J39" i="1" s="1"/>
  <c r="B194" i="1"/>
  <c r="D37" i="1"/>
  <c r="H92" i="1"/>
  <c r="H72" i="1" s="1"/>
  <c r="J93" i="1"/>
  <c r="L155" i="1"/>
  <c r="G194" i="1"/>
  <c r="H200" i="1" s="1"/>
  <c r="J200" i="1" s="1"/>
  <c r="H146" i="1"/>
  <c r="J21" i="1"/>
  <c r="H36" i="1"/>
  <c r="H123" i="1"/>
  <c r="H109" i="1" s="1"/>
  <c r="J124" i="1"/>
  <c r="L48" i="1"/>
  <c r="J44" i="1"/>
  <c r="L81" i="1"/>
  <c r="J56" i="1"/>
  <c r="L57" i="1"/>
  <c r="L59" i="1"/>
  <c r="L128" i="1"/>
  <c r="J110" i="1"/>
  <c r="L111" i="1"/>
  <c r="H159" i="1"/>
  <c r="L47" i="1"/>
  <c r="J42" i="1"/>
  <c r="L43" i="1"/>
  <c r="J120" i="1"/>
  <c r="L121" i="1"/>
  <c r="L70" i="1"/>
  <c r="J68" i="1"/>
  <c r="L102" i="1"/>
  <c r="L101" i="1"/>
  <c r="C194" i="1"/>
  <c r="J142" i="1"/>
  <c r="L143" i="1"/>
  <c r="J46" i="1"/>
  <c r="H44" i="1"/>
  <c r="H41" i="1" s="1"/>
  <c r="L60" i="1"/>
  <c r="L24" i="1"/>
  <c r="L135" i="1"/>
  <c r="L73" i="1"/>
  <c r="K138" i="1"/>
  <c r="L139" i="1"/>
  <c r="H128" i="1"/>
  <c r="H127" i="1" s="1"/>
  <c r="J127" i="1" s="1"/>
  <c r="C127" i="1"/>
  <c r="C39" i="1" s="1"/>
  <c r="L160" i="1"/>
  <c r="J159" i="1"/>
  <c r="L132" i="1"/>
  <c r="K200" i="1" l="1"/>
  <c r="L142" i="1"/>
  <c r="L141" i="1"/>
  <c r="L44" i="1"/>
  <c r="L64" i="1"/>
  <c r="L93" i="1"/>
  <c r="J92" i="1"/>
  <c r="L159" i="1"/>
  <c r="L120" i="1"/>
  <c r="J36" i="1"/>
  <c r="L21" i="1"/>
  <c r="L146" i="1"/>
  <c r="L46" i="1"/>
  <c r="J123" i="1"/>
  <c r="L124" i="1"/>
  <c r="M166" i="1"/>
  <c r="L166" i="1"/>
  <c r="J41" i="1"/>
  <c r="L42" i="1"/>
  <c r="L68" i="1"/>
  <c r="L138" i="1"/>
  <c r="K127" i="1"/>
  <c r="L110" i="1"/>
  <c r="L56" i="1"/>
  <c r="H194" i="1"/>
  <c r="J194" i="1" s="1"/>
  <c r="M141" i="1" s="1"/>
  <c r="H199" i="1"/>
  <c r="H201" i="1" l="1"/>
  <c r="J199" i="1"/>
  <c r="M92" i="1"/>
  <c r="L92" i="1"/>
  <c r="J72" i="1"/>
  <c r="M21" i="1"/>
  <c r="M142" i="1"/>
  <c r="M123" i="1"/>
  <c r="L123" i="1"/>
  <c r="L200" i="1"/>
  <c r="M39" i="1"/>
  <c r="M120" i="1"/>
  <c r="M64" i="1"/>
  <c r="J109" i="1"/>
  <c r="M41" i="1"/>
  <c r="L41" i="1"/>
  <c r="M46" i="1"/>
  <c r="M44" i="1"/>
  <c r="M42" i="1"/>
  <c r="M159" i="1"/>
  <c r="L127" i="1"/>
  <c r="K39" i="1"/>
  <c r="M146" i="1"/>
  <c r="M93" i="1"/>
  <c r="M178" i="1"/>
  <c r="M69" i="1"/>
  <c r="M85" i="1"/>
  <c r="M144" i="1"/>
  <c r="M122" i="1"/>
  <c r="M103" i="1"/>
  <c r="M192" i="1"/>
  <c r="M137" i="1"/>
  <c r="M112" i="1"/>
  <c r="M58" i="1"/>
  <c r="M53" i="1"/>
  <c r="M163" i="1"/>
  <c r="M86" i="1"/>
  <c r="M134" i="1"/>
  <c r="M100" i="1"/>
  <c r="M75" i="1"/>
  <c r="M133" i="1"/>
  <c r="M115" i="1"/>
  <c r="M12" i="1"/>
  <c r="M77" i="1"/>
  <c r="M173" i="1"/>
  <c r="M90" i="1"/>
  <c r="M194" i="1"/>
  <c r="M182" i="1"/>
  <c r="M76" i="1"/>
  <c r="M145" i="1"/>
  <c r="M186" i="1"/>
  <c r="M158" i="1"/>
  <c r="M98" i="1"/>
  <c r="M29" i="1"/>
  <c r="M17" i="1"/>
  <c r="M10" i="1"/>
  <c r="M88" i="1"/>
  <c r="M162" i="1"/>
  <c r="M156" i="1"/>
  <c r="M50" i="1"/>
  <c r="M177" i="1"/>
  <c r="M125" i="1"/>
  <c r="M16" i="1"/>
  <c r="M129" i="1"/>
  <c r="M89" i="1"/>
  <c r="M179" i="1"/>
  <c r="M105" i="1"/>
  <c r="M25" i="1"/>
  <c r="M33" i="1"/>
  <c r="M152" i="1"/>
  <c r="M106" i="1"/>
  <c r="M165" i="1"/>
  <c r="M32" i="1"/>
  <c r="M131" i="1"/>
  <c r="M188" i="1"/>
  <c r="M172" i="1"/>
  <c r="M18" i="1"/>
  <c r="M22" i="1"/>
  <c r="M66" i="1"/>
  <c r="M34" i="1"/>
  <c r="M183" i="1"/>
  <c r="M78" i="1"/>
  <c r="M87" i="1"/>
  <c r="M148" i="1"/>
  <c r="M63" i="1"/>
  <c r="M99" i="1"/>
  <c r="M169" i="1"/>
  <c r="M30" i="1"/>
  <c r="M164" i="1"/>
  <c r="M175" i="1"/>
  <c r="M28" i="1"/>
  <c r="M96" i="1"/>
  <c r="M151" i="1"/>
  <c r="M54" i="1"/>
  <c r="M104" i="1"/>
  <c r="M97" i="1"/>
  <c r="M14" i="1"/>
  <c r="M61" i="1"/>
  <c r="M139" i="1"/>
  <c r="M45" i="1"/>
  <c r="M171" i="1"/>
  <c r="M67" i="1"/>
  <c r="M118" i="1"/>
  <c r="M27" i="1"/>
  <c r="M153" i="1"/>
  <c r="M161" i="1"/>
  <c r="M11" i="1"/>
  <c r="M114" i="1"/>
  <c r="M52" i="1"/>
  <c r="M113" i="1"/>
  <c r="M13" i="1"/>
  <c r="M130" i="1"/>
  <c r="M23" i="1"/>
  <c r="M168" i="1"/>
  <c r="M94" i="1"/>
  <c r="M62" i="1"/>
  <c r="M74" i="1"/>
  <c r="M149" i="1"/>
  <c r="M82" i="1"/>
  <c r="M80" i="1"/>
  <c r="M55" i="1"/>
  <c r="M184" i="1"/>
  <c r="M150" i="1"/>
  <c r="M136" i="1"/>
  <c r="M180" i="1"/>
  <c r="M191" i="1"/>
  <c r="M84" i="1"/>
  <c r="M170" i="1"/>
  <c r="M190" i="1"/>
  <c r="M51" i="1"/>
  <c r="M116" i="1"/>
  <c r="M154" i="1"/>
  <c r="M49" i="1"/>
  <c r="M35" i="1"/>
  <c r="M9" i="1"/>
  <c r="M107" i="1"/>
  <c r="M31" i="1"/>
  <c r="M95" i="1"/>
  <c r="M15" i="1"/>
  <c r="M91" i="1"/>
  <c r="M83" i="1"/>
  <c r="M26" i="1"/>
  <c r="M79" i="1"/>
  <c r="M119" i="1"/>
  <c r="M157" i="1"/>
  <c r="M138" i="1"/>
  <c r="M135" i="1"/>
  <c r="M24" i="1"/>
  <c r="M81" i="1"/>
  <c r="M147" i="1"/>
  <c r="M121" i="1"/>
  <c r="M102" i="1"/>
  <c r="M19" i="1"/>
  <c r="M167" i="1"/>
  <c r="M132" i="1"/>
  <c r="M57" i="1"/>
  <c r="M48" i="1"/>
  <c r="M59" i="1"/>
  <c r="M176" i="1"/>
  <c r="M73" i="1"/>
  <c r="M65" i="1"/>
  <c r="M155" i="1"/>
  <c r="M117" i="1"/>
  <c r="M47" i="1"/>
  <c r="M101" i="1"/>
  <c r="M160" i="1"/>
  <c r="M70" i="1"/>
  <c r="M60" i="1"/>
  <c r="M128" i="1"/>
  <c r="M43" i="1"/>
  <c r="M111" i="1"/>
  <c r="M8" i="1"/>
  <c r="M143" i="1"/>
  <c r="M68" i="1"/>
  <c r="M36" i="1"/>
  <c r="J37" i="1"/>
  <c r="L36" i="1"/>
  <c r="M56" i="1"/>
  <c r="M124" i="1"/>
  <c r="M110" i="1"/>
  <c r="M127" i="1"/>
  <c r="M72" i="1" l="1"/>
  <c r="L72" i="1"/>
  <c r="K199" i="1"/>
  <c r="J201" i="1"/>
  <c r="L39" i="1"/>
  <c r="K194" i="1"/>
  <c r="L194" i="1" s="1"/>
  <c r="M109" i="1"/>
  <c r="L109" i="1"/>
  <c r="M37" i="1"/>
  <c r="L37" i="1"/>
  <c r="L199" i="1" l="1"/>
  <c r="L201" i="1" s="1"/>
  <c r="K201" i="1"/>
</calcChain>
</file>

<file path=xl/sharedStrings.xml><?xml version="1.0" encoding="utf-8"?>
<sst xmlns="http://schemas.openxmlformats.org/spreadsheetml/2006/main" count="175" uniqueCount="173">
  <si>
    <t>MINISTERIO DE AGRICULTURA  Y DESARROLLO RURAL</t>
  </si>
  <si>
    <t>DIRECCIÓN DE PLANEACIÓN Y SEGUIMIENTO PRESUPUESTAL</t>
  </si>
  <si>
    <t>PRESUPUESTO DE GASTOS DE FUNCIONAMIENTO E INVERSIÓN OCTUBRE-DICIEMBRE 2.018</t>
  </si>
  <si>
    <t>ANEXO 2</t>
  </si>
  <si>
    <t>CUENTAS</t>
  </si>
  <si>
    <t>PROGRAMAS ECONÓMICA</t>
  </si>
  <si>
    <t>PROGRAMAS TÉCNICA</t>
  </si>
  <si>
    <t>PROGRAMAS INVESTIGACIÓN Y TRANSFERENCIA DE TÉCNOLOGÍA</t>
  </si>
  <si>
    <t>PROGRAMA SANIDAD</t>
  </si>
  <si>
    <t>PROGRAMAS MERCADEO</t>
  </si>
  <si>
    <t xml:space="preserve">PROGRAMA PPC </t>
  </si>
  <si>
    <t>TOTAL INVERSIÓN</t>
  </si>
  <si>
    <t>GASTOS DE FUNCIONAMIENTO</t>
  </si>
  <si>
    <t>TOTAL PRESUPUESTO</t>
  </si>
  <si>
    <t>TOTAL EJECUTADO</t>
  </si>
  <si>
    <t>ACUERDO 1/18</t>
  </si>
  <si>
    <t>% EJECUCIÓN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</si>
  <si>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</si>
  <si>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</si>
  <si>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</si>
  <si>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</si>
  <si>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</si>
  <si>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</si>
  <si>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</si>
  <si>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</si>
  <si>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</si>
  <si>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</si>
  <si>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</si>
  <si>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</si>
  <si>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</si>
  <si>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</si>
  <si>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</si>
  <si>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</si>
  <si>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</si>
  <si>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</si>
  <si>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</si>
  <si>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</si>
  <si>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</si>
  <si>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</si>
  <si>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</si>
  <si>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</si>
  <si>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</si>
  <si>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</si>
  <si>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</si>
  <si>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</si>
  <si>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</si>
  <si>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</si>
  <si>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TOTAL FUNCIONAMIENTO</t>
  </si>
  <si>
    <t>TOTAL PROGRAMAS Y PROYECTOS</t>
  </si>
  <si>
    <t>TOTAL ÁREA ECONÓMICA</t>
  </si>
  <si>
    <t>Fortalecimiento institucional</t>
  </si>
  <si>
    <t>Acceso a Mercados</t>
  </si>
  <si>
    <t>Fortalecimiento Empresarial</t>
  </si>
  <si>
    <t>Gestión de servicios</t>
  </si>
  <si>
    <t>Fortalecimiento Asociativo</t>
  </si>
  <si>
    <t>Convenios</t>
  </si>
  <si>
    <t xml:space="preserve">   Contrapartidas Gobernaciones y/o Alcaldias</t>
  </si>
  <si>
    <t xml:space="preserve">     Convenio Gobernacion Cundinamarca</t>
  </si>
  <si>
    <t xml:space="preserve">     Convenio Pereira</t>
  </si>
  <si>
    <t xml:space="preserve">   Contrapartidas FNP</t>
  </si>
  <si>
    <t xml:space="preserve">     Convenio Gobernación FNP Cundinamarca</t>
  </si>
  <si>
    <t xml:space="preserve">     Convenio Pereira FNP</t>
  </si>
  <si>
    <t xml:space="preserve">     Carta Valle</t>
  </si>
  <si>
    <t>Apoyo autorización sanitaria</t>
  </si>
  <si>
    <t>Sistemas de información de mercados</t>
  </si>
  <si>
    <t>Monitoreo Precios de la Carne al Consumidor</t>
  </si>
  <si>
    <t>Actualización Información Nacional</t>
  </si>
  <si>
    <t>Seguimiento Mercados Internacionales</t>
  </si>
  <si>
    <t>Control al recaudo</t>
  </si>
  <si>
    <t>Seguimiento al recaudo regional</t>
  </si>
  <si>
    <t>Movilización coordinadores</t>
  </si>
  <si>
    <t>Jornadas de trabajo con los coordinadores regionales (visita plantas)</t>
  </si>
  <si>
    <t>Fortalecimiento del beneficio formal</t>
  </si>
  <si>
    <t>Movilización Jefe Coordinadores de recaudo</t>
  </si>
  <si>
    <t>Trabajo con autoridades</t>
  </si>
  <si>
    <t>Jornadas de trabajo con los coordinadores regionales(trabajo con autoridades)</t>
  </si>
  <si>
    <t>Aseguramiento de la calidad</t>
  </si>
  <si>
    <t>Asesorias BPM y HACCP</t>
  </si>
  <si>
    <t>Sello de producto en la cadena de transformación</t>
  </si>
  <si>
    <t>TOTAL ÁREA MERCADEO</t>
  </si>
  <si>
    <t>Investigación de mercados</t>
  </si>
  <si>
    <t xml:space="preserve">Home Panel </t>
  </si>
  <si>
    <t>Brand Equity Tracking</t>
  </si>
  <si>
    <t>Monitoreo de Medios</t>
  </si>
  <si>
    <t>Evaluación Neurologica de la  Campaña Vigente/Eye Tracking</t>
  </si>
  <si>
    <t>Estudio del Consumidor</t>
  </si>
  <si>
    <t>Estudio NSOP (LSDA)</t>
  </si>
  <si>
    <t>Estudio Digital</t>
  </si>
  <si>
    <t>Campaña de fomento al consumo</t>
  </si>
  <si>
    <t>Campaña de publicidad</t>
  </si>
  <si>
    <t>Consultoría MESA</t>
  </si>
  <si>
    <t>Pauta institucional</t>
  </si>
  <si>
    <t>Seguimiento y gestion comunicación integral.</t>
  </si>
  <si>
    <t>Sostenimiento y Desarrollo Digital</t>
  </si>
  <si>
    <t>Free Press Influenciadores</t>
  </si>
  <si>
    <t>Kit Publicitario</t>
  </si>
  <si>
    <t>Desarrollo Digital (Concurso Sabor Porkcolombia)</t>
  </si>
  <si>
    <t>Pauta digital</t>
  </si>
  <si>
    <t>Producción Digital</t>
  </si>
  <si>
    <t>Activaciones de consumo</t>
  </si>
  <si>
    <t>Cocina PorkColombia</t>
  </si>
  <si>
    <t>Asesor Gastronómico Ejecutivo</t>
  </si>
  <si>
    <t>Viajes Gestión Regional</t>
  </si>
  <si>
    <t>Capacitación anual contratistas</t>
  </si>
  <si>
    <t>Material de promocion al consumo</t>
  </si>
  <si>
    <t>Festival PorkColombia</t>
  </si>
  <si>
    <t>Seguimiento gestión a eventos de sensibilización de las bondades de la carne de cerdo</t>
  </si>
  <si>
    <t>Eventos especializados (Sector, gastronomicos , sector salud)</t>
  </si>
  <si>
    <t>Comercialización y Nuevos Negocios</t>
  </si>
  <si>
    <t>Gestion y seguimiento comercializacion y nuevos negocios</t>
  </si>
  <si>
    <t xml:space="preserve">Gestion de actividades nutricionales </t>
  </si>
  <si>
    <t>Material Promocional y Publicitario</t>
  </si>
  <si>
    <t>Eventos Apertura Nuevos Negocios</t>
  </si>
  <si>
    <t>Cerdificado PorkColombia (Expertos de carne de cerdo)</t>
  </si>
  <si>
    <t>ChefRegionales PorkColombia</t>
  </si>
  <si>
    <t>TOTAL ÁREA ERRADICACIÓN PPC</t>
  </si>
  <si>
    <t>Vacunacion e identificacion de Porcinos</t>
  </si>
  <si>
    <t>Identificación</t>
  </si>
  <si>
    <t>Suministros clínicos y dotaciones</t>
  </si>
  <si>
    <t>Auxilios distribuidores</t>
  </si>
  <si>
    <t>Biológico</t>
  </si>
  <si>
    <t>Contratación de personal</t>
  </si>
  <si>
    <t>Disposición de residuos biológicos</t>
  </si>
  <si>
    <t>Capacitación y divulgación</t>
  </si>
  <si>
    <t>Capacitación</t>
  </si>
  <si>
    <t>Divulgación</t>
  </si>
  <si>
    <t>Vigilancia Epidemiológica</t>
  </si>
  <si>
    <t>Administración de la base de datos</t>
  </si>
  <si>
    <t>Diseño, matenimiento y actualización de la plataforma</t>
  </si>
  <si>
    <t>Entrenamiento y soporte operativo</t>
  </si>
  <si>
    <t>TOTAL ÁREA TÉCNICA</t>
  </si>
  <si>
    <t>Programa nacional de bioseguridad, sanidad y productividad-PNBSP</t>
  </si>
  <si>
    <t>Acompañamiento (Certificación en granja y transporte)</t>
  </si>
  <si>
    <t>Taller técnico de bioseguridad, sanidad y productividad</t>
  </si>
  <si>
    <t>Premios PORKS Colombia 2018</t>
  </si>
  <si>
    <t xml:space="preserve">Sostenibilidad y responsabilidad social empresarial en producción primaria </t>
  </si>
  <si>
    <t xml:space="preserve">Acompañamiento y apoyo </t>
  </si>
  <si>
    <t>Granjas modelo y mesas de trabajo interinstitucionales e intergremiales</t>
  </si>
  <si>
    <t>Inocuidad y bienestar animal en producción primaria y transporte</t>
  </si>
  <si>
    <t>Profesionales de apoyo en implementación y certificación granja y transporte</t>
  </si>
  <si>
    <t>Fortalecimiento de competencias en bienestar animal e inocuidad</t>
  </si>
  <si>
    <t>Zonificación y ordenamiento productivo</t>
  </si>
  <si>
    <t>Proyecto UPRA-Porkcolombia</t>
  </si>
  <si>
    <t>TOTAL ÁREA INVESTIGACIÓN Y TRANSFERENCIA</t>
  </si>
  <si>
    <t>Investigación y desarrollo</t>
  </si>
  <si>
    <t>Proyectos</t>
  </si>
  <si>
    <t>Capacitación anual</t>
  </si>
  <si>
    <t>Jornadas de divulgación resultados de investigación</t>
  </si>
  <si>
    <t>Transferencia de tecnología</t>
  </si>
  <si>
    <t xml:space="preserve">  Vinculación tecnologica</t>
  </si>
  <si>
    <t xml:space="preserve">  Talleres y seminarios</t>
  </si>
  <si>
    <t>Jornada de actualizacion tecnica</t>
  </si>
  <si>
    <t>Material de apoyo</t>
  </si>
  <si>
    <t>Diagnostico</t>
  </si>
  <si>
    <t>Diagnostico rutinario con laboratorios oficiales</t>
  </si>
  <si>
    <t>Diagnostico rutinario con laboratorios privados</t>
  </si>
  <si>
    <t>Apoyo Diagnostico lineas base (ICA)</t>
  </si>
  <si>
    <t>TOTAL ÁREA SANIDAD</t>
  </si>
  <si>
    <t>Control y monitoreo de enfermedades en granjas de Colombia</t>
  </si>
  <si>
    <t>CUOTA DE ADMINISTRACIÓN</t>
  </si>
  <si>
    <t>Cuota de administración FNP</t>
  </si>
  <si>
    <t>Cuota de administración PPC</t>
  </si>
  <si>
    <t>FONDO DE EMERGENCIA FNP</t>
  </si>
  <si>
    <t>FONDO DE EMERGENCIA PPC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</si>
  <si>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</si>
  <si>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</si>
  <si>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</si>
  <si>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</si>
  <si>
    <t>GASTOS</t>
  </si>
  <si>
    <t>INGRESOS</t>
  </si>
  <si>
    <t>RESERVA</t>
  </si>
  <si>
    <t>FNP</t>
  </si>
  <si>
    <t>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</si>
</sst>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_-* #,##0\ _€_-;\-* #,##0\ _€_-;_-* &quot;-&quot;??\ _€_-;_-@_-"/>
  </numFmts>
  <fonts count="13" x14ac:knownFonts="1">
    <font>
      <sz val="10"/>
      <name val="Arial"/>
    </font>
    <font>
      <b/>
      <sz val="11"/>
      <name val="Arial"/>
      <family val="2"/>
      <charset val="186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0" xfId="0" applyFont="1" applyFill="1" applyAlignment="1">
      <alignment horizontal="center"/>
    </xf>
    <xf numFmtId="3" fontId="2" fillId="2" borderId="1" xfId="0" applyNumberFormat="1" applyFont="1" applyFill="1" applyBorder="1" applyAlignment="1">
      <alignment horizontal="centerContinuous"/>
    </xf>
    <xf numFmtId="3" fontId="1" fillId="2" borderId="1" xfId="0" applyNumberFormat="1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2" borderId="0" xfId="0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/>
    <xf numFmtId="0" fontId="4" fillId="2" borderId="6" xfId="0" applyFont="1" applyFill="1" applyBorder="1"/>
    <xf numFmtId="0" fontId="4" fillId="2" borderId="7" xfId="0" applyFont="1" applyFill="1" applyBorder="1"/>
    <xf numFmtId="3" fontId="5" fillId="2" borderId="5" xfId="0" applyNumberFormat="1" applyFont="1" applyFill="1" applyBorder="1" applyAlignment="1"/>
    <xf numFmtId="3" fontId="5" fillId="2" borderId="6" xfId="0" applyNumberFormat="1" applyFont="1" applyFill="1" applyBorder="1"/>
    <xf numFmtId="10" fontId="5" fillId="2" borderId="7" xfId="1" applyNumberFormat="1" applyFont="1" applyFill="1" applyBorder="1"/>
    <xf numFmtId="3" fontId="4" fillId="2" borderId="5" xfId="0" applyNumberFormat="1" applyFont="1" applyFill="1" applyBorder="1" applyAlignment="1"/>
    <xf numFmtId="3" fontId="4" fillId="2" borderId="6" xfId="0" applyNumberFormat="1" applyFont="1" applyFill="1" applyBorder="1"/>
    <xf numFmtId="3" fontId="7" fillId="2" borderId="6" xfId="0" applyNumberFormat="1" applyFont="1" applyFill="1" applyBorder="1"/>
    <xf numFmtId="10" fontId="7" fillId="2" borderId="7" xfId="1" applyNumberFormat="1" applyFont="1" applyFill="1" applyBorder="1"/>
    <xf numFmtId="0" fontId="0" fillId="0" borderId="0" xfId="0" applyFill="1" applyAlignment="1">
      <alignment horizontal="center"/>
    </xf>
    <xf numFmtId="3" fontId="8" fillId="2" borderId="6" xfId="0" applyNumberFormat="1" applyFont="1" applyFill="1" applyBorder="1"/>
    <xf numFmtId="3" fontId="0" fillId="0" borderId="0" xfId="0" applyNumberFormat="1" applyFill="1"/>
    <xf numFmtId="0" fontId="1" fillId="2" borderId="5" xfId="0" applyFont="1" applyFill="1" applyBorder="1" applyAlignment="1"/>
    <xf numFmtId="3" fontId="1" fillId="2" borderId="6" xfId="0" applyNumberFormat="1" applyFont="1" applyFill="1" applyBorder="1"/>
    <xf numFmtId="0" fontId="4" fillId="2" borderId="5" xfId="0" applyFont="1" applyFill="1" applyBorder="1" applyAlignment="1"/>
    <xf numFmtId="3" fontId="4" fillId="2" borderId="6" xfId="2" applyNumberFormat="1" applyFont="1" applyFill="1" applyBorder="1"/>
    <xf numFmtId="3" fontId="5" fillId="2" borderId="6" xfId="2" applyNumberFormat="1" applyFont="1" applyFill="1" applyBorder="1"/>
    <xf numFmtId="0" fontId="1" fillId="2" borderId="8" xfId="0" applyFont="1" applyFill="1" applyBorder="1" applyAlignment="1"/>
    <xf numFmtId="3" fontId="1" fillId="0" borderId="9" xfId="0" applyNumberFormat="1" applyFont="1" applyFill="1" applyBorder="1"/>
    <xf numFmtId="10" fontId="5" fillId="2" borderId="10" xfId="1" applyNumberFormat="1" applyFont="1" applyFill="1" applyBorder="1"/>
    <xf numFmtId="3" fontId="1" fillId="2" borderId="9" xfId="0" applyNumberFormat="1" applyFont="1" applyFill="1" applyBorder="1"/>
    <xf numFmtId="37" fontId="1" fillId="2" borderId="5" xfId="0" applyNumberFormat="1" applyFont="1" applyFill="1" applyBorder="1" applyAlignment="1"/>
    <xf numFmtId="0" fontId="9" fillId="0" borderId="0" xfId="0" applyFont="1" applyFill="1"/>
    <xf numFmtId="37" fontId="7" fillId="2" borderId="5" xfId="0" applyNumberFormat="1" applyFont="1" applyFill="1" applyBorder="1" applyAlignment="1">
      <alignment horizontal="left"/>
    </xf>
    <xf numFmtId="37" fontId="5" fillId="2" borderId="5" xfId="0" applyNumberFormat="1" applyFont="1" applyFill="1" applyBorder="1" applyAlignment="1">
      <alignment horizontal="left"/>
    </xf>
    <xf numFmtId="164" fontId="1" fillId="2" borderId="6" xfId="2" applyFont="1" applyFill="1" applyBorder="1"/>
    <xf numFmtId="3" fontId="5" fillId="0" borderId="6" xfId="0" applyNumberFormat="1" applyFont="1" applyFill="1" applyBorder="1"/>
    <xf numFmtId="164" fontId="7" fillId="2" borderId="6" xfId="2" applyFont="1" applyFill="1" applyBorder="1"/>
    <xf numFmtId="164" fontId="9" fillId="0" borderId="0" xfId="2" applyFont="1" applyFill="1"/>
    <xf numFmtId="37" fontId="7" fillId="2" borderId="5" xfId="0" applyNumberFormat="1" applyFont="1" applyFill="1" applyBorder="1" applyAlignment="1"/>
    <xf numFmtId="37" fontId="5" fillId="2" borderId="5" xfId="0" applyNumberFormat="1" applyFont="1" applyFill="1" applyBorder="1" applyAlignment="1"/>
    <xf numFmtId="3" fontId="5" fillId="2" borderId="6" xfId="3" applyNumberFormat="1" applyFont="1" applyFill="1" applyBorder="1"/>
    <xf numFmtId="165" fontId="6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/>
    <xf numFmtId="0" fontId="4" fillId="2" borderId="11" xfId="0" applyFont="1" applyFill="1" applyBorder="1" applyAlignment="1"/>
    <xf numFmtId="3" fontId="1" fillId="2" borderId="12" xfId="0" applyNumberFormat="1" applyFont="1" applyFill="1" applyBorder="1"/>
    <xf numFmtId="0" fontId="4" fillId="2" borderId="12" xfId="0" applyFont="1" applyFill="1" applyBorder="1"/>
    <xf numFmtId="3" fontId="4" fillId="2" borderId="12" xfId="0" applyNumberFormat="1" applyFont="1" applyFill="1" applyBorder="1"/>
    <xf numFmtId="0" fontId="4" fillId="2" borderId="13" xfId="0" applyFont="1" applyFill="1" applyBorder="1"/>
    <xf numFmtId="10" fontId="0" fillId="0" borderId="0" xfId="1" applyNumberFormat="1" applyFont="1" applyFill="1"/>
    <xf numFmtId="0" fontId="10" fillId="0" borderId="0" xfId="0" applyFont="1" applyFill="1" applyAlignment="1"/>
    <xf numFmtId="3" fontId="10" fillId="0" borderId="0" xfId="0" applyNumberFormat="1" applyFont="1" applyFill="1"/>
    <xf numFmtId="37" fontId="10" fillId="0" borderId="0" xfId="0" applyNumberFormat="1" applyFont="1" applyFill="1"/>
    <xf numFmtId="0" fontId="10" fillId="0" borderId="0" xfId="0" applyFont="1" applyFill="1"/>
    <xf numFmtId="10" fontId="10" fillId="0" borderId="0" xfId="0" applyNumberFormat="1" applyFont="1" applyFill="1"/>
    <xf numFmtId="37" fontId="0" fillId="0" borderId="0" xfId="0" applyNumberFormat="1" applyFill="1"/>
    <xf numFmtId="164" fontId="10" fillId="0" borderId="0" xfId="2" applyFont="1" applyFill="1"/>
    <xf numFmtId="9" fontId="10" fillId="0" borderId="0" xfId="1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/>
    <xf numFmtId="3" fontId="11" fillId="0" borderId="0" xfId="0" applyNumberFormat="1" applyFont="1" applyFill="1"/>
    <xf numFmtId="165" fontId="11" fillId="0" borderId="0" xfId="2" applyNumberFormat="1" applyFont="1" applyFill="1"/>
    <xf numFmtId="10" fontId="10" fillId="0" borderId="0" xfId="1" applyNumberFormat="1" applyFont="1" applyFill="1"/>
    <xf numFmtId="3" fontId="11" fillId="0" borderId="1" xfId="0" applyNumberFormat="1" applyFont="1" applyFill="1" applyBorder="1"/>
    <xf numFmtId="165" fontId="11" fillId="0" borderId="1" xfId="2" applyNumberFormat="1" applyFont="1" applyFill="1" applyBorder="1"/>
    <xf numFmtId="3" fontId="12" fillId="0" borderId="0" xfId="0" applyNumberFormat="1" applyFont="1" applyFill="1" applyAlignment="1"/>
    <xf numFmtId="166" fontId="12" fillId="0" borderId="0" xfId="0" applyNumberFormat="1" applyFont="1" applyFill="1" applyAlignment="1"/>
    <xf numFmtId="164" fontId="11" fillId="0" borderId="0" xfId="2" applyFont="1" applyFill="1"/>
  </cellXfs>
  <cellStyles count="4">
    <cellStyle name="Millares 2 2" xfId="3"/>
    <cellStyle name="Millares 23" xfId="2"/>
    <cellStyle name="Normal" xfId="0" builtinId="0"/>
    <cellStyle name="Porcentaje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8/CIERRE%20OCT-DIC%20201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5\PRESUPUESTO%202015\PRESUPUESTO%202015%20V.6\Presupuesto%202015%20version%2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ectorppc\AppData\Local\Microsoft\Windows\Temporary%20Internet%20Files\Content.IE5\68SX2PI0\Desagregado%20&#193;rea%20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Presupuesto%202017\Presupuesto%202017%203ra%20version\Anexos\Presupuesto%20PPC%20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Solicitud%20&#225;reas/IV%20trimestre/Presupuesto%20Solicitud%20IV%20Trimestre%202018mercade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Ortiz\Desktop\PPC2013\PRESUPUESTO%202014\PRESUPUESTO%20DEFINITIVO%202014%20NOV\Desagregado%20PPC%202014%20%20definitiv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8\Presupuesto%202018\Presupuesto%202018%20v.2\Anexos\presupuesto%20PPC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Solicitud%20&#225;reas/IV%20trimestre/Proyecci&#243;n%20ejecuci&#243;n%20III%20Tri%20y%20solicitud%20IV%20Tri%20t&#233;cnica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8\Presupuesto%202018\Presupuesto%202018%20v.2\Anexos\Presupuestos%20Investigaci&#243;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8\Presupuesto%202018\Presupuesto%202018%20v.2\Anexos\Presupuesto%20Sanida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AJUSTE%20SALARIOSdef\Ajuste%20salarios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Rendimientos "/>
      <sheetName val="VENTAS PPC"/>
      <sheetName val="Ejecución ingresos 2017"/>
      <sheetName val="Ejecución gastos 2017"/>
      <sheetName val="Superavit 2017"/>
      <sheetName val="Anexo 2 "/>
      <sheetName val="Anexo 3"/>
      <sheetName val="Anexo 4"/>
      <sheetName val="Funcionamiento"/>
      <sheetName val="Nómina y honorarios 2018"/>
      <sheetName val="Comparativo nómina 2017-2018"/>
      <sheetName val="Comparativo gastos persona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G10">
            <v>0</v>
          </cell>
        </row>
        <row r="14">
          <cell r="G14">
            <v>6141187</v>
          </cell>
        </row>
        <row r="16">
          <cell r="G16">
            <v>2512431</v>
          </cell>
          <cell r="H16">
            <v>2512431</v>
          </cell>
          <cell r="I16">
            <v>2512431</v>
          </cell>
          <cell r="J16">
            <v>2512431</v>
          </cell>
          <cell r="K16">
            <v>2512431</v>
          </cell>
          <cell r="L16">
            <v>2512431</v>
          </cell>
        </row>
        <row r="18">
          <cell r="G18">
            <v>10141518</v>
          </cell>
          <cell r="I18">
            <v>3672640</v>
          </cell>
          <cell r="J18">
            <v>1278145.5861</v>
          </cell>
          <cell r="K18">
            <v>529869</v>
          </cell>
          <cell r="L18">
            <v>5155311.9137871545</v>
          </cell>
        </row>
        <row r="20">
          <cell r="F20">
            <v>15000000</v>
          </cell>
          <cell r="G20">
            <v>2750551</v>
          </cell>
          <cell r="I20">
            <v>15057895</v>
          </cell>
        </row>
        <row r="22">
          <cell r="G22">
            <v>111347641</v>
          </cell>
          <cell r="I22">
            <v>4500000</v>
          </cell>
          <cell r="J22">
            <v>6000000</v>
          </cell>
          <cell r="K22">
            <v>4486576</v>
          </cell>
          <cell r="L22">
            <v>19302005.791658003</v>
          </cell>
        </row>
        <row r="24">
          <cell r="G24">
            <v>4742837</v>
          </cell>
          <cell r="I24">
            <v>32022395</v>
          </cell>
          <cell r="J24">
            <v>3119545.6310000001</v>
          </cell>
        </row>
        <row r="26">
          <cell r="G26">
            <v>99099483</v>
          </cell>
          <cell r="H26">
            <v>885675</v>
          </cell>
          <cell r="J26">
            <v>2200000</v>
          </cell>
          <cell r="K26">
            <v>2271039</v>
          </cell>
          <cell r="L26">
            <v>5249421.3148000035</v>
          </cell>
        </row>
        <row r="28">
          <cell r="G28">
            <v>1353600</v>
          </cell>
          <cell r="I28">
            <v>1081800</v>
          </cell>
          <cell r="J28">
            <v>1447797.25</v>
          </cell>
          <cell r="K28">
            <v>1491527.5</v>
          </cell>
          <cell r="L28">
            <v>766452</v>
          </cell>
        </row>
        <row r="30">
          <cell r="G30">
            <v>16937847</v>
          </cell>
          <cell r="I30">
            <v>1027736.2999999999</v>
          </cell>
          <cell r="J30">
            <v>590137.21409999998</v>
          </cell>
          <cell r="K30">
            <v>1000000</v>
          </cell>
        </row>
        <row r="34">
          <cell r="G34">
            <v>26863162</v>
          </cell>
        </row>
      </sheetData>
      <sheetData sheetId="11">
        <row r="13">
          <cell r="K13">
            <v>43336890.29609333</v>
          </cell>
        </row>
        <row r="22">
          <cell r="K22">
            <v>246413235.79175323</v>
          </cell>
        </row>
        <row r="43">
          <cell r="K43">
            <v>93905340.49927333</v>
          </cell>
        </row>
        <row r="55">
          <cell r="K55">
            <v>91518055.87773332</v>
          </cell>
        </row>
        <row r="66">
          <cell r="K66">
            <v>78573449.402933329</v>
          </cell>
        </row>
        <row r="80">
          <cell r="K80">
            <v>254262616.07504326</v>
          </cell>
        </row>
      </sheetData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A13" t="str">
            <v>SUPERVISOR CONTROL PRESUPUESTAL</v>
          </cell>
        </row>
      </sheetData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 1 Honorarios Contratistas"/>
    </sheetNames>
    <sheetDataSet>
      <sheetData sheetId="0" refreshError="1">
        <row r="16">
          <cell r="M16">
            <v>50163529</v>
          </cell>
        </row>
        <row r="17">
          <cell r="M17">
            <v>91958584</v>
          </cell>
        </row>
        <row r="18">
          <cell r="M18">
            <v>7022000</v>
          </cell>
        </row>
        <row r="20">
          <cell r="M20">
            <v>87916011</v>
          </cell>
        </row>
        <row r="21">
          <cell r="M21">
            <v>44030070</v>
          </cell>
        </row>
        <row r="34">
          <cell r="M34">
            <v>13854862.608606666</v>
          </cell>
        </row>
        <row r="36">
          <cell r="M36">
            <v>5628750</v>
          </cell>
        </row>
        <row r="37">
          <cell r="M37">
            <v>64915059</v>
          </cell>
        </row>
        <row r="38">
          <cell r="M38">
            <v>66220945</v>
          </cell>
        </row>
        <row r="39">
          <cell r="M39">
            <v>48197639</v>
          </cell>
        </row>
        <row r="43">
          <cell r="M43">
            <v>19011025.535999984</v>
          </cell>
        </row>
        <row r="44">
          <cell r="M44">
            <v>10037073.046406657</v>
          </cell>
        </row>
        <row r="45">
          <cell r="M45">
            <v>11821645</v>
          </cell>
        </row>
        <row r="47">
          <cell r="M47">
            <v>15889851</v>
          </cell>
        </row>
        <row r="49">
          <cell r="M49">
            <v>6329117</v>
          </cell>
        </row>
        <row r="50">
          <cell r="M50">
            <v>50035659</v>
          </cell>
        </row>
        <row r="53">
          <cell r="M53">
            <v>4600000</v>
          </cell>
        </row>
        <row r="54">
          <cell r="M54">
            <v>40690833</v>
          </cell>
        </row>
        <row r="55">
          <cell r="M55">
            <v>20834000</v>
          </cell>
        </row>
        <row r="56">
          <cell r="M56">
            <v>59000000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7 vs 2018"/>
      <sheetName val="Presupuesto desagregado 2018"/>
      <sheetName val="Suministros clínic y dotaciones"/>
      <sheetName val="Contratación personal"/>
      <sheetName val="Diagnóstico rutinario"/>
      <sheetName val="Autoridades y puestos control"/>
      <sheetName val="Administración bases de datos"/>
    </sheetNames>
    <sheetDataSet>
      <sheetData sheetId="0">
        <row r="37">
          <cell r="B37" t="str">
            <v>Diagnóstico Rutinario</v>
          </cell>
        </row>
        <row r="40">
          <cell r="B40" t="str">
            <v>Trabajo con autoridades y puestos de control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Anexo1"/>
      <sheetName val="Anexo2"/>
    </sheetNames>
    <sheetDataSet>
      <sheetData sheetId="0">
        <row r="23">
          <cell r="L23">
            <v>46620115</v>
          </cell>
        </row>
        <row r="24">
          <cell r="L24">
            <v>45693049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s"/>
      <sheetName val="ingresos"/>
    </sheetNames>
    <sheetDataSet>
      <sheetData sheetId="0">
        <row r="23">
          <cell r="A23" t="str">
            <v>Gira técnica</v>
          </cell>
        </row>
        <row r="24">
          <cell r="A24" t="str">
            <v>Capacitación en desposte y transformación de la carne de cerdo</v>
          </cell>
        </row>
        <row r="26">
          <cell r="A26" t="str">
            <v>Curso virtual en tecnologías ambientales para porcicultura</v>
          </cell>
        </row>
        <row r="27">
          <cell r="A27" t="str">
            <v>Curso virtual innovación en productos</v>
          </cell>
        </row>
        <row r="28">
          <cell r="A28" t="str">
            <v>Campus virtual</v>
          </cell>
        </row>
        <row r="30">
          <cell r="A30" t="str">
            <v>Encuentros regionales porcicolas</v>
          </cell>
        </row>
        <row r="32">
          <cell r="A32" t="str">
            <v>Curso de operarios</v>
          </cell>
        </row>
        <row r="34">
          <cell r="A34" t="str">
            <v>Buenas practicas en el manejo de medicamentos veterinarios</v>
          </cell>
        </row>
        <row r="40">
          <cell r="A40" t="str">
            <v>Diagnóstico rutinario</v>
          </cell>
        </row>
        <row r="41">
          <cell r="A41" t="str">
            <v>Diagnóstico integrado</v>
          </cell>
        </row>
        <row r="42">
          <cell r="A42" t="str">
            <v>Diagnóstico PRRS (incluido IFA)</v>
          </cell>
        </row>
        <row r="43">
          <cell r="A43" t="str">
            <v>Compras de insumos</v>
          </cell>
        </row>
        <row r="44">
          <cell r="A44" t="str">
            <v>Diagnóstico importados</v>
          </cell>
        </row>
        <row r="47">
          <cell r="A47" t="str">
            <v>Rutinario</v>
          </cell>
        </row>
        <row r="48">
          <cell r="A48" t="str">
            <v>Combos</v>
          </cell>
        </row>
        <row r="49">
          <cell r="A49" t="str">
            <v>PRRS</v>
          </cell>
        </row>
        <row r="50">
          <cell r="A50" t="str">
            <v>Pruebas interlaboratorios</v>
          </cell>
        </row>
        <row r="51">
          <cell r="A51" t="str">
            <v>Promoción al diagnóstico</v>
          </cell>
        </row>
        <row r="52">
          <cell r="A52" t="str">
            <v>Inocuidad y ambiente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8 vs 2017"/>
      <sheetName val="Presupuesto desagregado 2018"/>
      <sheetName val="PRRS"/>
    </sheetNames>
    <sheetDataSet>
      <sheetData sheetId="0">
        <row r="16">
          <cell r="B16" t="str">
            <v>Control y monitoreo de PRRS</v>
          </cell>
        </row>
        <row r="17">
          <cell r="B17" t="str">
            <v>Vigilancia de Influenza Porcina</v>
          </cell>
        </row>
        <row r="18">
          <cell r="B18" t="str">
            <v>Programa Nacional de Sanidad Porcina</v>
          </cell>
        </row>
        <row r="19">
          <cell r="B19" t="str">
            <v>Divulgación sanitaria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Nómina anual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tabSelected="1" topLeftCell="A2" zoomScale="85" zoomScaleNormal="85" zoomScaleSheetLayoutView="85" workbookViewId="0">
      <pane xSplit="1" ySplit="5" topLeftCell="D7" activePane="bottomRight" state="frozen"/>
      <selection activeCell="A2" sqref="A2"/>
      <selection pane="topRight" activeCell="B2" sqref="B2"/>
      <selection pane="bottomLeft" activeCell="A7" sqref="A7"/>
      <selection pane="bottomRight" activeCell="L35" sqref="L35"/>
    </sheetView>
  </sheetViews>
  <sheetFormatPr baseColWidth="10" defaultRowHeight="12.75" outlineLevelRow="2" x14ac:dyDescent="0.2"/>
  <cols>
    <col min="1" max="1" width="57.7109375" style="2" customWidth="1"/>
    <col min="2" max="2" width="14.5703125" style="2" customWidth="1"/>
    <col min="3" max="3" width="14.7109375" style="2" customWidth="1"/>
    <col min="4" max="4" width="19.85546875" style="2" customWidth="1"/>
    <col min="5" max="5" width="14.42578125" style="2" customWidth="1"/>
    <col min="6" max="6" width="15.42578125" style="2" customWidth="1"/>
    <col min="7" max="7" width="17.5703125" style="2" customWidth="1"/>
    <col min="8" max="8" width="16.140625" style="2" customWidth="1"/>
    <col min="9" max="9" width="21.42578125" style="2" customWidth="1"/>
    <col min="10" max="12" width="19.7109375" style="2" customWidth="1"/>
    <col min="13" max="13" width="9.42578125" style="2" customWidth="1"/>
    <col min="14" max="16" width="14.5703125" style="2" customWidth="1"/>
    <col min="17" max="16384" width="11.42578125" style="2"/>
  </cols>
  <sheetData>
    <row r="1" spans="1:15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1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ht="15.75" thickBot="1" x14ac:dyDescent="0.3">
      <c r="A5" s="4"/>
      <c r="B5" s="5"/>
      <c r="C5" s="6"/>
      <c r="D5" s="6"/>
      <c r="E5" s="7"/>
      <c r="F5" s="7"/>
      <c r="G5" s="7"/>
      <c r="H5" s="8"/>
      <c r="I5" s="7"/>
      <c r="J5" s="9"/>
      <c r="K5" s="9"/>
      <c r="L5" s="9"/>
      <c r="M5" s="9"/>
    </row>
    <row r="6" spans="1:15" ht="73.5" customHeight="1" thickTop="1" x14ac:dyDescent="0.2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2" t="s">
        <v>14</v>
      </c>
      <c r="L6" s="12" t="s">
        <v>15</v>
      </c>
      <c r="M6" s="13" t="s">
        <v>16</v>
      </c>
    </row>
    <row r="7" spans="1:15" ht="15" x14ac:dyDescent="0.25">
      <c r="A7" s="14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5" ht="15" x14ac:dyDescent="0.25">
      <c r="A8" s="17" t="s">
        <v>18</v>
      </c>
      <c r="B8" s="18">
        <f>SUM(B9:B18)</f>
        <v>396154628.90116572</v>
      </c>
      <c r="C8" s="18">
        <f t="shared" ref="C8:J8" si="0">SUM(C9:C18)</f>
        <v>137429835.34555516</v>
      </c>
      <c r="D8" s="18">
        <f t="shared" si="0"/>
        <v>117440351.40293333</v>
      </c>
      <c r="E8" s="18">
        <f>SUM(E9:E18)</f>
        <v>20539979.447975196</v>
      </c>
      <c r="F8" s="18">
        <f t="shared" si="0"/>
        <v>138777480.86424726</v>
      </c>
      <c r="G8" s="18">
        <f>SUM(G9:G18)</f>
        <v>389939514.5903542</v>
      </c>
      <c r="H8" s="18">
        <f>SUM(H9:H18)</f>
        <v>1200281790.5522308</v>
      </c>
      <c r="I8" s="18">
        <f>SUM(I9:I18)</f>
        <v>102741687.92907536</v>
      </c>
      <c r="J8" s="18">
        <f t="shared" si="0"/>
        <v>1303023478.4813061</v>
      </c>
      <c r="K8" s="18">
        <f>SUM(K9:K18)</f>
        <v>1205378625</v>
      </c>
      <c r="L8" s="18">
        <f>+K8-J8</f>
        <v>-97644853.481306076</v>
      </c>
      <c r="M8" s="19">
        <f t="shared" ref="M8:M19" si="1">+J8/$J$194</f>
        <v>0.10872040143047182</v>
      </c>
    </row>
    <row r="9" spans="1:15" ht="14.25" x14ac:dyDescent="0.2">
      <c r="A9" s="20" t="s">
        <v>19</v>
      </c>
      <c r="B9" s="21">
        <f>+'[1]Nómina y honorarios 2018'!K22</f>
        <v>246413235.79175323</v>
      </c>
      <c r="C9" s="21">
        <f>+'[1]Nómina y honorarios 2018'!K55</f>
        <v>91518055.87773332</v>
      </c>
      <c r="D9" s="21">
        <f>+'[1]Nómina y honorarios 2018'!K66</f>
        <v>78573449.402933329</v>
      </c>
      <c r="E9" s="21">
        <v>11831729</v>
      </c>
      <c r="F9" s="21">
        <f>+'[1]Nómina y honorarios 2018'!K43</f>
        <v>93905340.49927333</v>
      </c>
      <c r="G9" s="21">
        <f>+'[1]Nómina y honorarios 2018'!K80</f>
        <v>254262616.07504326</v>
      </c>
      <c r="H9" s="22">
        <f t="shared" ref="H9:H19" si="2">+B9+C9+D9+G9+E9+F9</f>
        <v>776504426.64673638</v>
      </c>
      <c r="I9" s="21">
        <f>+'[1]Nómina y honorarios 2018'!K13</f>
        <v>43336890.29609333</v>
      </c>
      <c r="J9" s="21">
        <f t="shared" ref="J9:J18" si="3">+H9+I9</f>
        <v>819841316.94282973</v>
      </c>
      <c r="K9" s="21">
        <v>774277659</v>
      </c>
      <c r="L9" s="21">
        <f t="shared" ref="L9:L19" si="4">+K9-J9</f>
        <v>-45563657.942829728</v>
      </c>
      <c r="M9" s="23">
        <f t="shared" si="1"/>
        <v>6.8405119753634502E-2</v>
      </c>
      <c r="O9" s="24"/>
    </row>
    <row r="10" spans="1:15" ht="14.25" x14ac:dyDescent="0.2">
      <c r="A10" s="20" t="s">
        <v>20</v>
      </c>
      <c r="B10" s="21">
        <v>17680662.514939994</v>
      </c>
      <c r="C10" s="21">
        <v>6475573.2445899993</v>
      </c>
      <c r="D10" s="21">
        <v>5990866</v>
      </c>
      <c r="E10" s="21">
        <v>945835</v>
      </c>
      <c r="F10" s="21">
        <v>4512722.5208030501</v>
      </c>
      <c r="G10" s="21">
        <v>13594275.6697935</v>
      </c>
      <c r="H10" s="22">
        <f t="shared" si="2"/>
        <v>49199934.950126544</v>
      </c>
      <c r="I10" s="21">
        <v>2514283</v>
      </c>
      <c r="J10" s="21">
        <f t="shared" si="3"/>
        <v>51714217.950126544</v>
      </c>
      <c r="K10" s="21">
        <v>40723531</v>
      </c>
      <c r="L10" s="21">
        <f t="shared" si="4"/>
        <v>-10990686.950126544</v>
      </c>
      <c r="M10" s="23">
        <f t="shared" si="1"/>
        <v>4.314880451543093E-3</v>
      </c>
    </row>
    <row r="11" spans="1:15" ht="14.25" x14ac:dyDescent="0.2">
      <c r="A11" s="20" t="s">
        <v>21</v>
      </c>
      <c r="B11" s="21">
        <v>17912207</v>
      </c>
      <c r="C11" s="21">
        <v>5374148</v>
      </c>
      <c r="D11" s="21">
        <v>4159665</v>
      </c>
      <c r="E11" s="21">
        <v>1307705</v>
      </c>
      <c r="F11" s="21">
        <v>5585785</v>
      </c>
      <c r="G11" s="21">
        <v>19561188.365774989</v>
      </c>
      <c r="H11" s="22">
        <f t="shared" si="2"/>
        <v>53900698.365774989</v>
      </c>
      <c r="I11" s="21">
        <v>2793650</v>
      </c>
      <c r="J11" s="21">
        <f t="shared" si="3"/>
        <v>56694348.365774989</v>
      </c>
      <c r="K11" s="21">
        <v>52213316</v>
      </c>
      <c r="L11" s="21">
        <f t="shared" si="4"/>
        <v>-4481032.3657749891</v>
      </c>
      <c r="M11" s="23">
        <f t="shared" si="1"/>
        <v>4.7304077132594054E-3</v>
      </c>
    </row>
    <row r="12" spans="1:15" ht="14.25" x14ac:dyDescent="0.2">
      <c r="A12" s="20" t="s">
        <v>22</v>
      </c>
      <c r="B12" s="25">
        <v>15509373</v>
      </c>
      <c r="C12" s="25"/>
      <c r="D12" s="25"/>
      <c r="E12" s="21"/>
      <c r="F12" s="22"/>
      <c r="G12" s="22"/>
      <c r="H12" s="22">
        <f t="shared" si="2"/>
        <v>15509373</v>
      </c>
      <c r="I12" s="21">
        <v>38700700.199999988</v>
      </c>
      <c r="J12" s="21">
        <f>+H12+I12</f>
        <v>54210073.199999988</v>
      </c>
      <c r="K12" s="21">
        <v>51752064</v>
      </c>
      <c r="L12" s="21">
        <f t="shared" si="4"/>
        <v>-2458009.1999999881</v>
      </c>
      <c r="M12" s="23">
        <f t="shared" si="1"/>
        <v>4.5231271862794884E-3</v>
      </c>
    </row>
    <row r="13" spans="1:15" ht="14.25" x14ac:dyDescent="0.2">
      <c r="A13" s="20" t="s">
        <v>23</v>
      </c>
      <c r="B13" s="21">
        <v>940219.98839999968</v>
      </c>
      <c r="C13" s="21">
        <v>235055</v>
      </c>
      <c r="D13" s="21">
        <v>235055</v>
      </c>
      <c r="E13" s="21">
        <v>235054.99709999998</v>
      </c>
      <c r="F13" s="21">
        <v>235054.99709999998</v>
      </c>
      <c r="G13" s="21">
        <v>940219.98839999991</v>
      </c>
      <c r="H13" s="22">
        <f t="shared" si="2"/>
        <v>2820659.970999999</v>
      </c>
      <c r="I13" s="21"/>
      <c r="J13" s="21">
        <f t="shared" si="3"/>
        <v>2820659.970999999</v>
      </c>
      <c r="K13" s="21">
        <v>2820660</v>
      </c>
      <c r="L13" s="21">
        <f t="shared" si="4"/>
        <v>2.9000001028180122E-2</v>
      </c>
      <c r="M13" s="23">
        <f t="shared" si="1"/>
        <v>2.3534747409417647E-4</v>
      </c>
    </row>
    <row r="14" spans="1:15" ht="14.25" x14ac:dyDescent="0.2">
      <c r="A14" s="20" t="s">
        <v>24</v>
      </c>
      <c r="B14" s="21">
        <v>17912207</v>
      </c>
      <c r="C14" s="21">
        <v>5374148</v>
      </c>
      <c r="D14" s="21">
        <v>4159665</v>
      </c>
      <c r="E14" s="21">
        <v>1307705</v>
      </c>
      <c r="F14" s="21">
        <v>5585785</v>
      </c>
      <c r="G14" s="21">
        <v>19561188.365774989</v>
      </c>
      <c r="H14" s="22">
        <f t="shared" si="2"/>
        <v>53900698.365774989</v>
      </c>
      <c r="I14" s="21">
        <v>2793648.4311999977</v>
      </c>
      <c r="J14" s="21">
        <f t="shared" si="3"/>
        <v>56694346.796974987</v>
      </c>
      <c r="K14" s="21">
        <v>52325423</v>
      </c>
      <c r="L14" s="21">
        <f t="shared" si="4"/>
        <v>-4368923.7969749868</v>
      </c>
      <c r="M14" s="23">
        <f t="shared" si="1"/>
        <v>4.7304075823634021E-3</v>
      </c>
      <c r="N14" s="26"/>
      <c r="O14" s="26"/>
    </row>
    <row r="15" spans="1:15" ht="14.25" x14ac:dyDescent="0.2">
      <c r="A15" s="20" t="s">
        <v>25</v>
      </c>
      <c r="B15" s="21">
        <v>2217776.3431799999</v>
      </c>
      <c r="C15" s="21">
        <v>644897</v>
      </c>
      <c r="D15" s="21">
        <v>511753</v>
      </c>
      <c r="E15" s="21">
        <v>156928</v>
      </c>
      <c r="F15" s="21">
        <v>670294</v>
      </c>
      <c r="G15" s="21">
        <v>2400645.7638929989</v>
      </c>
      <c r="H15" s="22">
        <f t="shared" si="2"/>
        <v>6602294.1070729988</v>
      </c>
      <c r="I15" s="21">
        <v>335238</v>
      </c>
      <c r="J15" s="21">
        <f t="shared" si="3"/>
        <v>6937532.1070729988</v>
      </c>
      <c r="K15" s="21">
        <v>5800230</v>
      </c>
      <c r="L15" s="21">
        <f t="shared" si="4"/>
        <v>-1137302.1070729988</v>
      </c>
      <c r="M15" s="23">
        <f t="shared" si="1"/>
        <v>5.7884703389754336E-4</v>
      </c>
      <c r="N15" s="26"/>
      <c r="O15" s="26"/>
    </row>
    <row r="16" spans="1:15" ht="14.25" x14ac:dyDescent="0.2">
      <c r="A16" s="20" t="s">
        <v>26</v>
      </c>
      <c r="B16" s="21">
        <v>51032374.001856774</v>
      </c>
      <c r="C16" s="21">
        <v>18378757</v>
      </c>
      <c r="D16" s="21">
        <v>16874668</v>
      </c>
      <c r="E16" s="21">
        <v>3185535</v>
      </c>
      <c r="F16" s="21">
        <v>18901263</v>
      </c>
      <c r="G16" s="21">
        <v>54244485.175466098</v>
      </c>
      <c r="H16" s="22">
        <f t="shared" si="2"/>
        <v>162617082.17732286</v>
      </c>
      <c r="I16" s="21">
        <v>8555818.9148060381</v>
      </c>
      <c r="J16" s="21">
        <f t="shared" si="3"/>
        <v>171172901.0921289</v>
      </c>
      <c r="K16" s="21">
        <v>156458442</v>
      </c>
      <c r="L16" s="21">
        <f t="shared" si="4"/>
        <v>-14714459.092128903</v>
      </c>
      <c r="M16" s="23">
        <f t="shared" si="1"/>
        <v>1.4282157480727E-2</v>
      </c>
    </row>
    <row r="17" spans="1:13" ht="14.25" x14ac:dyDescent="0.2">
      <c r="A17" s="20" t="s">
        <v>27</v>
      </c>
      <c r="B17" s="21">
        <v>11798599.22712703</v>
      </c>
      <c r="C17" s="21">
        <v>4193844.9881030377</v>
      </c>
      <c r="D17" s="21">
        <v>3083858</v>
      </c>
      <c r="E17" s="21">
        <v>698272.17589119985</v>
      </c>
      <c r="F17" s="21">
        <v>4171193.7098092772</v>
      </c>
      <c r="G17" s="21">
        <v>11388842.3049815</v>
      </c>
      <c r="H17" s="22">
        <f t="shared" si="2"/>
        <v>35334610.405912042</v>
      </c>
      <c r="I17" s="21">
        <v>1650148</v>
      </c>
      <c r="J17" s="21">
        <f t="shared" si="3"/>
        <v>36984758.405912042</v>
      </c>
      <c r="K17" s="21">
        <v>30662100</v>
      </c>
      <c r="L17" s="21">
        <f t="shared" si="4"/>
        <v>-6322658.4059120417</v>
      </c>
      <c r="M17" s="23">
        <f t="shared" si="1"/>
        <v>3.0858981799670327E-3</v>
      </c>
    </row>
    <row r="18" spans="1:13" ht="14.25" x14ac:dyDescent="0.2">
      <c r="A18" s="20" t="s">
        <v>28</v>
      </c>
      <c r="B18" s="21">
        <v>14737974.033908792</v>
      </c>
      <c r="C18" s="21">
        <v>5235356.2351287976</v>
      </c>
      <c r="D18" s="21">
        <v>3851372</v>
      </c>
      <c r="E18" s="21">
        <v>871215.27498399979</v>
      </c>
      <c r="F18" s="21">
        <v>5210042.1372615993</v>
      </c>
      <c r="G18" s="21">
        <v>13986052.881226899</v>
      </c>
      <c r="H18" s="22">
        <f t="shared" si="2"/>
        <v>43892012.562510088</v>
      </c>
      <c r="I18" s="21">
        <v>2061311.0869759992</v>
      </c>
      <c r="J18" s="21">
        <f t="shared" si="3"/>
        <v>45953323.649486087</v>
      </c>
      <c r="K18" s="21">
        <v>38345200</v>
      </c>
      <c r="L18" s="21">
        <f t="shared" si="4"/>
        <v>-7608123.6494860873</v>
      </c>
      <c r="M18" s="23">
        <f t="shared" si="1"/>
        <v>3.8342085747061988E-3</v>
      </c>
    </row>
    <row r="19" spans="1:13" ht="15" x14ac:dyDescent="0.25">
      <c r="A19" s="27" t="s">
        <v>29</v>
      </c>
      <c r="B19" s="28">
        <f t="shared" ref="B19:G19" si="5">SUM(B9:B18)</f>
        <v>396154628.90116572</v>
      </c>
      <c r="C19" s="28">
        <f t="shared" si="5"/>
        <v>137429835.34555516</v>
      </c>
      <c r="D19" s="28">
        <f t="shared" si="5"/>
        <v>117440351.40293333</v>
      </c>
      <c r="E19" s="28">
        <f t="shared" si="5"/>
        <v>20539979.447975196</v>
      </c>
      <c r="F19" s="28">
        <f t="shared" si="5"/>
        <v>138777480.86424726</v>
      </c>
      <c r="G19" s="28">
        <f t="shared" si="5"/>
        <v>389939514.5903542</v>
      </c>
      <c r="H19" s="28">
        <f t="shared" si="2"/>
        <v>1200281790.5522308</v>
      </c>
      <c r="I19" s="28">
        <f>SUM(I9:I18)</f>
        <v>102741687.92907536</v>
      </c>
      <c r="J19" s="28">
        <f>SUM(J9:J18)</f>
        <v>1303023478.4813061</v>
      </c>
      <c r="K19" s="28">
        <f>SUM(K9:K18)</f>
        <v>1205378625</v>
      </c>
      <c r="L19" s="28">
        <f t="shared" si="4"/>
        <v>-97644853.481306076</v>
      </c>
      <c r="M19" s="19">
        <f t="shared" si="1"/>
        <v>0.10872040143047182</v>
      </c>
    </row>
    <row r="20" spans="1:13" ht="15" x14ac:dyDescent="0.25">
      <c r="A20" s="14" t="s">
        <v>30</v>
      </c>
      <c r="B20" s="21"/>
      <c r="C20" s="21"/>
      <c r="D20" s="21"/>
      <c r="E20" s="21"/>
      <c r="F20" s="21"/>
      <c r="G20" s="21"/>
      <c r="H20" s="21"/>
      <c r="I20" s="28"/>
      <c r="J20" s="21"/>
      <c r="K20" s="21"/>
      <c r="L20" s="21"/>
      <c r="M20" s="19"/>
    </row>
    <row r="21" spans="1:13" ht="14.25" x14ac:dyDescent="0.2">
      <c r="A21" s="29" t="s">
        <v>31</v>
      </c>
      <c r="B21" s="30">
        <v>44139952</v>
      </c>
      <c r="C21" s="30">
        <f>+[1]Funcionamiento!J10</f>
        <v>0</v>
      </c>
      <c r="D21" s="30">
        <v>0</v>
      </c>
      <c r="E21" s="30">
        <v>0</v>
      </c>
      <c r="F21" s="30">
        <f>+[1]Funcionamiento!L10</f>
        <v>0</v>
      </c>
      <c r="G21" s="30">
        <f>+[1]Funcionamiento!G10</f>
        <v>0</v>
      </c>
      <c r="H21" s="30">
        <f t="shared" ref="H21:H35" si="6">+B21+C21+D21+G21+E21+F21</f>
        <v>44139952</v>
      </c>
      <c r="I21" s="21">
        <v>33279395</v>
      </c>
      <c r="J21" s="21">
        <f>+I21+H21</f>
        <v>77419347</v>
      </c>
      <c r="K21" s="21">
        <v>69996463</v>
      </c>
      <c r="L21" s="21">
        <f t="shared" ref="L21:L37" si="7">+K21-J21</f>
        <v>-7422884</v>
      </c>
      <c r="M21" s="23">
        <f t="shared" ref="M21:M37" si="8">+J21/$J$194</f>
        <v>6.4596399246276137E-3</v>
      </c>
    </row>
    <row r="22" spans="1:13" ht="14.25" x14ac:dyDescent="0.2">
      <c r="A22" s="29" t="s">
        <v>32</v>
      </c>
      <c r="B22" s="21">
        <f>+[1]Funcionamiento!I24</f>
        <v>32022395</v>
      </c>
      <c r="C22" s="30">
        <f>+[1]Funcionamiento!J24</f>
        <v>3119545.6310000001</v>
      </c>
      <c r="D22" s="30">
        <v>0</v>
      </c>
      <c r="E22" s="21">
        <f>+[1]Funcionamiento!H24</f>
        <v>0</v>
      </c>
      <c r="F22" s="30">
        <f>+[1]Funcionamiento!L24</f>
        <v>0</v>
      </c>
      <c r="G22" s="21">
        <f>+[1]Funcionamiento!G24</f>
        <v>4742837</v>
      </c>
      <c r="H22" s="30">
        <f t="shared" si="6"/>
        <v>39884777.630999997</v>
      </c>
      <c r="I22" s="21">
        <v>6237367</v>
      </c>
      <c r="J22" s="21">
        <f t="shared" ref="J22:J35" si="9">+H22+I22</f>
        <v>46122144.630999997</v>
      </c>
      <c r="K22" s="21">
        <v>21586521</v>
      </c>
      <c r="L22" s="21">
        <f t="shared" si="7"/>
        <v>-24535623.630999997</v>
      </c>
      <c r="M22" s="23">
        <f t="shared" si="8"/>
        <v>3.8482944950163E-3</v>
      </c>
    </row>
    <row r="23" spans="1:13" ht="14.25" x14ac:dyDescent="0.2">
      <c r="A23" s="29" t="s">
        <v>33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f>+[1]Funcionamiento!G14</f>
        <v>6141187</v>
      </c>
      <c r="H23" s="30">
        <f t="shared" si="6"/>
        <v>6141187</v>
      </c>
      <c r="I23" s="21">
        <v>8399287</v>
      </c>
      <c r="J23" s="21">
        <f t="shared" si="9"/>
        <v>14540474</v>
      </c>
      <c r="K23" s="21">
        <v>4846596</v>
      </c>
      <c r="L23" s="21">
        <f t="shared" si="7"/>
        <v>-9693878</v>
      </c>
      <c r="M23" s="23">
        <f t="shared" si="8"/>
        <v>1.2132138801611149E-3</v>
      </c>
    </row>
    <row r="24" spans="1:13" ht="14.25" x14ac:dyDescent="0.2">
      <c r="A24" s="29" t="s">
        <v>34</v>
      </c>
      <c r="B24" s="21">
        <v>5031957</v>
      </c>
      <c r="C24" s="30">
        <f>+[1]Funcionamiento!J26</f>
        <v>2200000</v>
      </c>
      <c r="D24" s="30">
        <f>+[1]Funcionamiento!K26</f>
        <v>2271039</v>
      </c>
      <c r="E24" s="30">
        <f>+[1]Funcionamiento!H26</f>
        <v>885675</v>
      </c>
      <c r="F24" s="30">
        <f>+[1]Funcionamiento!L26</f>
        <v>5249421.3148000035</v>
      </c>
      <c r="G24" s="30">
        <f>+[1]Funcionamiento!G26</f>
        <v>99099483</v>
      </c>
      <c r="H24" s="30">
        <f t="shared" si="6"/>
        <v>114737575.31480001</v>
      </c>
      <c r="I24" s="21">
        <f>15608419-7706795</f>
        <v>7901624</v>
      </c>
      <c r="J24" s="21">
        <f t="shared" si="9"/>
        <v>122639199.31480001</v>
      </c>
      <c r="K24" s="21">
        <v>115343552</v>
      </c>
      <c r="L24" s="21">
        <f t="shared" si="7"/>
        <v>-7295647.3148000091</v>
      </c>
      <c r="M24" s="23">
        <f t="shared" si="8"/>
        <v>1.0232649833874801E-2</v>
      </c>
    </row>
    <row r="25" spans="1:13" ht="14.25" x14ac:dyDescent="0.2">
      <c r="A25" s="29" t="s">
        <v>35</v>
      </c>
      <c r="B25" s="30">
        <f>+[1]Funcionamiento!I28</f>
        <v>1081800</v>
      </c>
      <c r="C25" s="30">
        <f>+[1]Funcionamiento!J28</f>
        <v>1447797.25</v>
      </c>
      <c r="D25" s="30">
        <f>+[1]Funcionamiento!K28</f>
        <v>1491527.5</v>
      </c>
      <c r="E25" s="30">
        <v>0</v>
      </c>
      <c r="F25" s="30">
        <f>+[1]Funcionamiento!L28</f>
        <v>766452</v>
      </c>
      <c r="G25" s="30">
        <f>+[1]Funcionamiento!G28</f>
        <v>1353600</v>
      </c>
      <c r="H25" s="30">
        <f t="shared" si="6"/>
        <v>6141176.75</v>
      </c>
      <c r="I25" s="21">
        <v>2445343</v>
      </c>
      <c r="J25" s="21">
        <f t="shared" si="9"/>
        <v>8586519.75</v>
      </c>
      <c r="K25" s="21">
        <v>2083800</v>
      </c>
      <c r="L25" s="21">
        <f t="shared" si="7"/>
        <v>-6502719.75</v>
      </c>
      <c r="M25" s="23">
        <f t="shared" si="8"/>
        <v>7.1643365566882798E-4</v>
      </c>
    </row>
    <row r="26" spans="1:13" ht="14.25" x14ac:dyDescent="0.2">
      <c r="A26" s="20" t="s">
        <v>36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/>
      <c r="H26" s="30">
        <f t="shared" si="6"/>
        <v>0</v>
      </c>
      <c r="I26" s="21">
        <v>3146910</v>
      </c>
      <c r="J26" s="21">
        <f t="shared" si="9"/>
        <v>3146910</v>
      </c>
      <c r="K26" s="21">
        <v>3145170</v>
      </c>
      <c r="L26" s="21">
        <f t="shared" si="7"/>
        <v>-1740</v>
      </c>
      <c r="M26" s="23">
        <f t="shared" si="8"/>
        <v>2.6256880563988588E-4</v>
      </c>
    </row>
    <row r="27" spans="1:13" ht="14.25" x14ac:dyDescent="0.2">
      <c r="A27" s="29" t="s">
        <v>37</v>
      </c>
      <c r="B27" s="30">
        <f>+[1]Funcionamiento!I16</f>
        <v>2512431</v>
      </c>
      <c r="C27" s="30">
        <f>+[1]Funcionamiento!J16</f>
        <v>2512431</v>
      </c>
      <c r="D27" s="30">
        <f>+[1]Funcionamiento!K16</f>
        <v>2512431</v>
      </c>
      <c r="E27" s="30">
        <f>+[1]Funcionamiento!H16</f>
        <v>2512431</v>
      </c>
      <c r="F27" s="30">
        <f>+[1]Funcionamiento!L16</f>
        <v>2512431</v>
      </c>
      <c r="G27" s="30">
        <f>+[1]Funcionamiento!G16</f>
        <v>2512431</v>
      </c>
      <c r="H27" s="30">
        <f t="shared" si="6"/>
        <v>15074586</v>
      </c>
      <c r="I27" s="21">
        <v>17874002</v>
      </c>
      <c r="J27" s="21">
        <f t="shared" si="9"/>
        <v>32948588</v>
      </c>
      <c r="K27" s="21">
        <v>18672923</v>
      </c>
      <c r="L27" s="21">
        <f t="shared" si="7"/>
        <v>-14275665</v>
      </c>
      <c r="M27" s="23">
        <f t="shared" si="8"/>
        <v>2.7491321323713344E-3</v>
      </c>
    </row>
    <row r="28" spans="1:13" ht="14.25" x14ac:dyDescent="0.2">
      <c r="A28" s="29" t="s">
        <v>38</v>
      </c>
      <c r="B28" s="30">
        <f>+[1]Funcionamiento!I30</f>
        <v>1027736.2999999999</v>
      </c>
      <c r="C28" s="30">
        <f>+[1]Funcionamiento!J30</f>
        <v>590137.21409999998</v>
      </c>
      <c r="D28" s="30">
        <f>+[1]Funcionamiento!K30</f>
        <v>1000000</v>
      </c>
      <c r="E28" s="30">
        <f>+[1]Funcionamiento!H30</f>
        <v>0</v>
      </c>
      <c r="F28" s="30">
        <v>0</v>
      </c>
      <c r="G28" s="30">
        <f>+[1]Funcionamiento!G30</f>
        <v>16937847</v>
      </c>
      <c r="H28" s="30">
        <f t="shared" si="6"/>
        <v>19555720.5141</v>
      </c>
      <c r="I28" s="21">
        <v>6268315</v>
      </c>
      <c r="J28" s="21">
        <f t="shared" si="9"/>
        <v>25824035.5141</v>
      </c>
      <c r="K28" s="21">
        <v>20567624</v>
      </c>
      <c r="L28" s="21">
        <f t="shared" si="7"/>
        <v>-5256411.5141000003</v>
      </c>
      <c r="M28" s="23">
        <f t="shared" si="8"/>
        <v>2.154680674610724E-3</v>
      </c>
    </row>
    <row r="29" spans="1:13" ht="14.25" x14ac:dyDescent="0.2">
      <c r="A29" s="29" t="s">
        <v>39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f>+[1]Funcionamiento!G34</f>
        <v>26863162</v>
      </c>
      <c r="H29" s="30">
        <f t="shared" si="6"/>
        <v>26863162</v>
      </c>
      <c r="I29" s="21">
        <v>43861654</v>
      </c>
      <c r="J29" s="21">
        <f t="shared" si="9"/>
        <v>70724816</v>
      </c>
      <c r="K29" s="21">
        <v>40719754</v>
      </c>
      <c r="L29" s="21">
        <f t="shared" si="7"/>
        <v>-30005062</v>
      </c>
      <c r="M29" s="23">
        <f t="shared" si="8"/>
        <v>5.9010681799672353E-3</v>
      </c>
    </row>
    <row r="30" spans="1:13" ht="14.25" x14ac:dyDescent="0.2">
      <c r="A30" s="29" t="s">
        <v>40</v>
      </c>
      <c r="B30" s="21">
        <f>+[1]Funcionamiento!I22</f>
        <v>4500000</v>
      </c>
      <c r="C30" s="21">
        <f>+[1]Funcionamiento!J22</f>
        <v>6000000</v>
      </c>
      <c r="D30" s="21">
        <f>+[1]Funcionamiento!K22</f>
        <v>4486576</v>
      </c>
      <c r="E30" s="21">
        <v>0</v>
      </c>
      <c r="F30" s="30">
        <f>+[1]Funcionamiento!L22</f>
        <v>19302005.791658003</v>
      </c>
      <c r="G30" s="21">
        <f>+[1]Funcionamiento!G22</f>
        <v>111347641</v>
      </c>
      <c r="H30" s="30">
        <f t="shared" si="6"/>
        <v>145636222.79165801</v>
      </c>
      <c r="I30" s="21">
        <f>12000630-3000000</f>
        <v>9000630</v>
      </c>
      <c r="J30" s="21">
        <f t="shared" si="9"/>
        <v>154636852.79165801</v>
      </c>
      <c r="K30" s="21">
        <v>104402145</v>
      </c>
      <c r="L30" s="21">
        <f t="shared" si="7"/>
        <v>-50234707.791658014</v>
      </c>
      <c r="M30" s="23">
        <f t="shared" si="8"/>
        <v>1.2902438819482127E-2</v>
      </c>
    </row>
    <row r="31" spans="1:13" ht="14.25" x14ac:dyDescent="0.2">
      <c r="A31" s="29" t="s">
        <v>41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/>
      <c r="H31" s="30">
        <f t="shared" si="6"/>
        <v>0</v>
      </c>
      <c r="I31" s="21">
        <v>4654376</v>
      </c>
      <c r="J31" s="21">
        <f t="shared" si="9"/>
        <v>4654376</v>
      </c>
      <c r="K31" s="21">
        <v>3962337</v>
      </c>
      <c r="L31" s="21">
        <f t="shared" si="7"/>
        <v>-692039</v>
      </c>
      <c r="M31" s="23">
        <f t="shared" si="8"/>
        <v>3.8834728267378145E-4</v>
      </c>
    </row>
    <row r="32" spans="1:13" ht="14.25" x14ac:dyDescent="0.2">
      <c r="A32" s="29" t="s">
        <v>42</v>
      </c>
      <c r="B32" s="21">
        <f>+[1]Funcionamiento!I18</f>
        <v>3672640</v>
      </c>
      <c r="C32" s="21">
        <f>+[1]Funcionamiento!J18</f>
        <v>1278145.5861</v>
      </c>
      <c r="D32" s="21">
        <f>+[1]Funcionamiento!K18</f>
        <v>529869</v>
      </c>
      <c r="E32" s="21">
        <v>0</v>
      </c>
      <c r="F32" s="21">
        <f>+[1]Funcionamiento!L18</f>
        <v>5155311.9137871545</v>
      </c>
      <c r="G32" s="21">
        <f>+[1]Funcionamiento!G18</f>
        <v>10141518</v>
      </c>
      <c r="H32" s="30">
        <f t="shared" si="6"/>
        <v>20777484.499887154</v>
      </c>
      <c r="I32" s="21">
        <v>9906344</v>
      </c>
      <c r="J32" s="21">
        <f t="shared" si="9"/>
        <v>30683828.499887154</v>
      </c>
      <c r="K32" s="21">
        <v>30347912</v>
      </c>
      <c r="L32" s="21">
        <f t="shared" si="7"/>
        <v>-335916.49988715351</v>
      </c>
      <c r="M32" s="23">
        <f t="shared" si="8"/>
        <v>2.5601673392866213E-3</v>
      </c>
    </row>
    <row r="33" spans="1:13" ht="14.25" x14ac:dyDescent="0.2">
      <c r="A33" s="29" t="s">
        <v>43</v>
      </c>
      <c r="B33" s="30">
        <f>+[1]Funcionamiento!I20</f>
        <v>15057895</v>
      </c>
      <c r="C33" s="30">
        <v>0</v>
      </c>
      <c r="D33" s="30">
        <v>0</v>
      </c>
      <c r="E33" s="30">
        <v>0</v>
      </c>
      <c r="F33" s="30">
        <f>+[1]Funcionamiento!L20</f>
        <v>0</v>
      </c>
      <c r="G33" s="30">
        <f>+[1]Funcionamiento!G20</f>
        <v>2750551</v>
      </c>
      <c r="H33" s="30">
        <f t="shared" si="6"/>
        <v>17808446</v>
      </c>
      <c r="I33" s="21">
        <f>+[1]Funcionamiento!F20</f>
        <v>15000000</v>
      </c>
      <c r="J33" s="21">
        <f>+H33+I33</f>
        <v>32808446</v>
      </c>
      <c r="K33" s="21">
        <v>22539011</v>
      </c>
      <c r="L33" s="21">
        <f t="shared" si="7"/>
        <v>-10269435</v>
      </c>
      <c r="M33" s="23">
        <f t="shared" si="8"/>
        <v>2.737439100934152E-3</v>
      </c>
    </row>
    <row r="34" spans="1:13" ht="14.25" x14ac:dyDescent="0.2">
      <c r="A34" s="29" t="s">
        <v>44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/>
      <c r="H34" s="30">
        <f t="shared" si="6"/>
        <v>0</v>
      </c>
      <c r="I34" s="21">
        <f>58492184+10706795</f>
        <v>69198979</v>
      </c>
      <c r="J34" s="21">
        <f t="shared" si="9"/>
        <v>69198979</v>
      </c>
      <c r="K34" s="21">
        <v>69198979</v>
      </c>
      <c r="L34" s="21">
        <f t="shared" si="7"/>
        <v>0</v>
      </c>
      <c r="M34" s="23">
        <f t="shared" si="8"/>
        <v>5.7737568813628435E-3</v>
      </c>
    </row>
    <row r="35" spans="1:13" ht="14.25" x14ac:dyDescent="0.2">
      <c r="A35" s="29" t="s">
        <v>45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/>
      <c r="H35" s="30">
        <f t="shared" si="6"/>
        <v>0</v>
      </c>
      <c r="I35" s="21">
        <v>7166444</v>
      </c>
      <c r="J35" s="21">
        <f t="shared" si="9"/>
        <v>7166444</v>
      </c>
      <c r="K35" s="21">
        <v>3974681</v>
      </c>
      <c r="L35" s="21">
        <f t="shared" si="7"/>
        <v>-3191763</v>
      </c>
      <c r="M35" s="23">
        <f t="shared" si="8"/>
        <v>5.9794676103387971E-4</v>
      </c>
    </row>
    <row r="36" spans="1:13" ht="15" x14ac:dyDescent="0.25">
      <c r="A36" s="27" t="s">
        <v>46</v>
      </c>
      <c r="B36" s="28">
        <f>SUM(B21:B35)</f>
        <v>109046806.3</v>
      </c>
      <c r="C36" s="28">
        <f t="shared" ref="C36:I36" si="10">SUM(C21:C35)</f>
        <v>17148056.681200001</v>
      </c>
      <c r="D36" s="28">
        <f t="shared" si="10"/>
        <v>12291442.5</v>
      </c>
      <c r="E36" s="28">
        <f>SUM(E21:E35)</f>
        <v>3398106</v>
      </c>
      <c r="F36" s="28">
        <f t="shared" si="10"/>
        <v>32985622.020245165</v>
      </c>
      <c r="G36" s="28">
        <f>SUM(G21:G35)</f>
        <v>281890257</v>
      </c>
      <c r="H36" s="31">
        <f t="shared" si="10"/>
        <v>456760290.50144523</v>
      </c>
      <c r="I36" s="28">
        <f t="shared" si="10"/>
        <v>244340670</v>
      </c>
      <c r="J36" s="28">
        <f>SUM(J21:J35)</f>
        <v>701100960.50144517</v>
      </c>
      <c r="K36" s="28">
        <f>SUM(K21:K35)</f>
        <v>531387468</v>
      </c>
      <c r="L36" s="28">
        <f t="shared" si="7"/>
        <v>-169713492.50144517</v>
      </c>
      <c r="M36" s="19">
        <f t="shared" si="8"/>
        <v>5.8497777766711244E-2</v>
      </c>
    </row>
    <row r="37" spans="1:13" ht="15" x14ac:dyDescent="0.25">
      <c r="A37" s="27" t="s">
        <v>47</v>
      </c>
      <c r="B37" s="28">
        <f t="shared" ref="B37:G37" si="11">+B36+B19</f>
        <v>505201435.20116574</v>
      </c>
      <c r="C37" s="28">
        <f t="shared" si="11"/>
        <v>154577892.02675515</v>
      </c>
      <c r="D37" s="28">
        <f t="shared" si="11"/>
        <v>129731793.90293333</v>
      </c>
      <c r="E37" s="28">
        <f t="shared" si="11"/>
        <v>23938085.447975196</v>
      </c>
      <c r="F37" s="28">
        <f t="shared" si="11"/>
        <v>171763102.88449243</v>
      </c>
      <c r="G37" s="28">
        <f t="shared" si="11"/>
        <v>671829771.5903542</v>
      </c>
      <c r="H37" s="31">
        <f>+B37+C37+D37+G37+E37+F37</f>
        <v>1657042081.0536761</v>
      </c>
      <c r="I37" s="28">
        <f>+I36+I19</f>
        <v>347082357.92907536</v>
      </c>
      <c r="J37" s="28">
        <f>+J36+J19</f>
        <v>2004124438.9827514</v>
      </c>
      <c r="K37" s="28">
        <f>+K36+K19</f>
        <v>1736766093</v>
      </c>
      <c r="L37" s="28">
        <f t="shared" si="7"/>
        <v>-267358345.98275137</v>
      </c>
      <c r="M37" s="19">
        <f t="shared" si="8"/>
        <v>0.16721817919718307</v>
      </c>
    </row>
    <row r="38" spans="1:13" ht="15" x14ac:dyDescent="0.25">
      <c r="A38" s="27"/>
      <c r="B38" s="28"/>
      <c r="C38" s="28"/>
      <c r="D38" s="28"/>
      <c r="E38" s="28"/>
      <c r="F38" s="28"/>
      <c r="G38" s="28"/>
      <c r="H38" s="31"/>
      <c r="I38" s="28"/>
      <c r="J38" s="28"/>
      <c r="K38" s="28"/>
      <c r="L38" s="28"/>
      <c r="M38" s="19"/>
    </row>
    <row r="39" spans="1:13" ht="15" x14ac:dyDescent="0.25">
      <c r="A39" s="32" t="s">
        <v>48</v>
      </c>
      <c r="B39" s="33">
        <f>+B41</f>
        <v>908728440.79703522</v>
      </c>
      <c r="C39" s="33">
        <f>+C127</f>
        <v>555924142.81134999</v>
      </c>
      <c r="D39" s="33">
        <f>+D141</f>
        <v>1132841609.6136999</v>
      </c>
      <c r="E39" s="33">
        <f>+E175</f>
        <v>870698114</v>
      </c>
      <c r="F39" s="33">
        <f>+F72</f>
        <v>1900680478.295289</v>
      </c>
      <c r="G39" s="33">
        <f>+G109</f>
        <v>3540378806.1737599</v>
      </c>
      <c r="H39" s="33">
        <f>+B39+C39+D39+G39+E39+F39</f>
        <v>8909251591.6911354</v>
      </c>
      <c r="I39" s="33">
        <v>0</v>
      </c>
      <c r="J39" s="33">
        <f>+I39+H39</f>
        <v>8909251591.6911354</v>
      </c>
      <c r="K39" s="33">
        <f>+K41+K72+K109+K127+K141+K175</f>
        <v>8386124073.8113499</v>
      </c>
      <c r="L39" s="33">
        <f>+K39-J39</f>
        <v>-523127517.87978554</v>
      </c>
      <c r="M39" s="34">
        <f>+J39/$J$194</f>
        <v>0.74336144013511474</v>
      </c>
    </row>
    <row r="40" spans="1:13" ht="15" x14ac:dyDescent="0.25">
      <c r="A40" s="3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4"/>
    </row>
    <row r="41" spans="1:13" ht="15" x14ac:dyDescent="0.25">
      <c r="A41" s="32" t="s">
        <v>49</v>
      </c>
      <c r="B41" s="35">
        <f>+B42+B44+B56+B60+B64+B68</f>
        <v>908728440.79703522</v>
      </c>
      <c r="C41" s="35"/>
      <c r="D41" s="35"/>
      <c r="E41" s="35"/>
      <c r="F41" s="35"/>
      <c r="G41" s="35"/>
      <c r="H41" s="35">
        <f>+H42+H44+H56+H60+H64+H68</f>
        <v>908728440.79703522</v>
      </c>
      <c r="I41" s="35"/>
      <c r="J41" s="35">
        <f>+J42+J44+J56+J60+J64+J68</f>
        <v>908728440.79703522</v>
      </c>
      <c r="K41" s="35">
        <f>+K42+K44+K56+K60+K64+K68</f>
        <v>859348533</v>
      </c>
      <c r="L41" s="35">
        <f t="shared" ref="L41:L70" si="12">+K41-J41</f>
        <v>-49379907.797035217</v>
      </c>
      <c r="M41" s="19">
        <f t="shared" ref="M41:M70" si="13">+J41/$J$194</f>
        <v>7.5821596852491263E-2</v>
      </c>
    </row>
    <row r="42" spans="1:13" s="37" customFormat="1" ht="15" x14ac:dyDescent="0.25">
      <c r="A42" s="36" t="s">
        <v>50</v>
      </c>
      <c r="B42" s="28">
        <f>+SUM(B43:B43)</f>
        <v>74204213</v>
      </c>
      <c r="C42" s="28"/>
      <c r="D42" s="28"/>
      <c r="E42" s="28"/>
      <c r="F42" s="28"/>
      <c r="G42" s="28"/>
      <c r="H42" s="28">
        <f>+SUM(H43:H43)</f>
        <v>74204213</v>
      </c>
      <c r="I42" s="28"/>
      <c r="J42" s="28">
        <f>+SUM(J43:J43)</f>
        <v>74204213</v>
      </c>
      <c r="K42" s="28">
        <f>+SUM(K43:K43)</f>
        <v>69749428</v>
      </c>
      <c r="L42" s="28">
        <f t="shared" si="12"/>
        <v>-4454785</v>
      </c>
      <c r="M42" s="19">
        <f t="shared" si="13"/>
        <v>6.1913787114527248E-3</v>
      </c>
    </row>
    <row r="43" spans="1:13" s="37" customFormat="1" ht="15" hidden="1" outlineLevel="1" x14ac:dyDescent="0.25">
      <c r="A43" s="38" t="s">
        <v>51</v>
      </c>
      <c r="B43" s="21">
        <v>74204213</v>
      </c>
      <c r="C43" s="28"/>
      <c r="D43" s="28"/>
      <c r="E43" s="28"/>
      <c r="F43" s="28"/>
      <c r="G43" s="28"/>
      <c r="H43" s="21">
        <f>+B43+C43+D43+G43+E43+F43</f>
        <v>74204213</v>
      </c>
      <c r="I43" s="28"/>
      <c r="J43" s="22">
        <f>+H43+I43</f>
        <v>74204213</v>
      </c>
      <c r="K43" s="22">
        <v>69749428</v>
      </c>
      <c r="L43" s="22">
        <f t="shared" si="12"/>
        <v>-4454785</v>
      </c>
      <c r="M43" s="23">
        <f t="shared" si="13"/>
        <v>6.1913787114527248E-3</v>
      </c>
    </row>
    <row r="44" spans="1:13" s="37" customFormat="1" ht="15" collapsed="1" x14ac:dyDescent="0.25">
      <c r="A44" s="39" t="s">
        <v>52</v>
      </c>
      <c r="B44" s="18">
        <f>+B45+B46+B47+B55</f>
        <v>339660893.80000001</v>
      </c>
      <c r="C44" s="28"/>
      <c r="D44" s="28"/>
      <c r="E44" s="28"/>
      <c r="F44" s="28"/>
      <c r="G44" s="28"/>
      <c r="H44" s="18">
        <f>+H45+H46+H47+H55</f>
        <v>339660893.80000001</v>
      </c>
      <c r="I44" s="28"/>
      <c r="J44" s="18">
        <f>+J45+J47+J55+J46</f>
        <v>339660893.80000001</v>
      </c>
      <c r="K44" s="18">
        <f>+K45+K47+K55+K46</f>
        <v>328095591</v>
      </c>
      <c r="L44" s="18">
        <f t="shared" si="12"/>
        <v>-11565302.800000012</v>
      </c>
      <c r="M44" s="19">
        <f t="shared" si="13"/>
        <v>2.8340294195780026E-2</v>
      </c>
    </row>
    <row r="45" spans="1:13" s="37" customFormat="1" ht="15" hidden="1" outlineLevel="1" x14ac:dyDescent="0.25">
      <c r="A45" s="38" t="s">
        <v>53</v>
      </c>
      <c r="B45" s="21">
        <f>56906464+7000000</f>
        <v>63906464</v>
      </c>
      <c r="C45" s="28"/>
      <c r="D45" s="28"/>
      <c r="E45" s="28"/>
      <c r="F45" s="28"/>
      <c r="G45" s="28"/>
      <c r="H45" s="21">
        <f>+B45+C45+D45+G45+E45+F45</f>
        <v>63906464</v>
      </c>
      <c r="I45" s="28"/>
      <c r="J45" s="22">
        <f t="shared" ref="J45:J55" si="14">+H45+I45</f>
        <v>63906464</v>
      </c>
      <c r="K45" s="22">
        <v>63857478</v>
      </c>
      <c r="L45" s="22">
        <f t="shared" si="12"/>
        <v>-48986</v>
      </c>
      <c r="M45" s="23">
        <f t="shared" si="13"/>
        <v>5.3321651795406808E-3</v>
      </c>
    </row>
    <row r="46" spans="1:13" s="37" customFormat="1" ht="15" hidden="1" outlineLevel="1" x14ac:dyDescent="0.25">
      <c r="A46" s="38" t="s">
        <v>54</v>
      </c>
      <c r="B46" s="21">
        <f>60120647-8000000-7000000</f>
        <v>45120647</v>
      </c>
      <c r="C46" s="28"/>
      <c r="D46" s="28"/>
      <c r="E46" s="28"/>
      <c r="F46" s="28"/>
      <c r="G46" s="28"/>
      <c r="H46" s="21">
        <f>+B46+C46+D46+G46+E46+F46</f>
        <v>45120647</v>
      </c>
      <c r="I46" s="28"/>
      <c r="J46" s="22">
        <f t="shared" si="14"/>
        <v>45120647</v>
      </c>
      <c r="K46" s="22">
        <v>39922573</v>
      </c>
      <c r="L46" s="22">
        <f t="shared" si="12"/>
        <v>-5198074</v>
      </c>
      <c r="M46" s="23">
        <f t="shared" si="13"/>
        <v>3.7647325130012936E-3</v>
      </c>
    </row>
    <row r="47" spans="1:13" s="37" customFormat="1" ht="15" hidden="1" outlineLevel="1" x14ac:dyDescent="0.25">
      <c r="A47" s="38" t="s">
        <v>55</v>
      </c>
      <c r="B47" s="18">
        <f>+B48+B51</f>
        <v>111067519</v>
      </c>
      <c r="C47" s="28"/>
      <c r="D47" s="28"/>
      <c r="E47" s="28"/>
      <c r="F47" s="28"/>
      <c r="G47" s="28"/>
      <c r="H47" s="18">
        <f>+B47+C47+D47+G47+E47+F47</f>
        <v>111067519</v>
      </c>
      <c r="I47" s="18"/>
      <c r="J47" s="18">
        <f t="shared" si="14"/>
        <v>111067519</v>
      </c>
      <c r="K47" s="18">
        <f>+K48+K51</f>
        <v>105717268</v>
      </c>
      <c r="L47" s="18">
        <f t="shared" si="12"/>
        <v>-5350251</v>
      </c>
      <c r="M47" s="19">
        <f t="shared" si="13"/>
        <v>9.2671432640956796E-3</v>
      </c>
    </row>
    <row r="48" spans="1:13" s="37" customFormat="1" ht="15" hidden="1" outlineLevel="2" x14ac:dyDescent="0.25">
      <c r="A48" s="38" t="s">
        <v>56</v>
      </c>
      <c r="B48" s="18">
        <f>SUM(B49:B50)</f>
        <v>73930322</v>
      </c>
      <c r="C48" s="28"/>
      <c r="D48" s="28"/>
      <c r="E48" s="28"/>
      <c r="F48" s="28"/>
      <c r="G48" s="28"/>
      <c r="H48" s="18">
        <f>SUM(H49:H50)</f>
        <v>73930322</v>
      </c>
      <c r="I48" s="18"/>
      <c r="J48" s="18">
        <f t="shared" si="14"/>
        <v>73930322</v>
      </c>
      <c r="K48" s="18">
        <f>+K49+K50</f>
        <v>68732655</v>
      </c>
      <c r="L48" s="18">
        <f t="shared" si="12"/>
        <v>-5197667</v>
      </c>
      <c r="M48" s="19">
        <f t="shared" si="13"/>
        <v>6.168526061473693E-3</v>
      </c>
    </row>
    <row r="49" spans="1:13" s="37" customFormat="1" ht="15" hidden="1" outlineLevel="2" x14ac:dyDescent="0.25">
      <c r="A49" s="38" t="s">
        <v>57</v>
      </c>
      <c r="B49" s="21"/>
      <c r="C49" s="28"/>
      <c r="D49" s="28"/>
      <c r="E49" s="28"/>
      <c r="F49" s="28"/>
      <c r="G49" s="28"/>
      <c r="H49" s="21">
        <f>+B49+C49+D49+G49+E49+F49</f>
        <v>0</v>
      </c>
      <c r="I49" s="28"/>
      <c r="J49" s="22">
        <f>+H49+I49</f>
        <v>0</v>
      </c>
      <c r="K49" s="22"/>
      <c r="L49" s="22">
        <f t="shared" si="12"/>
        <v>0</v>
      </c>
      <c r="M49" s="23">
        <f t="shared" si="13"/>
        <v>0</v>
      </c>
    </row>
    <row r="50" spans="1:13" s="37" customFormat="1" ht="15" hidden="1" outlineLevel="2" x14ac:dyDescent="0.25">
      <c r="A50" s="38" t="s">
        <v>58</v>
      </c>
      <c r="B50" s="21">
        <v>73930322</v>
      </c>
      <c r="C50" s="28"/>
      <c r="D50" s="28"/>
      <c r="E50" s="28"/>
      <c r="F50" s="28"/>
      <c r="G50" s="28"/>
      <c r="H50" s="21">
        <f>+B50+C50+D50+G50+E50+F50</f>
        <v>73930322</v>
      </c>
      <c r="I50" s="28"/>
      <c r="J50" s="22">
        <f>+H50+I50</f>
        <v>73930322</v>
      </c>
      <c r="K50" s="22">
        <v>68732655</v>
      </c>
      <c r="L50" s="22">
        <f t="shared" si="12"/>
        <v>-5197667</v>
      </c>
      <c r="M50" s="23">
        <f t="shared" si="13"/>
        <v>6.168526061473693E-3</v>
      </c>
    </row>
    <row r="51" spans="1:13" s="37" customFormat="1" ht="15" hidden="1" outlineLevel="2" x14ac:dyDescent="0.25">
      <c r="A51" s="38" t="s">
        <v>59</v>
      </c>
      <c r="B51" s="18">
        <f>SUM(B52:B54)</f>
        <v>37137197</v>
      </c>
      <c r="C51" s="28"/>
      <c r="D51" s="28"/>
      <c r="E51" s="28"/>
      <c r="F51" s="28"/>
      <c r="G51" s="28"/>
      <c r="H51" s="18">
        <f>SUM(H52:H54)</f>
        <v>37137197</v>
      </c>
      <c r="I51" s="18"/>
      <c r="J51" s="18">
        <f>+H51+I51</f>
        <v>37137197</v>
      </c>
      <c r="K51" s="18">
        <f>+K52+K53+K54</f>
        <v>36984613</v>
      </c>
      <c r="L51" s="18">
        <f t="shared" si="12"/>
        <v>-152584</v>
      </c>
      <c r="M51" s="19">
        <f t="shared" si="13"/>
        <v>3.0986172026219857E-3</v>
      </c>
    </row>
    <row r="52" spans="1:13" s="37" customFormat="1" ht="15" hidden="1" outlineLevel="2" x14ac:dyDescent="0.25">
      <c r="A52" s="38" t="s">
        <v>60</v>
      </c>
      <c r="B52" s="21"/>
      <c r="C52" s="28"/>
      <c r="D52" s="28"/>
      <c r="E52" s="28"/>
      <c r="F52" s="28"/>
      <c r="G52" s="28"/>
      <c r="H52" s="21">
        <f>+B52+C52+D52+G52+E52+F52</f>
        <v>0</v>
      </c>
      <c r="I52" s="28"/>
      <c r="J52" s="22">
        <f>+H52+I52</f>
        <v>0</v>
      </c>
      <c r="K52" s="22"/>
      <c r="L52" s="22">
        <f t="shared" si="12"/>
        <v>0</v>
      </c>
      <c r="M52" s="23">
        <f t="shared" si="13"/>
        <v>0</v>
      </c>
    </row>
    <row r="53" spans="1:13" s="37" customFormat="1" ht="15" hidden="1" outlineLevel="2" x14ac:dyDescent="0.25">
      <c r="A53" s="38" t="s">
        <v>61</v>
      </c>
      <c r="B53" s="21">
        <f>41781754-13000000</f>
        <v>28781754</v>
      </c>
      <c r="C53" s="28"/>
      <c r="D53" s="28"/>
      <c r="E53" s="28"/>
      <c r="F53" s="28"/>
      <c r="G53" s="28"/>
      <c r="H53" s="21">
        <f>+B53+C53+D53+G53+E53+F53</f>
        <v>28781754</v>
      </c>
      <c r="I53" s="28"/>
      <c r="J53" s="22">
        <f t="shared" si="14"/>
        <v>28781754</v>
      </c>
      <c r="K53" s="22">
        <v>28640873</v>
      </c>
      <c r="L53" s="22">
        <f t="shared" si="12"/>
        <v>-140881</v>
      </c>
      <c r="M53" s="23">
        <f t="shared" si="13"/>
        <v>2.401463903321356E-3</v>
      </c>
    </row>
    <row r="54" spans="1:13" s="37" customFormat="1" ht="15" hidden="1" outlineLevel="2" x14ac:dyDescent="0.25">
      <c r="A54" s="38" t="s">
        <v>62</v>
      </c>
      <c r="B54" s="21">
        <f>12955443-4600000</f>
        <v>8355443</v>
      </c>
      <c r="C54" s="28"/>
      <c r="D54" s="28"/>
      <c r="E54" s="28"/>
      <c r="F54" s="28"/>
      <c r="G54" s="28"/>
      <c r="H54" s="21">
        <f>+B54+C54+D54+G54+E54+F54</f>
        <v>8355443</v>
      </c>
      <c r="I54" s="28"/>
      <c r="J54" s="22">
        <f>+H54+I54</f>
        <v>8355443</v>
      </c>
      <c r="K54" s="22">
        <v>8343740</v>
      </c>
      <c r="L54" s="22">
        <f t="shared" si="12"/>
        <v>-11703</v>
      </c>
      <c r="M54" s="23">
        <f>+J54/$J$194</f>
        <v>6.9715329930062991E-4</v>
      </c>
    </row>
    <row r="55" spans="1:13" s="37" customFormat="1" ht="15" hidden="1" outlineLevel="1" x14ac:dyDescent="0.25">
      <c r="A55" s="38" t="s">
        <v>63</v>
      </c>
      <c r="B55" s="18">
        <f>93966263.8+4600000+13000000+8000000</f>
        <v>119566263.8</v>
      </c>
      <c r="C55" s="28"/>
      <c r="D55" s="28"/>
      <c r="E55" s="28"/>
      <c r="F55" s="28"/>
      <c r="G55" s="28"/>
      <c r="H55" s="21">
        <f>+B55+C55+D55+G55+E55+F55</f>
        <v>119566263.8</v>
      </c>
      <c r="I55" s="28"/>
      <c r="J55" s="22">
        <f t="shared" si="14"/>
        <v>119566263.8</v>
      </c>
      <c r="K55" s="22">
        <v>118598272</v>
      </c>
      <c r="L55" s="22">
        <f t="shared" si="12"/>
        <v>-967991.79999999702</v>
      </c>
      <c r="M55" s="23">
        <f t="shared" si="13"/>
        <v>9.9762532391423717E-3</v>
      </c>
    </row>
    <row r="56" spans="1:13" s="37" customFormat="1" ht="15" collapsed="1" x14ac:dyDescent="0.25">
      <c r="A56" s="39" t="s">
        <v>64</v>
      </c>
      <c r="B56" s="18">
        <f>SUM(B57:B59)</f>
        <v>104643483</v>
      </c>
      <c r="C56" s="28"/>
      <c r="D56" s="28"/>
      <c r="E56" s="28"/>
      <c r="F56" s="28"/>
      <c r="G56" s="28"/>
      <c r="H56" s="18">
        <f>SUM(H57:H59)</f>
        <v>104643483</v>
      </c>
      <c r="I56" s="28"/>
      <c r="J56" s="18">
        <f>SUM(J57:J59)</f>
        <v>104643483</v>
      </c>
      <c r="K56" s="18">
        <f>SUM(K57:K59)</f>
        <v>100244545</v>
      </c>
      <c r="L56" s="18">
        <f t="shared" si="12"/>
        <v>-4398938</v>
      </c>
      <c r="M56" s="19">
        <f t="shared" si="13"/>
        <v>8.7311408172803494E-3</v>
      </c>
    </row>
    <row r="57" spans="1:13" s="37" customFormat="1" ht="15" hidden="1" outlineLevel="1" x14ac:dyDescent="0.25">
      <c r="A57" s="38" t="s">
        <v>65</v>
      </c>
      <c r="B57" s="21">
        <v>60315218</v>
      </c>
      <c r="C57" s="28"/>
      <c r="D57" s="28"/>
      <c r="E57" s="28"/>
      <c r="F57" s="28"/>
      <c r="G57" s="28"/>
      <c r="H57" s="21">
        <f>+B57+C57+D57+G57+E57+F57</f>
        <v>60315218</v>
      </c>
      <c r="I57" s="28"/>
      <c r="J57" s="22">
        <f>+H57+I57</f>
        <v>60315218</v>
      </c>
      <c r="K57" s="22">
        <v>57457697</v>
      </c>
      <c r="L57" s="22">
        <f t="shared" si="12"/>
        <v>-2857521</v>
      </c>
      <c r="M57" s="23">
        <f t="shared" si="13"/>
        <v>5.0325223003420327E-3</v>
      </c>
    </row>
    <row r="58" spans="1:13" s="37" customFormat="1" ht="15" hidden="1" outlineLevel="1" x14ac:dyDescent="0.25">
      <c r="A58" s="38" t="s">
        <v>66</v>
      </c>
      <c r="B58" s="21">
        <f>8999549+7750000</f>
        <v>16749549</v>
      </c>
      <c r="C58" s="28"/>
      <c r="D58" s="28"/>
      <c r="E58" s="28"/>
      <c r="F58" s="28"/>
      <c r="G58" s="28"/>
      <c r="H58" s="21">
        <f>+B58+C58+D58+G58+E58+F58</f>
        <v>16749549</v>
      </c>
      <c r="I58" s="28"/>
      <c r="J58" s="22">
        <f>+H58+I58</f>
        <v>16749549</v>
      </c>
      <c r="K58" s="22">
        <v>16628190</v>
      </c>
      <c r="L58" s="22">
        <f t="shared" si="12"/>
        <v>-121359</v>
      </c>
      <c r="M58" s="23">
        <f t="shared" si="13"/>
        <v>1.3975325242656272E-3</v>
      </c>
    </row>
    <row r="59" spans="1:13" s="37" customFormat="1" ht="15" hidden="1" outlineLevel="1" x14ac:dyDescent="0.25">
      <c r="A59" s="38" t="s">
        <v>67</v>
      </c>
      <c r="B59" s="21">
        <f>35328716-7750000</f>
        <v>27578716</v>
      </c>
      <c r="C59" s="28"/>
      <c r="D59" s="28"/>
      <c r="E59" s="28"/>
      <c r="F59" s="28"/>
      <c r="G59" s="28"/>
      <c r="H59" s="21">
        <f>+B59+C59+D59+G59+E59+F59</f>
        <v>27578716</v>
      </c>
      <c r="I59" s="28"/>
      <c r="J59" s="22">
        <f>+H59+I59</f>
        <v>27578716</v>
      </c>
      <c r="K59" s="22">
        <v>26158658</v>
      </c>
      <c r="L59" s="22">
        <f t="shared" si="12"/>
        <v>-1420058</v>
      </c>
      <c r="M59" s="23">
        <f t="shared" si="13"/>
        <v>2.3010859926726889E-3</v>
      </c>
    </row>
    <row r="60" spans="1:13" s="37" customFormat="1" ht="15" collapsed="1" x14ac:dyDescent="0.25">
      <c r="A60" s="39" t="s">
        <v>68</v>
      </c>
      <c r="B60" s="18">
        <f>SUM(B61:B63)</f>
        <v>97038502.659535199</v>
      </c>
      <c r="C60" s="28"/>
      <c r="D60" s="28"/>
      <c r="E60" s="28"/>
      <c r="F60" s="28"/>
      <c r="G60" s="28"/>
      <c r="H60" s="18">
        <f>SUM(H61:H63)</f>
        <v>97038502.659535199</v>
      </c>
      <c r="I60" s="28"/>
      <c r="J60" s="18">
        <f>SUM(J61:J63)</f>
        <v>97038502.659535199</v>
      </c>
      <c r="K60" s="18">
        <f>SUM(K61:K63)</f>
        <v>90761770</v>
      </c>
      <c r="L60" s="18">
        <f t="shared" si="12"/>
        <v>-6276732.6595351994</v>
      </c>
      <c r="M60" s="19">
        <f t="shared" si="13"/>
        <v>8.0966038890203564E-3</v>
      </c>
    </row>
    <row r="61" spans="1:13" s="37" customFormat="1" ht="15" hidden="1" outlineLevel="1" x14ac:dyDescent="0.25">
      <c r="A61" s="38" t="s">
        <v>69</v>
      </c>
      <c r="B61" s="21">
        <f>33861264.7327277+2500000</f>
        <v>36361264.732727699</v>
      </c>
      <c r="C61" s="28"/>
      <c r="D61" s="28"/>
      <c r="E61" s="28"/>
      <c r="F61" s="28"/>
      <c r="G61" s="28"/>
      <c r="H61" s="21">
        <f>+B61+C61+D61+G61+E61+F61</f>
        <v>36361264.732727699</v>
      </c>
      <c r="I61" s="28"/>
      <c r="J61" s="22">
        <f>+H61+I61</f>
        <v>36361264.732727699</v>
      </c>
      <c r="K61" s="22">
        <v>36321106</v>
      </c>
      <c r="L61" s="22">
        <f t="shared" si="12"/>
        <v>-40158.732727698982</v>
      </c>
      <c r="M61" s="23">
        <f t="shared" si="13"/>
        <v>3.033875723305724E-3</v>
      </c>
    </row>
    <row r="62" spans="1:13" s="37" customFormat="1" ht="15" hidden="1" outlineLevel="1" x14ac:dyDescent="0.25">
      <c r="A62" s="38" t="s">
        <v>70</v>
      </c>
      <c r="B62" s="21">
        <f>63177237.9268075-2500000-8500000</f>
        <v>52177237.9268075</v>
      </c>
      <c r="C62" s="28"/>
      <c r="D62" s="28"/>
      <c r="E62" s="28"/>
      <c r="F62" s="28"/>
      <c r="G62" s="28"/>
      <c r="H62" s="21">
        <f>+B62+C62+D62+G62+E62+F62</f>
        <v>52177237.9268075</v>
      </c>
      <c r="I62" s="28"/>
      <c r="J62" s="22">
        <f>+H62+I62</f>
        <v>52177237.9268075</v>
      </c>
      <c r="K62" s="22">
        <v>46869804</v>
      </c>
      <c r="L62" s="22">
        <f t="shared" si="12"/>
        <v>-5307433.9268075004</v>
      </c>
      <c r="M62" s="23">
        <f t="shared" si="13"/>
        <v>4.353513460515236E-3</v>
      </c>
    </row>
    <row r="63" spans="1:13" s="37" customFormat="1" ht="15" hidden="1" outlineLevel="1" x14ac:dyDescent="0.25">
      <c r="A63" s="38" t="s">
        <v>71</v>
      </c>
      <c r="B63" s="21">
        <v>8500000</v>
      </c>
      <c r="C63" s="28"/>
      <c r="D63" s="28"/>
      <c r="E63" s="28"/>
      <c r="F63" s="28"/>
      <c r="G63" s="28"/>
      <c r="H63" s="21">
        <f>+B63+C63+D63+G63+E63+F63</f>
        <v>8500000</v>
      </c>
      <c r="I63" s="28"/>
      <c r="J63" s="22">
        <f>+H63+I63</f>
        <v>8500000</v>
      </c>
      <c r="K63" s="22">
        <v>7570860</v>
      </c>
      <c r="L63" s="22">
        <f t="shared" si="12"/>
        <v>-929140</v>
      </c>
      <c r="M63" s="23">
        <f t="shared" si="13"/>
        <v>7.0921470519939563E-4</v>
      </c>
    </row>
    <row r="64" spans="1:13" s="37" customFormat="1" ht="15" collapsed="1" x14ac:dyDescent="0.25">
      <c r="A64" s="39" t="s">
        <v>72</v>
      </c>
      <c r="B64" s="18">
        <f>SUM(B65:B67)</f>
        <v>76587972.337500006</v>
      </c>
      <c r="C64" s="28"/>
      <c r="D64" s="28"/>
      <c r="E64" s="28"/>
      <c r="F64" s="28"/>
      <c r="G64" s="28"/>
      <c r="H64" s="18">
        <f>SUM(H65:H67)</f>
        <v>76587972.337500006</v>
      </c>
      <c r="I64" s="28"/>
      <c r="J64" s="18">
        <f>SUM(J65:J67)</f>
        <v>76587972.337500006</v>
      </c>
      <c r="K64" s="18">
        <f>SUM(K65:K67)</f>
        <v>70248735</v>
      </c>
      <c r="L64" s="18">
        <f t="shared" si="12"/>
        <v>-6339237.337500006</v>
      </c>
      <c r="M64" s="19">
        <f t="shared" si="13"/>
        <v>6.390272496842298E-3</v>
      </c>
    </row>
    <row r="65" spans="1:13" s="37" customFormat="1" ht="15" hidden="1" outlineLevel="1" x14ac:dyDescent="0.25">
      <c r="A65" s="38" t="s">
        <v>73</v>
      </c>
      <c r="B65" s="21">
        <f>3650244.3375+150000</f>
        <v>3800244.3374999999</v>
      </c>
      <c r="C65" s="28"/>
      <c r="D65" s="28"/>
      <c r="E65" s="28"/>
      <c r="F65" s="28"/>
      <c r="G65" s="28"/>
      <c r="H65" s="21">
        <f>+B65+C65+D65+G65+E65+F65</f>
        <v>3800244.3374999999</v>
      </c>
      <c r="I65" s="28"/>
      <c r="J65" s="22">
        <f>+H65+I65</f>
        <v>3800244.3374999999</v>
      </c>
      <c r="K65" s="22">
        <v>3780734</v>
      </c>
      <c r="L65" s="22">
        <f t="shared" si="12"/>
        <v>-19510.337499999907</v>
      </c>
      <c r="M65" s="23">
        <f t="shared" si="13"/>
        <v>3.1708107853008644E-4</v>
      </c>
    </row>
    <row r="66" spans="1:13" s="37" customFormat="1" ht="15" hidden="1" outlineLevel="1" x14ac:dyDescent="0.25">
      <c r="A66" s="38" t="s">
        <v>74</v>
      </c>
      <c r="B66" s="21">
        <f>72937728-150000</f>
        <v>72787728</v>
      </c>
      <c r="C66" s="28"/>
      <c r="D66" s="28"/>
      <c r="E66" s="28"/>
      <c r="F66" s="28"/>
      <c r="G66" s="28"/>
      <c r="H66" s="21">
        <f>+B66+C66+D66+G66+E66+F66</f>
        <v>72787728</v>
      </c>
      <c r="I66" s="28"/>
      <c r="J66" s="22">
        <f>+H66+I66</f>
        <v>72787728</v>
      </c>
      <c r="K66" s="22">
        <v>66468001</v>
      </c>
      <c r="L66" s="22">
        <f t="shared" si="12"/>
        <v>-6319727</v>
      </c>
      <c r="M66" s="23">
        <f t="shared" si="13"/>
        <v>6.0731914183122107E-3</v>
      </c>
    </row>
    <row r="67" spans="1:13" s="37" customFormat="1" ht="15" hidden="1" outlineLevel="1" x14ac:dyDescent="0.25">
      <c r="A67" s="38" t="s">
        <v>75</v>
      </c>
      <c r="B67" s="21">
        <v>0</v>
      </c>
      <c r="C67" s="28"/>
      <c r="D67" s="28"/>
      <c r="E67" s="28"/>
      <c r="F67" s="28"/>
      <c r="G67" s="28"/>
      <c r="H67" s="21">
        <f>+B67+C67+D67+G67+E67+F67</f>
        <v>0</v>
      </c>
      <c r="I67" s="28"/>
      <c r="J67" s="22">
        <f>+H67+I67</f>
        <v>0</v>
      </c>
      <c r="K67" s="22"/>
      <c r="L67" s="22">
        <f t="shared" si="12"/>
        <v>0</v>
      </c>
      <c r="M67" s="23">
        <f t="shared" si="13"/>
        <v>0</v>
      </c>
    </row>
    <row r="68" spans="1:13" s="37" customFormat="1" ht="15" collapsed="1" x14ac:dyDescent="0.25">
      <c r="A68" s="39" t="s">
        <v>76</v>
      </c>
      <c r="B68" s="18">
        <f>SUM(B69:B70)</f>
        <v>216593376</v>
      </c>
      <c r="C68" s="28"/>
      <c r="D68" s="28"/>
      <c r="E68" s="28"/>
      <c r="F68" s="28"/>
      <c r="G68" s="28"/>
      <c r="H68" s="18">
        <f>SUM(H69:H70)</f>
        <v>216593376</v>
      </c>
      <c r="I68" s="28"/>
      <c r="J68" s="18">
        <f>SUM(J69:J70)</f>
        <v>216593376</v>
      </c>
      <c r="K68" s="18">
        <f>SUM(K69:K70)</f>
        <v>200248464</v>
      </c>
      <c r="L68" s="18">
        <f t="shared" si="12"/>
        <v>-16344912</v>
      </c>
      <c r="M68" s="19">
        <f t="shared" si="13"/>
        <v>1.8071906742115514E-2</v>
      </c>
    </row>
    <row r="69" spans="1:13" s="37" customFormat="1" ht="15" hidden="1" outlineLevel="1" x14ac:dyDescent="0.25">
      <c r="A69" s="38" t="s">
        <v>77</v>
      </c>
      <c r="B69" s="21">
        <v>174725399</v>
      </c>
      <c r="C69" s="28"/>
      <c r="D69" s="28"/>
      <c r="E69" s="28"/>
      <c r="F69" s="28"/>
      <c r="G69" s="28"/>
      <c r="H69" s="21">
        <f>+B69+C69+D69+G69+E69+F69</f>
        <v>174725399</v>
      </c>
      <c r="I69" s="28"/>
      <c r="J69" s="22">
        <f>+H69+I69</f>
        <v>174725399</v>
      </c>
      <c r="K69" s="22">
        <v>166542882</v>
      </c>
      <c r="L69" s="22">
        <f t="shared" si="12"/>
        <v>-8182517</v>
      </c>
      <c r="M69" s="23">
        <f t="shared" si="13"/>
        <v>1.4578567334427268E-2</v>
      </c>
    </row>
    <row r="70" spans="1:13" s="37" customFormat="1" ht="15" hidden="1" outlineLevel="1" x14ac:dyDescent="0.25">
      <c r="A70" s="38" t="s">
        <v>78</v>
      </c>
      <c r="B70" s="21">
        <v>41867977</v>
      </c>
      <c r="C70" s="28"/>
      <c r="D70" s="28"/>
      <c r="E70" s="28"/>
      <c r="F70" s="28"/>
      <c r="G70" s="28"/>
      <c r="H70" s="21">
        <f>+B70+C70+D70+G70+E70+F70</f>
        <v>41867977</v>
      </c>
      <c r="I70" s="28"/>
      <c r="J70" s="22">
        <f>+H70+I70</f>
        <v>41867977</v>
      </c>
      <c r="K70" s="22">
        <v>33705582</v>
      </c>
      <c r="L70" s="22">
        <f t="shared" si="12"/>
        <v>-8162395</v>
      </c>
      <c r="M70" s="23">
        <f t="shared" si="13"/>
        <v>3.4933394076882441E-3</v>
      </c>
    </row>
    <row r="71" spans="1:13" s="37" customFormat="1" ht="15" collapsed="1" x14ac:dyDescent="0.25">
      <c r="A71" s="38"/>
      <c r="B71" s="21"/>
      <c r="C71" s="28"/>
      <c r="D71" s="28"/>
      <c r="E71" s="28"/>
      <c r="F71" s="28"/>
      <c r="G71" s="28"/>
      <c r="H71" s="21"/>
      <c r="I71" s="28"/>
      <c r="J71" s="22"/>
      <c r="K71" s="22"/>
      <c r="L71" s="22"/>
      <c r="M71" s="23"/>
    </row>
    <row r="72" spans="1:13" s="37" customFormat="1" ht="15" x14ac:dyDescent="0.25">
      <c r="A72" s="39" t="s">
        <v>79</v>
      </c>
      <c r="B72" s="21"/>
      <c r="C72" s="28"/>
      <c r="D72" s="28"/>
      <c r="E72" s="28"/>
      <c r="F72" s="28">
        <f>+F73+F81+F92+F101</f>
        <v>1900680478.295289</v>
      </c>
      <c r="G72" s="28"/>
      <c r="H72" s="28">
        <f>+H73+H81+H92+H101</f>
        <v>1900680478.295289</v>
      </c>
      <c r="I72" s="28"/>
      <c r="J72" s="28">
        <f>+J73+J81+J92+J101</f>
        <v>1900680478.295289</v>
      </c>
      <c r="K72" s="28">
        <f>+K73+K81+K92+K101</f>
        <v>1849196355</v>
      </c>
      <c r="L72" s="28">
        <f t="shared" ref="L72:L107" si="15">+K72-J72</f>
        <v>-51484123.29528904</v>
      </c>
      <c r="M72" s="19">
        <f t="shared" ref="M72:M107" si="16">+J72/$J$194</f>
        <v>0.15858712295205174</v>
      </c>
    </row>
    <row r="73" spans="1:13" s="37" customFormat="1" ht="15" x14ac:dyDescent="0.25">
      <c r="A73" s="39" t="s">
        <v>80</v>
      </c>
      <c r="B73" s="21"/>
      <c r="C73" s="28"/>
      <c r="D73" s="28"/>
      <c r="E73" s="28"/>
      <c r="F73" s="28">
        <f>SUM(F74:F80)</f>
        <v>281090194</v>
      </c>
      <c r="G73" s="28"/>
      <c r="H73" s="28">
        <f>SUM(H74:H80)</f>
        <v>281090194</v>
      </c>
      <c r="I73" s="28"/>
      <c r="J73" s="28">
        <f>SUM(J74:J80)</f>
        <v>281090194</v>
      </c>
      <c r="K73" s="28">
        <f>SUM(K74:K80)</f>
        <v>279654106</v>
      </c>
      <c r="L73" s="28">
        <f t="shared" si="15"/>
        <v>-1436088</v>
      </c>
      <c r="M73" s="19">
        <f t="shared" si="16"/>
        <v>2.3453329302605991E-2</v>
      </c>
    </row>
    <row r="74" spans="1:13" s="37" customFormat="1" ht="15" hidden="1" outlineLevel="1" x14ac:dyDescent="0.25">
      <c r="A74" s="38" t="s">
        <v>81</v>
      </c>
      <c r="B74" s="21"/>
      <c r="C74" s="28"/>
      <c r="D74" s="28"/>
      <c r="E74" s="28"/>
      <c r="F74" s="22">
        <f>+[2]Hoja1!$M$16</f>
        <v>50163529</v>
      </c>
      <c r="G74" s="28"/>
      <c r="H74" s="21">
        <f t="shared" ref="H74:H80" si="17">+B74+C74+D74+G74+E74+F74</f>
        <v>50163529</v>
      </c>
      <c r="I74" s="28"/>
      <c r="J74" s="22">
        <f t="shared" ref="J74:J80" si="18">+H74+I74</f>
        <v>50163529</v>
      </c>
      <c r="K74" s="22">
        <v>50160960</v>
      </c>
      <c r="L74" s="22">
        <f t="shared" si="15"/>
        <v>-2569</v>
      </c>
      <c r="M74" s="23">
        <f t="shared" si="16"/>
        <v>4.1854955801760392E-3</v>
      </c>
    </row>
    <row r="75" spans="1:13" s="37" customFormat="1" ht="15" hidden="1" outlineLevel="1" x14ac:dyDescent="0.25">
      <c r="A75" s="38" t="s">
        <v>82</v>
      </c>
      <c r="B75" s="21"/>
      <c r="C75" s="28"/>
      <c r="D75" s="28"/>
      <c r="E75" s="28"/>
      <c r="F75" s="22">
        <f>+[2]Hoja1!$M$17</f>
        <v>91958584</v>
      </c>
      <c r="G75" s="28"/>
      <c r="H75" s="21">
        <f t="shared" si="17"/>
        <v>91958584</v>
      </c>
      <c r="I75" s="28"/>
      <c r="J75" s="22">
        <f t="shared" si="18"/>
        <v>91958584</v>
      </c>
      <c r="K75" s="22">
        <v>91958500</v>
      </c>
      <c r="L75" s="22">
        <f t="shared" si="15"/>
        <v>-84</v>
      </c>
      <c r="M75" s="23">
        <f t="shared" si="16"/>
        <v>7.672750593189866E-3</v>
      </c>
    </row>
    <row r="76" spans="1:13" s="37" customFormat="1" ht="15" hidden="1" outlineLevel="1" x14ac:dyDescent="0.25">
      <c r="A76" s="38" t="s">
        <v>83</v>
      </c>
      <c r="B76" s="21"/>
      <c r="C76" s="28"/>
      <c r="D76" s="28"/>
      <c r="E76" s="28"/>
      <c r="F76" s="22">
        <f>+[2]Hoja1!$M$18</f>
        <v>7022000</v>
      </c>
      <c r="G76" s="28"/>
      <c r="H76" s="21">
        <f t="shared" si="17"/>
        <v>7022000</v>
      </c>
      <c r="I76" s="28"/>
      <c r="J76" s="22">
        <f t="shared" si="18"/>
        <v>7022000</v>
      </c>
      <c r="K76" s="22">
        <v>6069000</v>
      </c>
      <c r="L76" s="22">
        <f t="shared" si="15"/>
        <v>-953000</v>
      </c>
      <c r="M76" s="23">
        <f t="shared" si="16"/>
        <v>5.8589478351884193E-4</v>
      </c>
    </row>
    <row r="77" spans="1:13" s="37" customFormat="1" ht="15" hidden="1" outlineLevel="1" x14ac:dyDescent="0.25">
      <c r="A77" s="38" t="s">
        <v>84</v>
      </c>
      <c r="B77" s="21"/>
      <c r="C77" s="28"/>
      <c r="D77" s="28"/>
      <c r="E77" s="28"/>
      <c r="F77" s="22"/>
      <c r="G77" s="28"/>
      <c r="H77" s="21">
        <f t="shared" si="17"/>
        <v>0</v>
      </c>
      <c r="I77" s="28"/>
      <c r="J77" s="22">
        <f t="shared" si="18"/>
        <v>0</v>
      </c>
      <c r="K77" s="22">
        <v>0</v>
      </c>
      <c r="L77" s="22">
        <f t="shared" si="15"/>
        <v>0</v>
      </c>
      <c r="M77" s="23">
        <f t="shared" si="16"/>
        <v>0</v>
      </c>
    </row>
    <row r="78" spans="1:13" s="37" customFormat="1" ht="15" hidden="1" outlineLevel="1" x14ac:dyDescent="0.25">
      <c r="A78" s="38" t="s">
        <v>85</v>
      </c>
      <c r="B78" s="21"/>
      <c r="C78" s="28"/>
      <c r="D78" s="28"/>
      <c r="E78" s="28"/>
      <c r="F78" s="22">
        <f>+[2]Hoja1!$M$20</f>
        <v>87916011</v>
      </c>
      <c r="G78" s="28"/>
      <c r="H78" s="21">
        <f t="shared" si="17"/>
        <v>87916011</v>
      </c>
      <c r="I78" s="28"/>
      <c r="J78" s="22">
        <f t="shared" si="18"/>
        <v>87916011</v>
      </c>
      <c r="K78" s="22">
        <v>87435576</v>
      </c>
      <c r="L78" s="22">
        <f t="shared" si="15"/>
        <v>-480435</v>
      </c>
      <c r="M78" s="23">
        <f t="shared" si="16"/>
        <v>7.3354503321966854E-3</v>
      </c>
    </row>
    <row r="79" spans="1:13" s="37" customFormat="1" ht="15" hidden="1" outlineLevel="1" x14ac:dyDescent="0.25">
      <c r="A79" s="38" t="s">
        <v>86</v>
      </c>
      <c r="B79" s="21"/>
      <c r="C79" s="28"/>
      <c r="D79" s="28"/>
      <c r="E79" s="28"/>
      <c r="F79" s="22">
        <f>+[2]Hoja1!$M$21</f>
        <v>44030070</v>
      </c>
      <c r="G79" s="28"/>
      <c r="H79" s="21">
        <f t="shared" si="17"/>
        <v>44030070</v>
      </c>
      <c r="I79" s="28"/>
      <c r="J79" s="22">
        <f t="shared" si="18"/>
        <v>44030070</v>
      </c>
      <c r="K79" s="22">
        <v>44030070</v>
      </c>
      <c r="L79" s="22">
        <f t="shared" si="15"/>
        <v>0</v>
      </c>
      <c r="M79" s="23">
        <f t="shared" si="16"/>
        <v>3.6737380135245593E-3</v>
      </c>
    </row>
    <row r="80" spans="1:13" s="37" customFormat="1" ht="15" hidden="1" outlineLevel="1" x14ac:dyDescent="0.25">
      <c r="A80" s="38" t="s">
        <v>87</v>
      </c>
      <c r="B80" s="21"/>
      <c r="C80" s="28"/>
      <c r="D80" s="28"/>
      <c r="E80" s="28"/>
      <c r="F80" s="22"/>
      <c r="G80" s="28"/>
      <c r="H80" s="21">
        <f t="shared" si="17"/>
        <v>0</v>
      </c>
      <c r="I80" s="28"/>
      <c r="J80" s="22">
        <f t="shared" si="18"/>
        <v>0</v>
      </c>
      <c r="K80" s="22">
        <v>0</v>
      </c>
      <c r="L80" s="22">
        <f t="shared" si="15"/>
        <v>0</v>
      </c>
      <c r="M80" s="23">
        <f t="shared" si="16"/>
        <v>0</v>
      </c>
    </row>
    <row r="81" spans="1:13" s="37" customFormat="1" ht="15" collapsed="1" x14ac:dyDescent="0.25">
      <c r="A81" s="39" t="s">
        <v>88</v>
      </c>
      <c r="B81" s="21"/>
      <c r="C81" s="28"/>
      <c r="D81" s="28"/>
      <c r="E81" s="28"/>
      <c r="F81" s="28">
        <f>SUM(F82:F91)</f>
        <v>1276252051.8390574</v>
      </c>
      <c r="G81" s="28"/>
      <c r="H81" s="28">
        <f>SUM(H82:H91)</f>
        <v>1276252051.8390574</v>
      </c>
      <c r="I81" s="28"/>
      <c r="J81" s="28">
        <f>SUM(J82:J91)</f>
        <v>1276252051.8390574</v>
      </c>
      <c r="K81" s="28">
        <f>SUM(K82:K91)</f>
        <v>1246848761</v>
      </c>
      <c r="L81" s="28">
        <f t="shared" si="15"/>
        <v>-29403290.839057446</v>
      </c>
      <c r="M81" s="19">
        <f t="shared" si="16"/>
        <v>0.10648667325943069</v>
      </c>
    </row>
    <row r="82" spans="1:13" s="37" customFormat="1" ht="15" hidden="1" outlineLevel="1" x14ac:dyDescent="0.25">
      <c r="A82" s="38" t="s">
        <v>89</v>
      </c>
      <c r="B82" s="21"/>
      <c r="C82" s="28"/>
      <c r="D82" s="28"/>
      <c r="E82" s="28"/>
      <c r="F82" s="22">
        <v>973354614</v>
      </c>
      <c r="G82" s="28"/>
      <c r="H82" s="21">
        <f>+B82+C82+D82+G82+E82+F82</f>
        <v>973354614</v>
      </c>
      <c r="I82" s="28"/>
      <c r="J82" s="22">
        <f>+H82+I82</f>
        <v>973354614</v>
      </c>
      <c r="K82" s="22">
        <v>950958023</v>
      </c>
      <c r="L82" s="22">
        <f t="shared" si="15"/>
        <v>-22396591</v>
      </c>
      <c r="M82" s="23">
        <f t="shared" si="16"/>
        <v>8.1213812426174301E-2</v>
      </c>
    </row>
    <row r="83" spans="1:13" s="37" customFormat="1" ht="15" hidden="1" outlineLevel="1" x14ac:dyDescent="0.25">
      <c r="A83" s="38" t="s">
        <v>90</v>
      </c>
      <c r="B83" s="21"/>
      <c r="C83" s="28"/>
      <c r="D83" s="28"/>
      <c r="E83" s="28"/>
      <c r="F83" s="22">
        <v>13348182.839700699</v>
      </c>
      <c r="G83" s="28"/>
      <c r="H83" s="21">
        <f>+B83+C83+D83+G83+E83+F83</f>
        <v>13348182.839700699</v>
      </c>
      <c r="I83" s="28"/>
      <c r="J83" s="22">
        <f>+H83+I83</f>
        <v>13348182.839700699</v>
      </c>
      <c r="K83" s="22">
        <v>13065966</v>
      </c>
      <c r="L83" s="22">
        <f t="shared" si="15"/>
        <v>-282216.83970069885</v>
      </c>
      <c r="M83" s="23">
        <f t="shared" si="16"/>
        <v>1.1137326538359956E-3</v>
      </c>
    </row>
    <row r="84" spans="1:13" s="37" customFormat="1" ht="15" hidden="1" outlineLevel="1" x14ac:dyDescent="0.25">
      <c r="A84" s="38" t="s">
        <v>91</v>
      </c>
      <c r="B84" s="21"/>
      <c r="C84" s="28"/>
      <c r="D84" s="28"/>
      <c r="E84" s="28"/>
      <c r="F84" s="22">
        <v>9305325</v>
      </c>
      <c r="G84" s="28"/>
      <c r="H84" s="21">
        <f>+B84+C84+D84+G84+E84+F84</f>
        <v>9305325</v>
      </c>
      <c r="I84" s="28"/>
      <c r="J84" s="22">
        <f>+H84+I84</f>
        <v>9305325</v>
      </c>
      <c r="K84" s="22">
        <v>8810084</v>
      </c>
      <c r="L84" s="22">
        <f t="shared" si="15"/>
        <v>-495241</v>
      </c>
      <c r="M84" s="23">
        <f t="shared" si="16"/>
        <v>7.7640862666583134E-4</v>
      </c>
    </row>
    <row r="85" spans="1:13" s="37" customFormat="1" ht="15" hidden="1" outlineLevel="1" x14ac:dyDescent="0.25">
      <c r="A85" s="38" t="s">
        <v>92</v>
      </c>
      <c r="B85" s="21"/>
      <c r="C85" s="28"/>
      <c r="D85" s="28"/>
      <c r="E85" s="28"/>
      <c r="F85" s="22">
        <f>+[2]Hoja1!$M$34+400000</f>
        <v>14254862.608606666</v>
      </c>
      <c r="G85" s="28"/>
      <c r="H85" s="21">
        <f t="shared" ref="H85:H91" si="19">+B85+C85+D85+G85+E85+F85</f>
        <v>14254862.608606666</v>
      </c>
      <c r="I85" s="28"/>
      <c r="J85" s="22">
        <f t="shared" ref="J85:J91" si="20">+H85+I85</f>
        <v>14254862.608606666</v>
      </c>
      <c r="K85" s="22">
        <v>14203561</v>
      </c>
      <c r="L85" s="22">
        <f t="shared" si="15"/>
        <v>-51301.608606666327</v>
      </c>
      <c r="M85" s="23">
        <f t="shared" si="16"/>
        <v>1.1893833156024546E-3</v>
      </c>
    </row>
    <row r="86" spans="1:13" s="37" customFormat="1" ht="15" hidden="1" outlineLevel="1" x14ac:dyDescent="0.25">
      <c r="A86" s="38" t="s">
        <v>93</v>
      </c>
      <c r="B86" s="21"/>
      <c r="C86" s="28"/>
      <c r="D86" s="28"/>
      <c r="E86" s="28"/>
      <c r="F86" s="22">
        <v>81426674.390750006</v>
      </c>
      <c r="G86" s="28"/>
      <c r="H86" s="21">
        <f t="shared" si="19"/>
        <v>81426674.390750006</v>
      </c>
      <c r="I86" s="28"/>
      <c r="J86" s="22">
        <f t="shared" si="20"/>
        <v>81426674.390750006</v>
      </c>
      <c r="K86" s="22">
        <v>76421731</v>
      </c>
      <c r="L86" s="22">
        <f t="shared" si="15"/>
        <v>-5004943.3907500058</v>
      </c>
      <c r="M86" s="23">
        <f t="shared" si="16"/>
        <v>6.7939993968709348E-3</v>
      </c>
    </row>
    <row r="87" spans="1:13" s="37" customFormat="1" ht="15" hidden="1" outlineLevel="1" x14ac:dyDescent="0.25">
      <c r="A87" s="38" t="s">
        <v>94</v>
      </c>
      <c r="B87" s="21"/>
      <c r="C87" s="28"/>
      <c r="D87" s="28"/>
      <c r="E87" s="28"/>
      <c r="F87" s="22">
        <f>+[2]Hoja1!$M$36-400000</f>
        <v>5228750</v>
      </c>
      <c r="G87" s="28"/>
      <c r="H87" s="21">
        <f t="shared" si="19"/>
        <v>5228750</v>
      </c>
      <c r="I87" s="28"/>
      <c r="J87" s="22">
        <f t="shared" si="20"/>
        <v>5228750</v>
      </c>
      <c r="K87" s="22">
        <v>4071300</v>
      </c>
      <c r="L87" s="22">
        <f t="shared" si="15"/>
        <v>-1157450</v>
      </c>
      <c r="M87" s="23">
        <f t="shared" si="16"/>
        <v>4.3627133997780471E-4</v>
      </c>
    </row>
    <row r="88" spans="1:13" s="37" customFormat="1" ht="15" hidden="1" outlineLevel="1" x14ac:dyDescent="0.25">
      <c r="A88" s="38" t="s">
        <v>95</v>
      </c>
      <c r="B88" s="21"/>
      <c r="C88" s="28"/>
      <c r="D88" s="28"/>
      <c r="E88" s="28"/>
      <c r="F88" s="22">
        <f>+[2]Hoja1!$M$37</f>
        <v>64915059</v>
      </c>
      <c r="G88" s="28"/>
      <c r="H88" s="21">
        <f t="shared" si="19"/>
        <v>64915059</v>
      </c>
      <c r="I88" s="28"/>
      <c r="J88" s="22">
        <f t="shared" si="20"/>
        <v>64915059</v>
      </c>
      <c r="K88" s="22">
        <v>64915059</v>
      </c>
      <c r="L88" s="22">
        <f t="shared" si="15"/>
        <v>0</v>
      </c>
      <c r="M88" s="23">
        <f t="shared" si="16"/>
        <v>5.4163193449042789E-3</v>
      </c>
    </row>
    <row r="89" spans="1:13" s="37" customFormat="1" ht="15" hidden="1" outlineLevel="1" x14ac:dyDescent="0.25">
      <c r="A89" s="38" t="s">
        <v>96</v>
      </c>
      <c r="B89" s="21"/>
      <c r="C89" s="28"/>
      <c r="D89" s="28"/>
      <c r="E89" s="28"/>
      <c r="F89" s="22">
        <f>+[2]Hoja1!$M$38</f>
        <v>66220945</v>
      </c>
      <c r="G89" s="28"/>
      <c r="H89" s="21">
        <f t="shared" si="19"/>
        <v>66220945</v>
      </c>
      <c r="I89" s="28"/>
      <c r="J89" s="22">
        <f t="shared" si="20"/>
        <v>66220945</v>
      </c>
      <c r="K89" s="22">
        <v>66205398</v>
      </c>
      <c r="L89" s="22">
        <f t="shared" si="15"/>
        <v>-15547</v>
      </c>
      <c r="M89" s="23">
        <f t="shared" si="16"/>
        <v>5.525278586611811E-3</v>
      </c>
    </row>
    <row r="90" spans="1:13" s="37" customFormat="1" ht="15" hidden="1" outlineLevel="1" x14ac:dyDescent="0.25">
      <c r="A90" s="38" t="s">
        <v>97</v>
      </c>
      <c r="B90" s="21"/>
      <c r="C90" s="28"/>
      <c r="D90" s="28"/>
      <c r="E90" s="28"/>
      <c r="F90" s="22">
        <f>+[2]Hoja1!$M$39</f>
        <v>48197639</v>
      </c>
      <c r="G90" s="28"/>
      <c r="H90" s="21">
        <f>+B90+C90+D90+G90+E90+F90</f>
        <v>48197639</v>
      </c>
      <c r="I90" s="28"/>
      <c r="J90" s="22">
        <f>+H90+I90</f>
        <v>48197639</v>
      </c>
      <c r="K90" s="22">
        <v>48197639</v>
      </c>
      <c r="L90" s="22">
        <f t="shared" si="15"/>
        <v>0</v>
      </c>
      <c r="M90" s="23">
        <f t="shared" si="16"/>
        <v>4.021467568787282E-3</v>
      </c>
    </row>
    <row r="91" spans="1:13" s="37" customFormat="1" ht="15" hidden="1" outlineLevel="1" x14ac:dyDescent="0.25">
      <c r="A91" s="38" t="s">
        <v>98</v>
      </c>
      <c r="B91" s="21"/>
      <c r="C91" s="28"/>
      <c r="D91" s="28"/>
      <c r="E91" s="28"/>
      <c r="F91" s="22">
        <v>0</v>
      </c>
      <c r="G91" s="28"/>
      <c r="H91" s="21">
        <f t="shared" si="19"/>
        <v>0</v>
      </c>
      <c r="I91" s="28"/>
      <c r="J91" s="22">
        <f t="shared" si="20"/>
        <v>0</v>
      </c>
      <c r="K91" s="22">
        <v>0</v>
      </c>
      <c r="L91" s="22">
        <f t="shared" si="15"/>
        <v>0</v>
      </c>
      <c r="M91" s="23">
        <f t="shared" si="16"/>
        <v>0</v>
      </c>
    </row>
    <row r="92" spans="1:13" s="37" customFormat="1" ht="15" collapsed="1" x14ac:dyDescent="0.25">
      <c r="A92" s="39" t="s">
        <v>99</v>
      </c>
      <c r="B92" s="21"/>
      <c r="C92" s="28"/>
      <c r="D92" s="28"/>
      <c r="E92" s="28"/>
      <c r="F92" s="28">
        <f>SUM(F93:F100)</f>
        <v>126520201.45623164</v>
      </c>
      <c r="G92" s="28"/>
      <c r="H92" s="28">
        <f>SUM(H93:H100)</f>
        <v>126520201.45623164</v>
      </c>
      <c r="I92" s="28"/>
      <c r="J92" s="28">
        <f>SUM(J93:J100)</f>
        <v>126520201.45623164</v>
      </c>
      <c r="K92" s="28">
        <f>SUM(K93:K100)</f>
        <v>122476926</v>
      </c>
      <c r="L92" s="28">
        <f t="shared" si="15"/>
        <v>-4043275.4562316388</v>
      </c>
      <c r="M92" s="19">
        <f t="shared" si="16"/>
        <v>1.0556469103241114E-2</v>
      </c>
    </row>
    <row r="93" spans="1:13" s="37" customFormat="1" ht="15" hidden="1" outlineLevel="1" x14ac:dyDescent="0.25">
      <c r="A93" s="38" t="s">
        <v>100</v>
      </c>
      <c r="B93" s="21"/>
      <c r="C93" s="28"/>
      <c r="D93" s="28"/>
      <c r="E93" s="28"/>
      <c r="F93" s="22">
        <f>+[2]Hoja1!$M$43</f>
        <v>19011025.535999984</v>
      </c>
      <c r="G93" s="28"/>
      <c r="H93" s="21">
        <f>+B93+C93+D93+G93+E93+F93</f>
        <v>19011025.535999984</v>
      </c>
      <c r="I93" s="28"/>
      <c r="J93" s="22">
        <f>+H93+I93</f>
        <v>19011025.535999984</v>
      </c>
      <c r="K93" s="22">
        <v>17504149</v>
      </c>
      <c r="L93" s="22">
        <f t="shared" si="15"/>
        <v>-1506876.5359999835</v>
      </c>
      <c r="M93" s="23">
        <f t="shared" si="16"/>
        <v>1.5862233965944013E-3</v>
      </c>
    </row>
    <row r="94" spans="1:13" s="37" customFormat="1" ht="15" hidden="1" outlineLevel="1" x14ac:dyDescent="0.25">
      <c r="A94" s="38" t="s">
        <v>101</v>
      </c>
      <c r="B94" s="21"/>
      <c r="C94" s="28"/>
      <c r="D94" s="28"/>
      <c r="E94" s="28"/>
      <c r="F94" s="22">
        <f>+[2]Hoja1!$M$44</f>
        <v>10037073.046406657</v>
      </c>
      <c r="G94" s="28"/>
      <c r="H94" s="21">
        <f>+B94+C94+D94+G94+E94+F94</f>
        <v>10037073.046406657</v>
      </c>
      <c r="I94" s="28"/>
      <c r="J94" s="22">
        <f>+H94+I94</f>
        <v>10037073.046406657</v>
      </c>
      <c r="K94" s="22">
        <v>10037037</v>
      </c>
      <c r="L94" s="22">
        <f t="shared" si="15"/>
        <v>-36.046406656503677</v>
      </c>
      <c r="M94" s="23">
        <f t="shared" si="16"/>
        <v>8.3746350607907024E-4</v>
      </c>
    </row>
    <row r="95" spans="1:13" s="37" customFormat="1" ht="15" hidden="1" outlineLevel="1" x14ac:dyDescent="0.25">
      <c r="A95" s="38" t="s">
        <v>102</v>
      </c>
      <c r="B95" s="21"/>
      <c r="C95" s="28"/>
      <c r="D95" s="28"/>
      <c r="E95" s="28"/>
      <c r="F95" s="22">
        <f>+[2]Hoja1!$M$45</f>
        <v>11821645</v>
      </c>
      <c r="G95" s="28"/>
      <c r="H95" s="21">
        <f>+B95+C95+D95+G95+E95+F95</f>
        <v>11821645</v>
      </c>
      <c r="I95" s="28"/>
      <c r="J95" s="22">
        <f>+H95+I95</f>
        <v>11821645</v>
      </c>
      <c r="K95" s="22">
        <v>9596820</v>
      </c>
      <c r="L95" s="22">
        <f t="shared" si="15"/>
        <v>-2224825</v>
      </c>
      <c r="M95" s="23">
        <f t="shared" si="16"/>
        <v>9.8636287925257761E-4</v>
      </c>
    </row>
    <row r="96" spans="1:13" s="37" customFormat="1" ht="15" hidden="1" outlineLevel="1" x14ac:dyDescent="0.25">
      <c r="A96" s="38" t="s">
        <v>103</v>
      </c>
      <c r="B96" s="21"/>
      <c r="C96" s="28"/>
      <c r="D96" s="28"/>
      <c r="E96" s="28"/>
      <c r="F96" s="22">
        <f>13395830.873825-13395000</f>
        <v>830.87382500059903</v>
      </c>
      <c r="G96" s="28"/>
      <c r="H96" s="21">
        <f>+B96+C96+D96+G96+E96+F96</f>
        <v>830.87382500059903</v>
      </c>
      <c r="I96" s="28"/>
      <c r="J96" s="22">
        <f>+H96+I96</f>
        <v>830.87382500059903</v>
      </c>
      <c r="K96" s="22">
        <v>0</v>
      </c>
      <c r="L96" s="22">
        <f t="shared" si="15"/>
        <v>-830.87382500059903</v>
      </c>
      <c r="M96" s="23">
        <f t="shared" si="16"/>
        <v>6.9325639394787534E-8</v>
      </c>
    </row>
    <row r="97" spans="1:13" s="37" customFormat="1" ht="15" hidden="1" outlineLevel="1" x14ac:dyDescent="0.25">
      <c r="A97" s="38" t="s">
        <v>104</v>
      </c>
      <c r="B97" s="21"/>
      <c r="C97" s="28"/>
      <c r="D97" s="28"/>
      <c r="E97" s="28"/>
      <c r="F97" s="22">
        <f>+[2]Hoja1!$M$47</f>
        <v>15889851</v>
      </c>
      <c r="G97" s="28"/>
      <c r="H97" s="21">
        <f>+B97+C97+D97+G97+E97+F97</f>
        <v>15889851</v>
      </c>
      <c r="I97" s="28"/>
      <c r="J97" s="22">
        <f>+H97+I97</f>
        <v>15889851</v>
      </c>
      <c r="K97" s="22">
        <v>15887334</v>
      </c>
      <c r="L97" s="22">
        <f t="shared" si="15"/>
        <v>-2517</v>
      </c>
      <c r="M97" s="23">
        <f t="shared" si="16"/>
        <v>1.3258018814855672E-3</v>
      </c>
    </row>
    <row r="98" spans="1:13" s="37" customFormat="1" ht="15" hidden="1" outlineLevel="1" x14ac:dyDescent="0.25">
      <c r="A98" s="38" t="s">
        <v>105</v>
      </c>
      <c r="B98" s="21"/>
      <c r="C98" s="28"/>
      <c r="D98" s="28"/>
      <c r="E98" s="28"/>
      <c r="F98" s="22"/>
      <c r="G98" s="28"/>
      <c r="H98" s="21">
        <f t="shared" ref="H98:H107" si="21">+B98+C98+D98+G98+E98+F98</f>
        <v>0</v>
      </c>
      <c r="I98" s="28"/>
      <c r="J98" s="22">
        <f t="shared" ref="J98:J107" si="22">+H98+I98</f>
        <v>0</v>
      </c>
      <c r="K98" s="22">
        <v>0</v>
      </c>
      <c r="L98" s="22">
        <f t="shared" si="15"/>
        <v>0</v>
      </c>
      <c r="M98" s="23">
        <f t="shared" si="16"/>
        <v>0</v>
      </c>
    </row>
    <row r="99" spans="1:13" s="37" customFormat="1" ht="15" hidden="1" outlineLevel="1" x14ac:dyDescent="0.25">
      <c r="A99" s="38" t="s">
        <v>106</v>
      </c>
      <c r="B99" s="21"/>
      <c r="C99" s="28"/>
      <c r="D99" s="28"/>
      <c r="E99" s="28"/>
      <c r="F99" s="22">
        <f>+[2]Hoja1!$M$49-4500000</f>
        <v>1829117</v>
      </c>
      <c r="G99" s="28"/>
      <c r="H99" s="21">
        <f>+B99+C99+D99+G99+E99+F99</f>
        <v>1829117</v>
      </c>
      <c r="I99" s="28"/>
      <c r="J99" s="22">
        <f t="shared" si="22"/>
        <v>1829117</v>
      </c>
      <c r="K99" s="22">
        <v>1539370</v>
      </c>
      <c r="L99" s="22">
        <f t="shared" si="15"/>
        <v>-289747</v>
      </c>
      <c r="M99" s="23">
        <f t="shared" si="16"/>
        <v>1.5261607928590621E-4</v>
      </c>
    </row>
    <row r="100" spans="1:13" s="37" customFormat="1" ht="15" hidden="1" outlineLevel="1" x14ac:dyDescent="0.25">
      <c r="A100" s="38" t="s">
        <v>107</v>
      </c>
      <c r="B100" s="21"/>
      <c r="C100" s="28"/>
      <c r="D100" s="28"/>
      <c r="E100" s="28"/>
      <c r="F100" s="22">
        <f>+[2]Hoja1!$M$50+13395000+4500000</f>
        <v>67930659</v>
      </c>
      <c r="G100" s="28"/>
      <c r="H100" s="21">
        <f>+B100+C100+D100+G100+E100+F100</f>
        <v>67930659</v>
      </c>
      <c r="I100" s="28"/>
      <c r="J100" s="22">
        <f t="shared" si="22"/>
        <v>67930659</v>
      </c>
      <c r="K100" s="22">
        <v>67912216</v>
      </c>
      <c r="L100" s="22">
        <f t="shared" si="15"/>
        <v>-18443</v>
      </c>
      <c r="M100" s="23">
        <f t="shared" si="16"/>
        <v>5.6679320349041964E-3</v>
      </c>
    </row>
    <row r="101" spans="1:13" s="37" customFormat="1" ht="15" collapsed="1" x14ac:dyDescent="0.25">
      <c r="A101" s="39" t="s">
        <v>108</v>
      </c>
      <c r="B101" s="18"/>
      <c r="C101" s="18"/>
      <c r="D101" s="18"/>
      <c r="E101" s="18"/>
      <c r="F101" s="18">
        <f>SUM(F102:F107)</f>
        <v>216818031</v>
      </c>
      <c r="G101" s="18"/>
      <c r="H101" s="18">
        <f t="shared" si="21"/>
        <v>216818031</v>
      </c>
      <c r="I101" s="18"/>
      <c r="J101" s="18">
        <f t="shared" si="22"/>
        <v>216818031</v>
      </c>
      <c r="K101" s="18">
        <f>SUM(K102:K107)</f>
        <v>200216562</v>
      </c>
      <c r="L101" s="18">
        <f t="shared" si="15"/>
        <v>-16601469</v>
      </c>
      <c r="M101" s="19">
        <f t="shared" si="16"/>
        <v>1.809065128677393E-2</v>
      </c>
    </row>
    <row r="102" spans="1:13" s="37" customFormat="1" ht="15" hidden="1" outlineLevel="1" x14ac:dyDescent="0.25">
      <c r="A102" s="38" t="s">
        <v>109</v>
      </c>
      <c r="B102" s="21"/>
      <c r="C102" s="28"/>
      <c r="D102" s="28"/>
      <c r="E102" s="28"/>
      <c r="F102" s="22">
        <f>+[2]Hoja1!$M$53</f>
        <v>4600000</v>
      </c>
      <c r="G102" s="28"/>
      <c r="H102" s="21">
        <f t="shared" si="21"/>
        <v>4600000</v>
      </c>
      <c r="I102" s="28"/>
      <c r="J102" s="22">
        <f t="shared" si="22"/>
        <v>4600000</v>
      </c>
      <c r="K102" s="22">
        <v>2750230</v>
      </c>
      <c r="L102" s="22">
        <f t="shared" si="15"/>
        <v>-1849770</v>
      </c>
      <c r="M102" s="23">
        <f t="shared" si="16"/>
        <v>3.8381031104908471E-4</v>
      </c>
    </row>
    <row r="103" spans="1:13" s="37" customFormat="1" ht="15" hidden="1" outlineLevel="1" x14ac:dyDescent="0.25">
      <c r="A103" s="38" t="s">
        <v>110</v>
      </c>
      <c r="B103" s="21"/>
      <c r="C103" s="28"/>
      <c r="D103" s="28"/>
      <c r="E103" s="28"/>
      <c r="F103" s="22">
        <f>+[2]Hoja1!$M$54</f>
        <v>40690833</v>
      </c>
      <c r="G103" s="28"/>
      <c r="H103" s="21">
        <f t="shared" si="21"/>
        <v>40690833</v>
      </c>
      <c r="I103" s="28"/>
      <c r="J103" s="22">
        <f t="shared" si="22"/>
        <v>40690833</v>
      </c>
      <c r="K103" s="22">
        <v>40148288</v>
      </c>
      <c r="L103" s="22">
        <f t="shared" si="15"/>
        <v>-542545</v>
      </c>
      <c r="M103" s="23">
        <f t="shared" si="16"/>
        <v>3.3951220153426867E-3</v>
      </c>
    </row>
    <row r="104" spans="1:13" s="37" customFormat="1" ht="15" hidden="1" outlineLevel="1" x14ac:dyDescent="0.25">
      <c r="A104" s="38" t="s">
        <v>111</v>
      </c>
      <c r="B104" s="21"/>
      <c r="C104" s="28"/>
      <c r="D104" s="28"/>
      <c r="E104" s="28"/>
      <c r="F104" s="22">
        <f>+[2]Hoja1!$M$55</f>
        <v>20834000</v>
      </c>
      <c r="G104" s="28"/>
      <c r="H104" s="21">
        <f t="shared" si="21"/>
        <v>20834000</v>
      </c>
      <c r="I104" s="28"/>
      <c r="J104" s="22">
        <f t="shared" si="22"/>
        <v>20834000</v>
      </c>
      <c r="K104" s="22">
        <v>18361461</v>
      </c>
      <c r="L104" s="22">
        <f t="shared" si="15"/>
        <v>-2472539</v>
      </c>
      <c r="M104" s="23">
        <f t="shared" si="16"/>
        <v>1.7383269609557892E-3</v>
      </c>
    </row>
    <row r="105" spans="1:13" s="37" customFormat="1" ht="15" hidden="1" outlineLevel="1" x14ac:dyDescent="0.25">
      <c r="A105" s="38" t="s">
        <v>112</v>
      </c>
      <c r="B105" s="21"/>
      <c r="C105" s="28"/>
      <c r="D105" s="28"/>
      <c r="E105" s="28"/>
      <c r="F105" s="22">
        <f>+[2]Hoja1!$M$56-30</f>
        <v>58999970</v>
      </c>
      <c r="G105" s="28"/>
      <c r="H105" s="21">
        <f>+B105+C105+D105+G105+E105+F105</f>
        <v>58999970</v>
      </c>
      <c r="I105" s="28"/>
      <c r="J105" s="22">
        <f>+H105+I105</f>
        <v>58999970</v>
      </c>
      <c r="K105" s="22">
        <v>54755025</v>
      </c>
      <c r="L105" s="22">
        <f t="shared" si="15"/>
        <v>-4244945</v>
      </c>
      <c r="M105" s="23">
        <f t="shared" si="16"/>
        <v>4.922781921214492E-3</v>
      </c>
    </row>
    <row r="106" spans="1:13" s="37" customFormat="1" ht="15" hidden="1" outlineLevel="1" x14ac:dyDescent="0.25">
      <c r="A106" s="38" t="s">
        <v>113</v>
      </c>
      <c r="B106" s="21"/>
      <c r="C106" s="28"/>
      <c r="D106" s="28"/>
      <c r="E106" s="28"/>
      <c r="F106" s="22">
        <v>51300000</v>
      </c>
      <c r="G106" s="28"/>
      <c r="H106" s="21">
        <f>+B106+C106+D106+G106+E106+F106</f>
        <v>51300000</v>
      </c>
      <c r="I106" s="28"/>
      <c r="J106" s="22">
        <f>+H106+I106</f>
        <v>51300000</v>
      </c>
      <c r="K106" s="22">
        <v>43808332</v>
      </c>
      <c r="L106" s="22">
        <f t="shared" si="15"/>
        <v>-7491668</v>
      </c>
      <c r="M106" s="23">
        <f t="shared" si="16"/>
        <v>4.2803193384387053E-3</v>
      </c>
    </row>
    <row r="107" spans="1:13" s="37" customFormat="1" ht="15" hidden="1" outlineLevel="1" x14ac:dyDescent="0.25">
      <c r="A107" s="38" t="s">
        <v>114</v>
      </c>
      <c r="B107" s="21"/>
      <c r="C107" s="28"/>
      <c r="D107" s="28"/>
      <c r="E107" s="28"/>
      <c r="F107" s="22">
        <f>40393198+30</f>
        <v>40393228</v>
      </c>
      <c r="G107" s="28"/>
      <c r="H107" s="21">
        <f t="shared" si="21"/>
        <v>40393228</v>
      </c>
      <c r="I107" s="28"/>
      <c r="J107" s="22">
        <f t="shared" si="22"/>
        <v>40393228</v>
      </c>
      <c r="K107" s="22">
        <v>40393226</v>
      </c>
      <c r="L107" s="22">
        <f t="shared" si="15"/>
        <v>-2</v>
      </c>
      <c r="M107" s="23">
        <f t="shared" si="16"/>
        <v>3.3702907397731735E-3</v>
      </c>
    </row>
    <row r="108" spans="1:13" s="37" customFormat="1" ht="15" collapsed="1" x14ac:dyDescent="0.25">
      <c r="A108" s="38"/>
      <c r="B108" s="21"/>
      <c r="C108" s="28"/>
      <c r="D108" s="28"/>
      <c r="E108" s="28"/>
      <c r="F108" s="22"/>
      <c r="G108" s="28"/>
      <c r="H108" s="21"/>
      <c r="I108" s="28"/>
      <c r="J108" s="22"/>
      <c r="K108" s="22"/>
      <c r="L108" s="22"/>
      <c r="M108" s="23"/>
    </row>
    <row r="109" spans="1:13" s="37" customFormat="1" ht="15" x14ac:dyDescent="0.25">
      <c r="A109" s="39" t="s">
        <v>115</v>
      </c>
      <c r="B109" s="28"/>
      <c r="C109" s="28"/>
      <c r="D109" s="28"/>
      <c r="E109" s="28"/>
      <c r="F109" s="28"/>
      <c r="G109" s="28">
        <f>+G110+G117+G120+G123</f>
        <v>3540378806.1737599</v>
      </c>
      <c r="H109" s="28">
        <f>+H110+H117+H120+H123</f>
        <v>3540378806.1737599</v>
      </c>
      <c r="I109" s="28"/>
      <c r="J109" s="28">
        <f>+J110+J117+J120+J123</f>
        <v>3540378806.1737599</v>
      </c>
      <c r="K109" s="28">
        <f>+K110+K117+K120+K123</f>
        <v>3467034592</v>
      </c>
      <c r="L109" s="28">
        <f t="shared" ref="L109:L125" si="23">+K109-J109</f>
        <v>-73344214.173759937</v>
      </c>
      <c r="M109" s="19">
        <f t="shared" ref="M109:M125" si="24">+J109/$J$194</f>
        <v>0.2953986719193778</v>
      </c>
    </row>
    <row r="110" spans="1:13" s="37" customFormat="1" ht="15" x14ac:dyDescent="0.25">
      <c r="A110" s="39" t="s">
        <v>116</v>
      </c>
      <c r="B110" s="28"/>
      <c r="C110" s="28"/>
      <c r="D110" s="28"/>
      <c r="E110" s="18"/>
      <c r="F110" s="28"/>
      <c r="G110" s="18">
        <f>SUM(G111:G116)</f>
        <v>3162270239.36696</v>
      </c>
      <c r="H110" s="18">
        <f>SUM(H111:H116)</f>
        <v>3162270239.36696</v>
      </c>
      <c r="I110" s="28"/>
      <c r="J110" s="18">
        <f>SUM(J111:J116)</f>
        <v>3162270239.36696</v>
      </c>
      <c r="K110" s="18">
        <f>SUM(K111:K116)</f>
        <v>3141712199</v>
      </c>
      <c r="L110" s="18">
        <f t="shared" si="23"/>
        <v>-20558040.366960049</v>
      </c>
      <c r="M110" s="19">
        <f t="shared" si="24"/>
        <v>0.26385041830276007</v>
      </c>
    </row>
    <row r="111" spans="1:13" s="37" customFormat="1" ht="15" hidden="1" outlineLevel="1" x14ac:dyDescent="0.25">
      <c r="A111" s="38" t="s">
        <v>117</v>
      </c>
      <c r="B111" s="28"/>
      <c r="C111" s="28"/>
      <c r="D111" s="28"/>
      <c r="E111" s="21"/>
      <c r="F111" s="28"/>
      <c r="G111" s="21">
        <f>564476471+281000000</f>
        <v>845476471</v>
      </c>
      <c r="H111" s="21">
        <f t="shared" ref="H111:H116" si="25">+B111+C111+D111+G111+E111+F111</f>
        <v>845476471</v>
      </c>
      <c r="I111" s="28"/>
      <c r="J111" s="22">
        <f t="shared" ref="J111:J116" si="26">+H111+I111</f>
        <v>845476471</v>
      </c>
      <c r="K111" s="22">
        <v>837375293</v>
      </c>
      <c r="L111" s="22">
        <f t="shared" si="23"/>
        <v>-8101178</v>
      </c>
      <c r="M111" s="23">
        <f t="shared" si="24"/>
        <v>7.0544040721563575E-2</v>
      </c>
    </row>
    <row r="112" spans="1:13" s="37" customFormat="1" ht="15" hidden="1" outlineLevel="1" x14ac:dyDescent="0.25">
      <c r="A112" s="38" t="s">
        <v>118</v>
      </c>
      <c r="B112" s="28"/>
      <c r="C112" s="28"/>
      <c r="D112" s="28"/>
      <c r="E112" s="21"/>
      <c r="F112" s="28"/>
      <c r="G112" s="21">
        <f>104520828-16000000-8000000</f>
        <v>80520828</v>
      </c>
      <c r="H112" s="21">
        <f t="shared" si="25"/>
        <v>80520828</v>
      </c>
      <c r="I112" s="28"/>
      <c r="J112" s="22">
        <f t="shared" si="26"/>
        <v>80520828</v>
      </c>
      <c r="K112" s="22">
        <v>74643090</v>
      </c>
      <c r="L112" s="22">
        <f t="shared" si="23"/>
        <v>-5877738</v>
      </c>
      <c r="M112" s="23">
        <f t="shared" si="24"/>
        <v>6.7184182696977931E-3</v>
      </c>
    </row>
    <row r="113" spans="1:13" s="37" customFormat="1" ht="15" hidden="1" outlineLevel="1" x14ac:dyDescent="0.25">
      <c r="A113" s="38" t="s">
        <v>119</v>
      </c>
      <c r="B113" s="28"/>
      <c r="C113" s="28"/>
      <c r="D113" s="28"/>
      <c r="E113" s="21"/>
      <c r="F113" s="28"/>
      <c r="G113" s="21">
        <v>50184620</v>
      </c>
      <c r="H113" s="21">
        <f t="shared" si="25"/>
        <v>50184620</v>
      </c>
      <c r="I113" s="28"/>
      <c r="J113" s="22">
        <f t="shared" si="26"/>
        <v>50184620</v>
      </c>
      <c r="K113" s="22">
        <v>48274182</v>
      </c>
      <c r="L113" s="22">
        <f t="shared" si="23"/>
        <v>-1910438</v>
      </c>
      <c r="M113" s="23">
        <f t="shared" si="24"/>
        <v>4.1872553504521993E-3</v>
      </c>
    </row>
    <row r="114" spans="1:13" s="37" customFormat="1" ht="15" hidden="1" outlineLevel="1" x14ac:dyDescent="0.25">
      <c r="A114" s="38" t="s">
        <v>120</v>
      </c>
      <c r="B114" s="28"/>
      <c r="C114" s="28"/>
      <c r="D114" s="28"/>
      <c r="E114" s="21"/>
      <c r="F114" s="28"/>
      <c r="G114" s="21">
        <f>614521312+16000000</f>
        <v>630521312</v>
      </c>
      <c r="H114" s="21">
        <f t="shared" si="25"/>
        <v>630521312</v>
      </c>
      <c r="I114" s="28"/>
      <c r="J114" s="22">
        <f t="shared" si="26"/>
        <v>630521312</v>
      </c>
      <c r="K114" s="22">
        <v>629930000</v>
      </c>
      <c r="L114" s="22">
        <f t="shared" si="23"/>
        <v>-591312</v>
      </c>
      <c r="M114" s="23">
        <f t="shared" si="24"/>
        <v>5.2608821930825431E-2</v>
      </c>
    </row>
    <row r="115" spans="1:13" s="37" customFormat="1" ht="15" hidden="1" outlineLevel="1" x14ac:dyDescent="0.25">
      <c r="A115" s="38" t="s">
        <v>121</v>
      </c>
      <c r="B115" s="28"/>
      <c r="C115" s="28"/>
      <c r="D115" s="28"/>
      <c r="E115" s="21"/>
      <c r="F115" s="28"/>
      <c r="G115" s="21">
        <f>1825732071.36696-281000000</f>
        <v>1544732071.36696</v>
      </c>
      <c r="H115" s="21">
        <f t="shared" si="25"/>
        <v>1544732071.36696</v>
      </c>
      <c r="I115" s="28"/>
      <c r="J115" s="22">
        <f t="shared" si="26"/>
        <v>1544732071.36696</v>
      </c>
      <c r="K115" s="22">
        <v>1544209424</v>
      </c>
      <c r="L115" s="22">
        <f t="shared" si="23"/>
        <v>-522647.36696004868</v>
      </c>
      <c r="M115" s="23">
        <f t="shared" si="24"/>
        <v>0.12888784713018475</v>
      </c>
    </row>
    <row r="116" spans="1:13" s="37" customFormat="1" ht="15" hidden="1" outlineLevel="1" x14ac:dyDescent="0.25">
      <c r="A116" s="38" t="s">
        <v>122</v>
      </c>
      <c r="B116" s="28"/>
      <c r="C116" s="28"/>
      <c r="D116" s="28"/>
      <c r="E116" s="21"/>
      <c r="F116" s="28"/>
      <c r="G116" s="21">
        <f>2834937+8000000</f>
        <v>10834937</v>
      </c>
      <c r="H116" s="21">
        <f t="shared" si="25"/>
        <v>10834937</v>
      </c>
      <c r="I116" s="28"/>
      <c r="J116" s="22">
        <f t="shared" si="26"/>
        <v>10834937</v>
      </c>
      <c r="K116" s="22">
        <v>7280210</v>
      </c>
      <c r="L116" s="22">
        <f t="shared" si="23"/>
        <v>-3554727</v>
      </c>
      <c r="M116" s="23">
        <f t="shared" si="24"/>
        <v>9.0403490003635573E-4</v>
      </c>
    </row>
    <row r="117" spans="1:13" s="37" customFormat="1" ht="15" collapsed="1" x14ac:dyDescent="0.25">
      <c r="A117" s="39" t="s">
        <v>123</v>
      </c>
      <c r="B117" s="28"/>
      <c r="C117" s="28"/>
      <c r="D117" s="28"/>
      <c r="E117" s="18"/>
      <c r="F117" s="28"/>
      <c r="G117" s="18">
        <f>SUM(G118:G119)</f>
        <v>67341224</v>
      </c>
      <c r="H117" s="18">
        <f>SUM(H118:H119)</f>
        <v>67341224</v>
      </c>
      <c r="I117" s="28"/>
      <c r="J117" s="18">
        <f>SUM(J118:J119)</f>
        <v>67341224</v>
      </c>
      <c r="K117" s="18">
        <f>SUM(K118:K119)</f>
        <v>50847576</v>
      </c>
      <c r="L117" s="18">
        <f t="shared" si="23"/>
        <v>-16493648</v>
      </c>
      <c r="M117" s="19">
        <f t="shared" si="24"/>
        <v>5.6187513325795845E-3</v>
      </c>
    </row>
    <row r="118" spans="1:13" s="37" customFormat="1" ht="15" hidden="1" outlineLevel="1" x14ac:dyDescent="0.25">
      <c r="A118" s="38" t="s">
        <v>124</v>
      </c>
      <c r="B118" s="28"/>
      <c r="C118" s="28"/>
      <c r="D118" s="28"/>
      <c r="E118" s="21"/>
      <c r="F118" s="28"/>
      <c r="G118" s="21">
        <v>8936924</v>
      </c>
      <c r="H118" s="21">
        <f>+B118+C118+D118+G118+E118+F118</f>
        <v>8936924</v>
      </c>
      <c r="I118" s="28"/>
      <c r="J118" s="22">
        <f>+H118+I118</f>
        <v>8936924</v>
      </c>
      <c r="K118" s="22">
        <v>5135003</v>
      </c>
      <c r="L118" s="22">
        <f t="shared" si="23"/>
        <v>-3801921</v>
      </c>
      <c r="M118" s="23">
        <f t="shared" si="24"/>
        <v>7.4567034353522396E-4</v>
      </c>
    </row>
    <row r="119" spans="1:13" s="37" customFormat="1" ht="15" hidden="1" outlineLevel="1" x14ac:dyDescent="0.25">
      <c r="A119" s="38" t="s">
        <v>125</v>
      </c>
      <c r="B119" s="28"/>
      <c r="C119" s="28"/>
      <c r="D119" s="28"/>
      <c r="E119" s="21"/>
      <c r="F119" s="28"/>
      <c r="G119" s="21">
        <v>58404300</v>
      </c>
      <c r="H119" s="21">
        <f>+B119+C119+D119+G119+E119+F119</f>
        <v>58404300</v>
      </c>
      <c r="I119" s="28"/>
      <c r="J119" s="22">
        <f>+H119+I119</f>
        <v>58404300</v>
      </c>
      <c r="K119" s="22">
        <v>45712573</v>
      </c>
      <c r="L119" s="22">
        <f t="shared" si="23"/>
        <v>-12691727</v>
      </c>
      <c r="M119" s="23">
        <f t="shared" si="24"/>
        <v>4.8730809890443604E-3</v>
      </c>
    </row>
    <row r="120" spans="1:13" s="37" customFormat="1" ht="15" collapsed="1" x14ac:dyDescent="0.25">
      <c r="A120" s="39" t="s">
        <v>126</v>
      </c>
      <c r="B120" s="28"/>
      <c r="C120" s="28"/>
      <c r="D120" s="28"/>
      <c r="E120" s="18"/>
      <c r="F120" s="28"/>
      <c r="G120" s="18">
        <f>SUM(G121:G122)</f>
        <v>72101444</v>
      </c>
      <c r="H120" s="18">
        <f>SUM(H121:H122)</f>
        <v>72101444</v>
      </c>
      <c r="I120" s="28"/>
      <c r="J120" s="18">
        <f>SUM(J121:J122)</f>
        <v>72101444</v>
      </c>
      <c r="K120" s="18">
        <f>SUM(K121:K122)</f>
        <v>60348611</v>
      </c>
      <c r="L120" s="18">
        <f t="shared" si="23"/>
        <v>-11752833</v>
      </c>
      <c r="M120" s="19">
        <f t="shared" si="24"/>
        <v>6.0159299236365567E-3</v>
      </c>
    </row>
    <row r="121" spans="1:13" s="37" customFormat="1" ht="15" hidden="1" outlineLevel="1" x14ac:dyDescent="0.25">
      <c r="A121" s="38" t="str">
        <f>+'[3]Presupuesto 2017 vs 2018'!$B$37</f>
        <v>Diagnóstico Rutinario</v>
      </c>
      <c r="B121" s="28"/>
      <c r="C121" s="28"/>
      <c r="D121" s="28"/>
      <c r="E121" s="21"/>
      <c r="F121" s="28"/>
      <c r="G121" s="21">
        <v>31782267</v>
      </c>
      <c r="H121" s="21">
        <f>+B121+C121+D121+G121+E121+F121</f>
        <v>31782267</v>
      </c>
      <c r="I121" s="28"/>
      <c r="J121" s="22">
        <f>+H121+I121</f>
        <v>31782267</v>
      </c>
      <c r="K121" s="22">
        <v>29899937</v>
      </c>
      <c r="L121" s="22">
        <f t="shared" si="23"/>
        <v>-1882330</v>
      </c>
      <c r="M121" s="23">
        <f t="shared" si="24"/>
        <v>2.6518177789380563E-3</v>
      </c>
    </row>
    <row r="122" spans="1:13" s="37" customFormat="1" ht="15" hidden="1" outlineLevel="1" x14ac:dyDescent="0.25">
      <c r="A122" s="38" t="str">
        <f>+'[3]Presupuesto 2017 vs 2018'!$B$40</f>
        <v>Trabajo con autoridades y puestos de control</v>
      </c>
      <c r="B122" s="28"/>
      <c r="C122" s="28"/>
      <c r="D122" s="28"/>
      <c r="E122" s="21"/>
      <c r="F122" s="28"/>
      <c r="G122" s="21">
        <v>40319177</v>
      </c>
      <c r="H122" s="21">
        <f>+B122+C122+D122+G122+E122+F122</f>
        <v>40319177</v>
      </c>
      <c r="I122" s="28"/>
      <c r="J122" s="22">
        <f>+H122+I122</f>
        <v>40319177</v>
      </c>
      <c r="K122" s="22">
        <v>30448674</v>
      </c>
      <c r="L122" s="22">
        <f t="shared" si="23"/>
        <v>-9870503</v>
      </c>
      <c r="M122" s="23">
        <f t="shared" si="24"/>
        <v>3.3641121446985004E-3</v>
      </c>
    </row>
    <row r="123" spans="1:13" s="37" customFormat="1" ht="15" collapsed="1" x14ac:dyDescent="0.25">
      <c r="A123" s="39" t="s">
        <v>127</v>
      </c>
      <c r="B123" s="28"/>
      <c r="C123" s="28"/>
      <c r="D123" s="28"/>
      <c r="E123" s="18"/>
      <c r="F123" s="28"/>
      <c r="G123" s="18">
        <f>SUM(G124:G125)</f>
        <v>238665898.80680001</v>
      </c>
      <c r="H123" s="18">
        <f>SUM(H124:H125)</f>
        <v>238665898.80680001</v>
      </c>
      <c r="I123" s="18"/>
      <c r="J123" s="18">
        <f>SUM(J124:J125)</f>
        <v>238665898.80680001</v>
      </c>
      <c r="K123" s="18">
        <f>SUM(K124:K125)</f>
        <v>214126206</v>
      </c>
      <c r="L123" s="18">
        <f t="shared" si="23"/>
        <v>-24539692.806800008</v>
      </c>
      <c r="M123" s="19">
        <f t="shared" si="24"/>
        <v>1.9913572360401584E-2</v>
      </c>
    </row>
    <row r="124" spans="1:13" s="37" customFormat="1" ht="15" hidden="1" outlineLevel="1" x14ac:dyDescent="0.25">
      <c r="A124" s="38" t="s">
        <v>128</v>
      </c>
      <c r="B124" s="28"/>
      <c r="C124" s="28"/>
      <c r="D124" s="28"/>
      <c r="E124" s="21"/>
      <c r="F124" s="28"/>
      <c r="G124" s="21">
        <f>206903938-37000000</f>
        <v>169903938</v>
      </c>
      <c r="H124" s="21">
        <f>+B124+C124+D124+G124+E124+F124</f>
        <v>169903938</v>
      </c>
      <c r="I124" s="28"/>
      <c r="J124" s="22">
        <f>+H124+I124</f>
        <v>169903938</v>
      </c>
      <c r="K124" s="22">
        <v>147259913</v>
      </c>
      <c r="L124" s="22">
        <f t="shared" si="23"/>
        <v>-22644025</v>
      </c>
      <c r="M124" s="23">
        <f t="shared" si="24"/>
        <v>1.417627897657487E-2</v>
      </c>
    </row>
    <row r="125" spans="1:13" s="37" customFormat="1" ht="15" hidden="1" outlineLevel="1" x14ac:dyDescent="0.25">
      <c r="A125" s="38" t="s">
        <v>129</v>
      </c>
      <c r="B125" s="28"/>
      <c r="C125" s="28"/>
      <c r="D125" s="28"/>
      <c r="E125" s="21"/>
      <c r="F125" s="28"/>
      <c r="G125" s="21">
        <f>31761960.8068+37000000</f>
        <v>68761960.806800008</v>
      </c>
      <c r="H125" s="21">
        <f>+B125+C125+D125+G125+E125+F125</f>
        <v>68761960.806800008</v>
      </c>
      <c r="I125" s="28"/>
      <c r="J125" s="22">
        <f>+H125+I125</f>
        <v>68761960.806800008</v>
      </c>
      <c r="K125" s="22">
        <v>66866293</v>
      </c>
      <c r="L125" s="22">
        <f t="shared" si="23"/>
        <v>-1895667.8068000078</v>
      </c>
      <c r="M125" s="23">
        <f t="shared" si="24"/>
        <v>5.7372933838267135E-3</v>
      </c>
    </row>
    <row r="126" spans="1:13" s="37" customFormat="1" ht="15" collapsed="1" x14ac:dyDescent="0.25">
      <c r="A126" s="38"/>
      <c r="B126" s="28"/>
      <c r="C126" s="28"/>
      <c r="D126" s="28"/>
      <c r="E126" s="22"/>
      <c r="F126" s="28"/>
      <c r="G126" s="22"/>
      <c r="H126" s="21"/>
      <c r="I126" s="28"/>
      <c r="J126" s="22"/>
      <c r="K126" s="22"/>
      <c r="L126" s="22"/>
      <c r="M126" s="23"/>
    </row>
    <row r="127" spans="1:13" s="43" customFormat="1" ht="15" x14ac:dyDescent="0.25">
      <c r="A127" s="39" t="s">
        <v>130</v>
      </c>
      <c r="B127" s="40"/>
      <c r="C127" s="41">
        <f>+C128+C132+C135+C138</f>
        <v>555924142.81134999</v>
      </c>
      <c r="D127" s="40"/>
      <c r="E127" s="42"/>
      <c r="F127" s="40"/>
      <c r="G127" s="42"/>
      <c r="H127" s="18">
        <f>+H128+H132+H135+H138</f>
        <v>555924142.81134999</v>
      </c>
      <c r="I127" s="40"/>
      <c r="J127" s="18">
        <f>+H127+I127</f>
        <v>555924142.81134999</v>
      </c>
      <c r="K127" s="18">
        <f>+K128+K132+K135+K138</f>
        <v>518065475.81134999</v>
      </c>
      <c r="L127" s="18">
        <f t="shared" ref="L127:L139" si="27">+K127-J127</f>
        <v>-37858667</v>
      </c>
      <c r="M127" s="19">
        <f t="shared" ref="M127:M139" si="28">+J127/$J$194</f>
        <v>4.6384656124373917E-2</v>
      </c>
    </row>
    <row r="128" spans="1:13" s="37" customFormat="1" ht="15" x14ac:dyDescent="0.25">
      <c r="A128" s="39" t="s">
        <v>131</v>
      </c>
      <c r="B128" s="40"/>
      <c r="C128" s="28">
        <f>SUM(C129:C131)</f>
        <v>207449892.81134999</v>
      </c>
      <c r="D128" s="28"/>
      <c r="E128" s="28"/>
      <c r="F128" s="28"/>
      <c r="G128" s="28"/>
      <c r="H128" s="18">
        <f>+B128+C128+D128+G128+E128+F128</f>
        <v>207449892.81134999</v>
      </c>
      <c r="I128" s="18"/>
      <c r="J128" s="28">
        <f>SUM(J129:J131)</f>
        <v>207449892.81134999</v>
      </c>
      <c r="K128" s="28">
        <f>SUM(K129:K131)</f>
        <v>194094608.81134999</v>
      </c>
      <c r="L128" s="28">
        <f t="shared" si="27"/>
        <v>-13355284</v>
      </c>
      <c r="M128" s="19">
        <f t="shared" si="28"/>
        <v>1.7309001714570331E-2</v>
      </c>
    </row>
    <row r="129" spans="1:13" s="37" customFormat="1" ht="15" hidden="1" outlineLevel="1" x14ac:dyDescent="0.25">
      <c r="A129" s="38" t="s">
        <v>132</v>
      </c>
      <c r="B129" s="40"/>
      <c r="C129" s="22">
        <v>115136728.81134999</v>
      </c>
      <c r="D129" s="28"/>
      <c r="E129" s="28"/>
      <c r="F129" s="28"/>
      <c r="G129" s="28"/>
      <c r="H129" s="22">
        <f>+B129+C129+D129+G129+E129+F129</f>
        <v>115136728.81134999</v>
      </c>
      <c r="I129" s="18"/>
      <c r="J129" s="22">
        <f t="shared" ref="J129:J136" si="29">+H129+I129</f>
        <v>115136728.81134999</v>
      </c>
      <c r="K129" s="22">
        <v>101781444.81134999</v>
      </c>
      <c r="L129" s="22">
        <f t="shared" si="27"/>
        <v>-13355284</v>
      </c>
      <c r="M129" s="23">
        <f t="shared" si="28"/>
        <v>9.6066660213605104E-3</v>
      </c>
    </row>
    <row r="130" spans="1:13" s="37" customFormat="1" ht="15" hidden="1" outlineLevel="1" x14ac:dyDescent="0.25">
      <c r="A130" s="38" t="s">
        <v>133</v>
      </c>
      <c r="B130" s="40"/>
      <c r="C130" s="22">
        <f>+[4]General!$L$23</f>
        <v>46620115</v>
      </c>
      <c r="D130" s="28"/>
      <c r="E130" s="28"/>
      <c r="F130" s="28"/>
      <c r="G130" s="28"/>
      <c r="H130" s="22">
        <f t="shared" ref="H130:H136" si="30">+B130+C130+D130+G130+E130+F130</f>
        <v>46620115</v>
      </c>
      <c r="I130" s="18"/>
      <c r="J130" s="22">
        <f t="shared" si="29"/>
        <v>46620115</v>
      </c>
      <c r="K130" s="22">
        <v>46620115</v>
      </c>
      <c r="L130" s="22">
        <f t="shared" si="27"/>
        <v>0</v>
      </c>
      <c r="M130" s="23">
        <f t="shared" si="28"/>
        <v>3.8898436607161086E-3</v>
      </c>
    </row>
    <row r="131" spans="1:13" s="37" customFormat="1" ht="15" hidden="1" outlineLevel="1" x14ac:dyDescent="0.25">
      <c r="A131" s="38" t="s">
        <v>134</v>
      </c>
      <c r="B131" s="40"/>
      <c r="C131" s="22">
        <f>+[4]General!$L$24</f>
        <v>45693049</v>
      </c>
      <c r="D131" s="28"/>
      <c r="E131" s="28"/>
      <c r="F131" s="28"/>
      <c r="G131" s="28"/>
      <c r="H131" s="22">
        <f t="shared" si="30"/>
        <v>45693049</v>
      </c>
      <c r="I131" s="18"/>
      <c r="J131" s="22">
        <f t="shared" si="29"/>
        <v>45693049</v>
      </c>
      <c r="K131" s="22">
        <v>45693049</v>
      </c>
      <c r="L131" s="22">
        <f t="shared" si="27"/>
        <v>0</v>
      </c>
      <c r="M131" s="23">
        <f t="shared" si="28"/>
        <v>3.8124920324937106E-3</v>
      </c>
    </row>
    <row r="132" spans="1:13" s="37" customFormat="1" ht="15" collapsed="1" x14ac:dyDescent="0.25">
      <c r="A132" s="39" t="s">
        <v>135</v>
      </c>
      <c r="B132" s="40"/>
      <c r="C132" s="28">
        <f>SUM(C133:C134)</f>
        <v>298521468</v>
      </c>
      <c r="D132" s="28"/>
      <c r="E132" s="28"/>
      <c r="F132" s="28"/>
      <c r="G132" s="28"/>
      <c r="H132" s="18">
        <f>+B132+C132+D132+G132+E132+F132</f>
        <v>298521468</v>
      </c>
      <c r="I132" s="18"/>
      <c r="J132" s="28">
        <f>SUM(J133:J134)</f>
        <v>298521468</v>
      </c>
      <c r="K132" s="28">
        <f>SUM(K133:K134)</f>
        <v>274043129</v>
      </c>
      <c r="L132" s="28">
        <f t="shared" si="27"/>
        <v>-24478339</v>
      </c>
      <c r="M132" s="19">
        <f t="shared" si="28"/>
        <v>2.4907742932154215E-2</v>
      </c>
    </row>
    <row r="133" spans="1:13" s="37" customFormat="1" ht="15" hidden="1" outlineLevel="1" x14ac:dyDescent="0.25">
      <c r="A133" s="38" t="s">
        <v>136</v>
      </c>
      <c r="B133" s="40"/>
      <c r="C133" s="22">
        <v>195678218</v>
      </c>
      <c r="D133" s="28"/>
      <c r="E133" s="28"/>
      <c r="F133" s="28"/>
      <c r="G133" s="28"/>
      <c r="H133" s="22">
        <f t="shared" si="30"/>
        <v>195678218</v>
      </c>
      <c r="I133" s="18"/>
      <c r="J133" s="22">
        <f t="shared" si="29"/>
        <v>195678218</v>
      </c>
      <c r="K133" s="22">
        <v>177676169</v>
      </c>
      <c r="L133" s="22">
        <f t="shared" si="27"/>
        <v>-18002049</v>
      </c>
      <c r="M133" s="23">
        <f t="shared" si="28"/>
        <v>1.6326808199154479E-2</v>
      </c>
    </row>
    <row r="134" spans="1:13" s="37" customFormat="1" ht="15" hidden="1" outlineLevel="1" x14ac:dyDescent="0.25">
      <c r="A134" s="38" t="s">
        <v>137</v>
      </c>
      <c r="B134" s="40"/>
      <c r="C134" s="22">
        <v>102843250</v>
      </c>
      <c r="D134" s="28"/>
      <c r="E134" s="28"/>
      <c r="F134" s="28"/>
      <c r="G134" s="28"/>
      <c r="H134" s="22">
        <f t="shared" si="30"/>
        <v>102843250</v>
      </c>
      <c r="I134" s="18"/>
      <c r="J134" s="22">
        <f t="shared" si="29"/>
        <v>102843250</v>
      </c>
      <c r="K134" s="22">
        <v>96366960</v>
      </c>
      <c r="L134" s="22">
        <f t="shared" si="27"/>
        <v>-6476290</v>
      </c>
      <c r="M134" s="23">
        <f t="shared" si="28"/>
        <v>8.580934732999734E-3</v>
      </c>
    </row>
    <row r="135" spans="1:13" s="37" customFormat="1" ht="15" collapsed="1" x14ac:dyDescent="0.25">
      <c r="A135" s="39" t="s">
        <v>138</v>
      </c>
      <c r="B135" s="40"/>
      <c r="C135" s="28">
        <f>SUM(C136:C137)</f>
        <v>49952782</v>
      </c>
      <c r="D135" s="28"/>
      <c r="E135" s="28"/>
      <c r="F135" s="28"/>
      <c r="G135" s="28"/>
      <c r="H135" s="18">
        <f>+B135+C135+D135+G135+E135+F135</f>
        <v>49952782</v>
      </c>
      <c r="I135" s="18"/>
      <c r="J135" s="28">
        <f>SUM(J136:J137)</f>
        <v>49952782</v>
      </c>
      <c r="K135" s="28">
        <f>SUM(K136:K137)</f>
        <v>49927738</v>
      </c>
      <c r="L135" s="28">
        <f t="shared" si="27"/>
        <v>-25044</v>
      </c>
      <c r="M135" s="19">
        <f t="shared" si="28"/>
        <v>4.1679114776493739E-3</v>
      </c>
    </row>
    <row r="136" spans="1:13" s="37" customFormat="1" ht="15" hidden="1" outlineLevel="1" x14ac:dyDescent="0.25">
      <c r="A136" s="38" t="s">
        <v>139</v>
      </c>
      <c r="B136" s="40"/>
      <c r="C136" s="22">
        <v>2414296</v>
      </c>
      <c r="D136" s="28"/>
      <c r="E136" s="28"/>
      <c r="F136" s="28"/>
      <c r="G136" s="28"/>
      <c r="H136" s="22">
        <f t="shared" si="30"/>
        <v>2414296</v>
      </c>
      <c r="I136" s="18"/>
      <c r="J136" s="22">
        <f t="shared" si="29"/>
        <v>2414296</v>
      </c>
      <c r="K136" s="22">
        <v>2414296</v>
      </c>
      <c r="L136" s="22">
        <f t="shared" si="27"/>
        <v>0</v>
      </c>
      <c r="M136" s="23">
        <f t="shared" si="28"/>
        <v>2.0144167363577413E-4</v>
      </c>
    </row>
    <row r="137" spans="1:13" s="37" customFormat="1" ht="15" hidden="1" outlineLevel="1" x14ac:dyDescent="0.25">
      <c r="A137" s="38" t="s">
        <v>140</v>
      </c>
      <c r="B137" s="40"/>
      <c r="C137" s="22">
        <v>47538486</v>
      </c>
      <c r="D137" s="28"/>
      <c r="E137" s="28"/>
      <c r="F137" s="28"/>
      <c r="G137" s="28"/>
      <c r="H137" s="22">
        <f>+B137+C137+D137+G137+E137+F137</f>
        <v>47538486</v>
      </c>
      <c r="I137" s="18"/>
      <c r="J137" s="22">
        <f>+H137+I137</f>
        <v>47538486</v>
      </c>
      <c r="K137" s="22">
        <v>47513442</v>
      </c>
      <c r="L137" s="22">
        <f t="shared" si="27"/>
        <v>-25044</v>
      </c>
      <c r="M137" s="23">
        <f t="shared" si="28"/>
        <v>3.9664698040135999E-3</v>
      </c>
    </row>
    <row r="138" spans="1:13" s="37" customFormat="1" ht="15" collapsed="1" x14ac:dyDescent="0.25">
      <c r="A138" s="39" t="s">
        <v>141</v>
      </c>
      <c r="B138" s="40"/>
      <c r="C138" s="28">
        <f>SUM(C139)</f>
        <v>0</v>
      </c>
      <c r="D138" s="28"/>
      <c r="E138" s="28"/>
      <c r="F138" s="28"/>
      <c r="G138" s="28"/>
      <c r="H138" s="18">
        <f>+B138+C138+D138+G138+E138+F138</f>
        <v>0</v>
      </c>
      <c r="I138" s="18"/>
      <c r="J138" s="28">
        <f>SUM(J139)</f>
        <v>0</v>
      </c>
      <c r="K138" s="28">
        <f>SUM(K139)</f>
        <v>0</v>
      </c>
      <c r="L138" s="28">
        <f t="shared" si="27"/>
        <v>0</v>
      </c>
      <c r="M138" s="19">
        <f t="shared" si="28"/>
        <v>0</v>
      </c>
    </row>
    <row r="139" spans="1:13" s="37" customFormat="1" ht="15" hidden="1" outlineLevel="1" x14ac:dyDescent="0.25">
      <c r="A139" s="38" t="s">
        <v>142</v>
      </c>
      <c r="B139" s="40"/>
      <c r="C139" s="22">
        <v>0</v>
      </c>
      <c r="D139" s="28"/>
      <c r="E139" s="28"/>
      <c r="F139" s="28"/>
      <c r="G139" s="28"/>
      <c r="H139" s="22">
        <f>+B139+C139+D139+G139+E139+F139</f>
        <v>0</v>
      </c>
      <c r="I139" s="18"/>
      <c r="J139" s="22">
        <f>+H139+I139</f>
        <v>0</v>
      </c>
      <c r="K139" s="22">
        <f>+I139+J139</f>
        <v>0</v>
      </c>
      <c r="L139" s="22">
        <f t="shared" si="27"/>
        <v>0</v>
      </c>
      <c r="M139" s="23">
        <f t="shared" si="28"/>
        <v>0</v>
      </c>
    </row>
    <row r="140" spans="1:13" s="37" customFormat="1" ht="15" collapsed="1" x14ac:dyDescent="0.25">
      <c r="A140" s="38"/>
      <c r="B140" s="40"/>
      <c r="C140" s="28"/>
      <c r="D140" s="28"/>
      <c r="E140" s="28"/>
      <c r="F140" s="28"/>
      <c r="G140" s="28"/>
      <c r="H140" s="22"/>
      <c r="I140" s="28"/>
      <c r="J140" s="22"/>
      <c r="K140" s="22"/>
      <c r="L140" s="22"/>
      <c r="M140" s="23"/>
    </row>
    <row r="141" spans="1:13" s="37" customFormat="1" ht="15" x14ac:dyDescent="0.25">
      <c r="A141" s="39" t="s">
        <v>143</v>
      </c>
      <c r="B141" s="40"/>
      <c r="C141" s="28"/>
      <c r="D141" s="28">
        <f>+D142+D146+D159</f>
        <v>1132841609.6136999</v>
      </c>
      <c r="E141" s="28"/>
      <c r="F141" s="28"/>
      <c r="G141" s="28"/>
      <c r="H141" s="28">
        <f>+H142+H146+H159</f>
        <v>1132841609.6136999</v>
      </c>
      <c r="I141" s="28"/>
      <c r="J141" s="18">
        <f>+H141+I141</f>
        <v>1132841609.6136999</v>
      </c>
      <c r="K141" s="18">
        <f>+K142+K146+K159</f>
        <v>1060636161</v>
      </c>
      <c r="L141" s="18">
        <f t="shared" ref="L141:L173" si="31">+K141-J141</f>
        <v>-72205448.613699913</v>
      </c>
      <c r="M141" s="19">
        <f t="shared" ref="M141:M173" si="32">+J141/$J$194</f>
        <v>9.4520932729386942E-2</v>
      </c>
    </row>
    <row r="142" spans="1:13" s="37" customFormat="1" ht="15" x14ac:dyDescent="0.25">
      <c r="A142" s="39" t="s">
        <v>144</v>
      </c>
      <c r="B142" s="28"/>
      <c r="C142" s="28"/>
      <c r="D142" s="28">
        <f>SUM(D143:D145)</f>
        <v>158354527</v>
      </c>
      <c r="E142" s="28"/>
      <c r="F142" s="28"/>
      <c r="G142" s="28"/>
      <c r="H142" s="28">
        <f>SUM(H143:H145)</f>
        <v>158354527</v>
      </c>
      <c r="I142" s="28"/>
      <c r="J142" s="28">
        <f>SUM(J143:J145)</f>
        <v>158354527</v>
      </c>
      <c r="K142" s="28">
        <f>SUM(K143:K145)</f>
        <v>140865736</v>
      </c>
      <c r="L142" s="28">
        <f t="shared" si="31"/>
        <v>-17488791</v>
      </c>
      <c r="M142" s="19">
        <f t="shared" si="32"/>
        <v>1.3212630492152322E-2</v>
      </c>
    </row>
    <row r="143" spans="1:13" s="37" customFormat="1" ht="15" hidden="1" outlineLevel="1" x14ac:dyDescent="0.25">
      <c r="A143" s="38" t="s">
        <v>145</v>
      </c>
      <c r="B143" s="28"/>
      <c r="C143" s="28"/>
      <c r="D143" s="22">
        <v>129562910</v>
      </c>
      <c r="E143" s="28"/>
      <c r="F143" s="28"/>
      <c r="G143" s="28"/>
      <c r="H143" s="21">
        <f>+B143+C143+D143+G143+E143+F143</f>
        <v>129562910</v>
      </c>
      <c r="I143" s="28"/>
      <c r="J143" s="22">
        <f>+H143+I143</f>
        <v>129562910</v>
      </c>
      <c r="K143" s="22">
        <v>115833278</v>
      </c>
      <c r="L143" s="22">
        <f t="shared" si="31"/>
        <v>-13729632</v>
      </c>
      <c r="M143" s="23">
        <f t="shared" si="32"/>
        <v>1.0810343649461863E-2</v>
      </c>
    </row>
    <row r="144" spans="1:13" s="37" customFormat="1" ht="15" hidden="1" outlineLevel="1" x14ac:dyDescent="0.25">
      <c r="A144" s="38" t="s">
        <v>146</v>
      </c>
      <c r="B144" s="28"/>
      <c r="C144" s="28"/>
      <c r="D144" s="22">
        <v>3134995</v>
      </c>
      <c r="E144" s="28"/>
      <c r="F144" s="28"/>
      <c r="G144" s="28"/>
      <c r="H144" s="21">
        <f>+B144+C144+D144+G144+E144+F144</f>
        <v>3134995</v>
      </c>
      <c r="I144" s="28"/>
      <c r="J144" s="22">
        <f>+H144+I144</f>
        <v>3134995</v>
      </c>
      <c r="K144" s="22">
        <v>2182800</v>
      </c>
      <c r="L144" s="22">
        <f t="shared" si="31"/>
        <v>-952195</v>
      </c>
      <c r="M144" s="23">
        <f t="shared" si="32"/>
        <v>2.6157465349724464E-4</v>
      </c>
    </row>
    <row r="145" spans="1:13" s="37" customFormat="1" ht="15" hidden="1" outlineLevel="1" x14ac:dyDescent="0.25">
      <c r="A145" s="38" t="s">
        <v>147</v>
      </c>
      <c r="B145" s="28"/>
      <c r="C145" s="28"/>
      <c r="D145" s="22">
        <v>25656622</v>
      </c>
      <c r="E145" s="28"/>
      <c r="F145" s="28"/>
      <c r="G145" s="28"/>
      <c r="H145" s="21">
        <f>+B145+C145+D145+G145+E145+F145</f>
        <v>25656622</v>
      </c>
      <c r="I145" s="28"/>
      <c r="J145" s="22">
        <f>+H145+I145</f>
        <v>25656622</v>
      </c>
      <c r="K145" s="22">
        <v>22849658</v>
      </c>
      <c r="L145" s="22">
        <f t="shared" si="31"/>
        <v>-2806964</v>
      </c>
      <c r="M145" s="23">
        <f t="shared" si="32"/>
        <v>2.1407121891932153E-3</v>
      </c>
    </row>
    <row r="146" spans="1:13" s="37" customFormat="1" ht="15" collapsed="1" x14ac:dyDescent="0.25">
      <c r="A146" s="39" t="s">
        <v>148</v>
      </c>
      <c r="B146" s="28"/>
      <c r="C146" s="28"/>
      <c r="D146" s="28">
        <f>+D147+D155</f>
        <v>467061489</v>
      </c>
      <c r="E146" s="28"/>
      <c r="F146" s="28"/>
      <c r="G146" s="28"/>
      <c r="H146" s="28">
        <f>+H147+H155</f>
        <v>467061489</v>
      </c>
      <c r="I146" s="28"/>
      <c r="J146" s="28">
        <f>+J147+J155</f>
        <v>467061489</v>
      </c>
      <c r="K146" s="28">
        <f>+K147+K155</f>
        <v>422470144</v>
      </c>
      <c r="L146" s="28">
        <f t="shared" si="31"/>
        <v>-44591345</v>
      </c>
      <c r="M146" s="19">
        <f t="shared" si="32"/>
        <v>3.8970220733073616E-2</v>
      </c>
    </row>
    <row r="147" spans="1:13" s="37" customFormat="1" ht="15" hidden="1" outlineLevel="1" x14ac:dyDescent="0.25">
      <c r="A147" s="39" t="s">
        <v>149</v>
      </c>
      <c r="B147" s="28"/>
      <c r="C147" s="28"/>
      <c r="D147" s="28">
        <f>SUM(D148:D154)</f>
        <v>358054401</v>
      </c>
      <c r="E147" s="28"/>
      <c r="F147" s="28"/>
      <c r="G147" s="28"/>
      <c r="H147" s="28">
        <f>SUM(H148:H154)</f>
        <v>358054401</v>
      </c>
      <c r="I147" s="28"/>
      <c r="J147" s="28">
        <f>SUM(J148:J154)</f>
        <v>358054401</v>
      </c>
      <c r="K147" s="28">
        <f>SUM(K148:K154)</f>
        <v>314796961</v>
      </c>
      <c r="L147" s="28">
        <f t="shared" si="31"/>
        <v>-43257440</v>
      </c>
      <c r="M147" s="19">
        <f t="shared" si="32"/>
        <v>2.9874993700066022E-2</v>
      </c>
    </row>
    <row r="148" spans="1:13" s="37" customFormat="1" ht="15" hidden="1" outlineLevel="2" x14ac:dyDescent="0.25">
      <c r="A148" s="38" t="str">
        <f>+[5]Hoja1!$A$23</f>
        <v>Gira técnica</v>
      </c>
      <c r="B148" s="28"/>
      <c r="C148" s="28"/>
      <c r="D148" s="22">
        <v>195538668</v>
      </c>
      <c r="E148" s="28"/>
      <c r="F148" s="28"/>
      <c r="G148" s="28"/>
      <c r="H148" s="21">
        <f t="shared" ref="H148:H154" si="33">+B148+C148+D148+G148+E148+F148</f>
        <v>195538668</v>
      </c>
      <c r="I148" s="28"/>
      <c r="J148" s="22">
        <f t="shared" ref="J148:J154" si="34">+H148+I148</f>
        <v>195538668</v>
      </c>
      <c r="K148" s="22">
        <v>162720076</v>
      </c>
      <c r="L148" s="22">
        <f t="shared" si="31"/>
        <v>-32818592</v>
      </c>
      <c r="M148" s="23">
        <f t="shared" si="32"/>
        <v>1.6315164562435588E-2</v>
      </c>
    </row>
    <row r="149" spans="1:13" s="37" customFormat="1" ht="15" hidden="1" outlineLevel="2" x14ac:dyDescent="0.25">
      <c r="A149" s="38" t="str">
        <f>+[5]Hoja1!$A$24</f>
        <v>Capacitación en desposte y transformación de la carne de cerdo</v>
      </c>
      <c r="B149" s="28"/>
      <c r="C149" s="28"/>
      <c r="D149" s="22">
        <v>9590392</v>
      </c>
      <c r="E149" s="28"/>
      <c r="F149" s="28"/>
      <c r="G149" s="28"/>
      <c r="H149" s="21">
        <f t="shared" si="33"/>
        <v>9590392</v>
      </c>
      <c r="I149" s="28"/>
      <c r="J149" s="22">
        <f t="shared" si="34"/>
        <v>9590392</v>
      </c>
      <c r="K149" s="22">
        <v>8996400</v>
      </c>
      <c r="L149" s="22">
        <f t="shared" si="31"/>
        <v>-593992</v>
      </c>
      <c r="M149" s="23">
        <f t="shared" si="32"/>
        <v>8.0019376882666383E-4</v>
      </c>
    </row>
    <row r="150" spans="1:13" s="37" customFormat="1" ht="15" hidden="1" outlineLevel="2" x14ac:dyDescent="0.25">
      <c r="A150" s="38" t="str">
        <f>+[5]Hoja1!$A$26</f>
        <v>Curso virtual en tecnologías ambientales para porcicultura</v>
      </c>
      <c r="B150" s="28"/>
      <c r="C150" s="28"/>
      <c r="D150" s="22">
        <v>63449008</v>
      </c>
      <c r="E150" s="28"/>
      <c r="F150" s="28"/>
      <c r="G150" s="28"/>
      <c r="H150" s="21">
        <f t="shared" si="33"/>
        <v>63449008</v>
      </c>
      <c r="I150" s="28"/>
      <c r="J150" s="22">
        <f t="shared" si="34"/>
        <v>63449008</v>
      </c>
      <c r="K150" s="22">
        <v>63150000</v>
      </c>
      <c r="L150" s="22">
        <f t="shared" si="31"/>
        <v>-299008</v>
      </c>
      <c r="M150" s="23">
        <f t="shared" si="32"/>
        <v>5.2939964122251876E-3</v>
      </c>
    </row>
    <row r="151" spans="1:13" s="37" customFormat="1" ht="15" hidden="1" outlineLevel="2" x14ac:dyDescent="0.25">
      <c r="A151" s="38" t="str">
        <f>+[5]Hoja1!$A$27</f>
        <v>Curso virtual innovación en productos</v>
      </c>
      <c r="B151" s="28"/>
      <c r="C151" s="28"/>
      <c r="D151" s="22"/>
      <c r="E151" s="28"/>
      <c r="F151" s="28"/>
      <c r="G151" s="28"/>
      <c r="H151" s="21">
        <f>+B151+C151+D151+G151+E151+F151</f>
        <v>0</v>
      </c>
      <c r="I151" s="28"/>
      <c r="J151" s="22">
        <f>+H151+I151</f>
        <v>0</v>
      </c>
      <c r="K151" s="22">
        <v>0</v>
      </c>
      <c r="L151" s="22">
        <f t="shared" si="31"/>
        <v>0</v>
      </c>
      <c r="M151" s="23">
        <f t="shared" si="32"/>
        <v>0</v>
      </c>
    </row>
    <row r="152" spans="1:13" s="37" customFormat="1" ht="15" hidden="1" outlineLevel="2" x14ac:dyDescent="0.25">
      <c r="A152" s="38" t="str">
        <f>+[5]Hoja1!$A$28</f>
        <v>Campus virtual</v>
      </c>
      <c r="B152" s="28"/>
      <c r="C152" s="28"/>
      <c r="D152" s="22">
        <f>33000000-3000000</f>
        <v>30000000</v>
      </c>
      <c r="E152" s="28"/>
      <c r="F152" s="28"/>
      <c r="G152" s="28"/>
      <c r="H152" s="21">
        <f t="shared" si="33"/>
        <v>30000000</v>
      </c>
      <c r="I152" s="28"/>
      <c r="J152" s="22">
        <f t="shared" si="34"/>
        <v>30000000</v>
      </c>
      <c r="K152" s="22">
        <v>20875562</v>
      </c>
      <c r="L152" s="22">
        <f t="shared" si="31"/>
        <v>-9124438</v>
      </c>
      <c r="M152" s="23">
        <f t="shared" si="32"/>
        <v>2.5031107242331611E-3</v>
      </c>
    </row>
    <row r="153" spans="1:13" s="37" customFormat="1" ht="15" hidden="1" outlineLevel="2" x14ac:dyDescent="0.25">
      <c r="A153" s="38" t="str">
        <f>+[5]Hoja1!$A$30</f>
        <v>Encuentros regionales porcicolas</v>
      </c>
      <c r="B153" s="28"/>
      <c r="C153" s="28"/>
      <c r="D153" s="22">
        <f>51019029-8600000-3500000+74000</f>
        <v>38993029</v>
      </c>
      <c r="E153" s="28"/>
      <c r="F153" s="28"/>
      <c r="G153" s="28"/>
      <c r="H153" s="21">
        <f t="shared" si="33"/>
        <v>38993029</v>
      </c>
      <c r="I153" s="28"/>
      <c r="J153" s="22">
        <f t="shared" si="34"/>
        <v>38993029</v>
      </c>
      <c r="K153" s="22">
        <v>38992123</v>
      </c>
      <c r="L153" s="22">
        <f t="shared" si="31"/>
        <v>-906</v>
      </c>
      <c r="M153" s="23">
        <f t="shared" si="32"/>
        <v>3.2534623020078219E-3</v>
      </c>
    </row>
    <row r="154" spans="1:13" s="37" customFormat="1" ht="15" hidden="1" outlineLevel="2" x14ac:dyDescent="0.25">
      <c r="A154" s="38" t="str">
        <f>+[5]Hoja1!$A$32</f>
        <v>Curso de operarios</v>
      </c>
      <c r="B154" s="28"/>
      <c r="C154" s="28"/>
      <c r="D154" s="22">
        <f>17057304+3500000-74000</f>
        <v>20483304</v>
      </c>
      <c r="E154" s="28"/>
      <c r="F154" s="28"/>
      <c r="G154" s="28"/>
      <c r="H154" s="21">
        <f t="shared" si="33"/>
        <v>20483304</v>
      </c>
      <c r="I154" s="28"/>
      <c r="J154" s="22">
        <f t="shared" si="34"/>
        <v>20483304</v>
      </c>
      <c r="K154" s="22">
        <v>20062800</v>
      </c>
      <c r="L154" s="22">
        <f t="shared" si="31"/>
        <v>-420504</v>
      </c>
      <c r="M154" s="23">
        <f t="shared" si="32"/>
        <v>1.7090659303376002E-3</v>
      </c>
    </row>
    <row r="155" spans="1:13" s="37" customFormat="1" ht="15" hidden="1" outlineLevel="1" x14ac:dyDescent="0.25">
      <c r="A155" s="39" t="s">
        <v>150</v>
      </c>
      <c r="B155" s="28"/>
      <c r="C155" s="28"/>
      <c r="D155" s="28">
        <f>SUM(D156:D158)</f>
        <v>109007088</v>
      </c>
      <c r="E155" s="28"/>
      <c r="F155" s="28"/>
      <c r="G155" s="28"/>
      <c r="H155" s="28">
        <f>SUM(H156:H158)</f>
        <v>109007088</v>
      </c>
      <c r="I155" s="28"/>
      <c r="J155" s="28">
        <f>SUM(J156:J158)</f>
        <v>109007088</v>
      </c>
      <c r="K155" s="28">
        <f>SUM(K156:K158)</f>
        <v>107673183</v>
      </c>
      <c r="L155" s="28">
        <f t="shared" si="31"/>
        <v>-1333905</v>
      </c>
      <c r="M155" s="19">
        <f t="shared" si="32"/>
        <v>9.0952270330075975E-3</v>
      </c>
    </row>
    <row r="156" spans="1:13" s="37" customFormat="1" ht="15" hidden="1" outlineLevel="2" x14ac:dyDescent="0.25">
      <c r="A156" s="38" t="str">
        <f>+[5]Hoja1!$A$34</f>
        <v>Buenas practicas en el manejo de medicamentos veterinarios</v>
      </c>
      <c r="B156" s="28"/>
      <c r="C156" s="28"/>
      <c r="D156" s="22">
        <f>24494243-10500000</f>
        <v>13994243</v>
      </c>
      <c r="E156" s="28"/>
      <c r="F156" s="28"/>
      <c r="G156" s="28"/>
      <c r="H156" s="21">
        <f>+B156+C156+D156+G156+E156+F156</f>
        <v>13994243</v>
      </c>
      <c r="I156" s="28"/>
      <c r="J156" s="22">
        <f>+H156+I156</f>
        <v>13994243</v>
      </c>
      <c r="K156" s="22">
        <v>13926873</v>
      </c>
      <c r="L156" s="22">
        <f t="shared" si="31"/>
        <v>-67370</v>
      </c>
      <c r="M156" s="23">
        <f t="shared" si="32"/>
        <v>1.1676379910274949E-3</v>
      </c>
    </row>
    <row r="157" spans="1:13" s="37" customFormat="1" ht="15" hidden="1" outlineLevel="2" x14ac:dyDescent="0.25">
      <c r="A157" s="38" t="s">
        <v>151</v>
      </c>
      <c r="B157" s="28"/>
      <c r="C157" s="28"/>
      <c r="D157" s="22">
        <v>0</v>
      </c>
      <c r="E157" s="28"/>
      <c r="F157" s="28"/>
      <c r="G157" s="28"/>
      <c r="H157" s="21">
        <f>+B157+C157+D157+G157+E157+F157</f>
        <v>0</v>
      </c>
      <c r="I157" s="28"/>
      <c r="J157" s="22">
        <f>+H157+I157</f>
        <v>0</v>
      </c>
      <c r="K157" s="22">
        <v>0</v>
      </c>
      <c r="L157" s="22">
        <f t="shared" si="31"/>
        <v>0</v>
      </c>
      <c r="M157" s="23">
        <f t="shared" si="32"/>
        <v>0</v>
      </c>
    </row>
    <row r="158" spans="1:13" s="37" customFormat="1" ht="15" hidden="1" outlineLevel="2" x14ac:dyDescent="0.25">
      <c r="A158" s="38" t="s">
        <v>152</v>
      </c>
      <c r="B158" s="28"/>
      <c r="C158" s="28"/>
      <c r="D158" s="22">
        <f>72912845+10500000+8600000+3000000</f>
        <v>95012845</v>
      </c>
      <c r="E158" s="28"/>
      <c r="F158" s="28"/>
      <c r="G158" s="28"/>
      <c r="H158" s="21">
        <f>+B158+C158+D158+G158+E158+F158</f>
        <v>95012845</v>
      </c>
      <c r="I158" s="28"/>
      <c r="J158" s="22">
        <f>+H158+I158</f>
        <v>95012845</v>
      </c>
      <c r="K158" s="22">
        <v>93746310</v>
      </c>
      <c r="L158" s="22">
        <f t="shared" si="31"/>
        <v>-1266535</v>
      </c>
      <c r="M158" s="23">
        <f t="shared" si="32"/>
        <v>7.9275890419801022E-3</v>
      </c>
    </row>
    <row r="159" spans="1:13" s="37" customFormat="1" ht="15" collapsed="1" x14ac:dyDescent="0.25">
      <c r="A159" s="39" t="s">
        <v>153</v>
      </c>
      <c r="B159" s="28"/>
      <c r="C159" s="28"/>
      <c r="D159" s="28">
        <f>+D160+D166+D172+D173</f>
        <v>507425593.61369997</v>
      </c>
      <c r="E159" s="28"/>
      <c r="F159" s="28"/>
      <c r="G159" s="28"/>
      <c r="H159" s="28">
        <f>+H160+H166+H172+H173</f>
        <v>507425593.61369997</v>
      </c>
      <c r="I159" s="28"/>
      <c r="J159" s="28">
        <f>+J160+J166+J172+J173</f>
        <v>507425593.61369997</v>
      </c>
      <c r="K159" s="28">
        <f>+K160+K166+K172+K173</f>
        <v>497300281</v>
      </c>
      <c r="L159" s="28">
        <f t="shared" si="31"/>
        <v>-10125312.613699973</v>
      </c>
      <c r="M159" s="19">
        <f t="shared" si="32"/>
        <v>4.2338081504161004E-2</v>
      </c>
    </row>
    <row r="160" spans="1:13" s="37" customFormat="1" ht="15" hidden="1" outlineLevel="1" x14ac:dyDescent="0.25">
      <c r="A160" s="39" t="s">
        <v>154</v>
      </c>
      <c r="B160" s="28"/>
      <c r="C160" s="28"/>
      <c r="D160" s="28">
        <f>SUM(D161:D165)</f>
        <v>321249360.31709999</v>
      </c>
      <c r="E160" s="28"/>
      <c r="F160" s="28"/>
      <c r="G160" s="28"/>
      <c r="H160" s="28">
        <f>SUM(H161:H165)</f>
        <v>321249360.31709999</v>
      </c>
      <c r="I160" s="28"/>
      <c r="J160" s="28">
        <f>SUM(J161:J165)</f>
        <v>321249360.31709999</v>
      </c>
      <c r="K160" s="28">
        <f>SUM(K161:K165)</f>
        <v>311448615</v>
      </c>
      <c r="L160" s="28">
        <f t="shared" si="31"/>
        <v>-9800745.3170999885</v>
      </c>
      <c r="M160" s="19">
        <f t="shared" si="32"/>
        <v>2.6804090632092527E-2</v>
      </c>
    </row>
    <row r="161" spans="1:13" s="37" customFormat="1" ht="15" hidden="1" outlineLevel="2" x14ac:dyDescent="0.25">
      <c r="A161" s="38" t="str">
        <f>+[5]Hoja1!$A$40</f>
        <v>Diagnóstico rutinario</v>
      </c>
      <c r="B161" s="28"/>
      <c r="C161" s="28"/>
      <c r="D161" s="21">
        <f>2637429.0501+3500000+3000000</f>
        <v>9137429.0501000006</v>
      </c>
      <c r="E161" s="28"/>
      <c r="F161" s="28"/>
      <c r="G161" s="28"/>
      <c r="H161" s="21">
        <f>+B161+C161+D161+G161+E161+F161</f>
        <v>9137429.0501000006</v>
      </c>
      <c r="I161" s="28"/>
      <c r="J161" s="22">
        <f>+H161+I161</f>
        <v>9137429.0501000006</v>
      </c>
      <c r="K161" s="22">
        <v>8639687</v>
      </c>
      <c r="L161" s="22">
        <f t="shared" si="31"/>
        <v>-497742.05010000058</v>
      </c>
      <c r="M161" s="23">
        <f t="shared" si="32"/>
        <v>7.6239988824083123E-4</v>
      </c>
    </row>
    <row r="162" spans="1:13" s="37" customFormat="1" ht="15" hidden="1" outlineLevel="2" x14ac:dyDescent="0.25">
      <c r="A162" s="38" t="str">
        <f>+[5]Hoja1!$A$41</f>
        <v>Diagnóstico integrado</v>
      </c>
      <c r="B162" s="28"/>
      <c r="C162" s="28"/>
      <c r="D162" s="21">
        <f>3830492.9671-3500000-243936</f>
        <v>86556.967100000009</v>
      </c>
      <c r="E162" s="28"/>
      <c r="F162" s="28"/>
      <c r="G162" s="28"/>
      <c r="H162" s="21">
        <f>+B162+C162+D162+G162+E162+F162</f>
        <v>86556.967100000009</v>
      </c>
      <c r="I162" s="28"/>
      <c r="J162" s="22">
        <f>+H162+I162</f>
        <v>86556.967100000009</v>
      </c>
      <c r="K162" s="22">
        <v>0</v>
      </c>
      <c r="L162" s="22">
        <f t="shared" si="31"/>
        <v>-86556.967100000009</v>
      </c>
      <c r="M162" s="23">
        <f t="shared" si="32"/>
        <v>7.2220557535035634E-6</v>
      </c>
    </row>
    <row r="163" spans="1:13" s="37" customFormat="1" ht="15" hidden="1" outlineLevel="2" x14ac:dyDescent="0.25">
      <c r="A163" s="38" t="str">
        <f>+[5]Hoja1!$A$42</f>
        <v>Diagnóstico PRRS (incluido IFA)</v>
      </c>
      <c r="B163" s="28"/>
      <c r="C163" s="28"/>
      <c r="D163" s="21">
        <f>4690764.9259+2600000-1900000</f>
        <v>5390764.9259000001</v>
      </c>
      <c r="E163" s="28"/>
      <c r="F163" s="28"/>
      <c r="G163" s="28"/>
      <c r="H163" s="21">
        <f>+B163+C163+D163+G163+E163+F163</f>
        <v>5390764.9259000001</v>
      </c>
      <c r="I163" s="28"/>
      <c r="J163" s="22">
        <f>+H163+I163</f>
        <v>5390764.9259000001</v>
      </c>
      <c r="K163" s="22">
        <v>5304995</v>
      </c>
      <c r="L163" s="22">
        <f t="shared" si="31"/>
        <v>-85769.925900000148</v>
      </c>
      <c r="M163" s="23">
        <f t="shared" si="32"/>
        <v>4.4978938326134239E-4</v>
      </c>
    </row>
    <row r="164" spans="1:13" s="37" customFormat="1" ht="15" hidden="1" outlineLevel="2" x14ac:dyDescent="0.25">
      <c r="A164" s="38" t="str">
        <f>+[5]Hoja1!$A$43</f>
        <v>Compras de insumos</v>
      </c>
      <c r="B164" s="28"/>
      <c r="C164" s="28"/>
      <c r="D164" s="21">
        <v>296643609.37400001</v>
      </c>
      <c r="E164" s="28"/>
      <c r="F164" s="28"/>
      <c r="G164" s="28"/>
      <c r="H164" s="21">
        <f>+B164+C164+D164+G164+E164+F164</f>
        <v>296643609.37400001</v>
      </c>
      <c r="I164" s="28"/>
      <c r="J164" s="22">
        <f>+H164+I164</f>
        <v>296643609.37400001</v>
      </c>
      <c r="K164" s="22">
        <v>287692245</v>
      </c>
      <c r="L164" s="22">
        <f t="shared" si="31"/>
        <v>-8951364.3740000129</v>
      </c>
      <c r="M164" s="23">
        <f t="shared" si="32"/>
        <v>2.4751059996643069E-2</v>
      </c>
    </row>
    <row r="165" spans="1:13" s="37" customFormat="1" ht="15" hidden="1" outlineLevel="2" x14ac:dyDescent="0.25">
      <c r="A165" s="38" t="str">
        <f>+[5]Hoja1!$A$44</f>
        <v>Diagnóstico importados</v>
      </c>
      <c r="B165" s="28"/>
      <c r="C165" s="28"/>
      <c r="D165" s="21">
        <v>9991000</v>
      </c>
      <c r="E165" s="28"/>
      <c r="F165" s="28"/>
      <c r="G165" s="28"/>
      <c r="H165" s="21">
        <f>+B165+C165+D165+G165+E165+F165</f>
        <v>9991000</v>
      </c>
      <c r="I165" s="28"/>
      <c r="J165" s="22">
        <f>+H165+I165</f>
        <v>9991000</v>
      </c>
      <c r="K165" s="22">
        <v>9811688</v>
      </c>
      <c r="L165" s="22">
        <f t="shared" si="31"/>
        <v>-179312</v>
      </c>
      <c r="M165" s="23">
        <f t="shared" si="32"/>
        <v>8.3361930819378371E-4</v>
      </c>
    </row>
    <row r="166" spans="1:13" s="37" customFormat="1" ht="15" hidden="1" outlineLevel="1" x14ac:dyDescent="0.25">
      <c r="A166" s="39" t="s">
        <v>155</v>
      </c>
      <c r="B166" s="28"/>
      <c r="C166" s="28"/>
      <c r="D166" s="28">
        <f>SUM(D167:D171)</f>
        <v>134046260.7966</v>
      </c>
      <c r="E166" s="28"/>
      <c r="F166" s="28"/>
      <c r="G166" s="28"/>
      <c r="H166" s="28">
        <f>SUM(H167:H171)</f>
        <v>134046260.7966</v>
      </c>
      <c r="I166" s="28"/>
      <c r="J166" s="28">
        <f>SUM(J167:J171)</f>
        <v>134046260.7966</v>
      </c>
      <c r="K166" s="28">
        <f>SUM(K167:K171)</f>
        <v>134019722</v>
      </c>
      <c r="L166" s="28">
        <f t="shared" si="31"/>
        <v>-26538.79659999907</v>
      </c>
      <c r="M166" s="19">
        <f t="shared" si="32"/>
        <v>1.118442109811082E-2</v>
      </c>
    </row>
    <row r="167" spans="1:13" s="37" customFormat="1" ht="15" hidden="1" outlineLevel="2" x14ac:dyDescent="0.25">
      <c r="A167" s="38" t="str">
        <f>+[5]Hoja1!$A$47</f>
        <v>Rutinario</v>
      </c>
      <c r="B167" s="28"/>
      <c r="C167" s="28"/>
      <c r="D167" s="21">
        <f>68164883+10000000+7000000+6000060+5000000-989394</f>
        <v>95175549</v>
      </c>
      <c r="E167" s="28"/>
      <c r="F167" s="28"/>
      <c r="G167" s="28"/>
      <c r="H167" s="21">
        <f t="shared" ref="H167:H173" si="35">+B167+C167+D167+G167+E167+F167</f>
        <v>95175549</v>
      </c>
      <c r="I167" s="28"/>
      <c r="J167" s="22">
        <f t="shared" ref="J167:J173" si="36">+H167+I167</f>
        <v>95175549</v>
      </c>
      <c r="K167" s="22">
        <v>95175549</v>
      </c>
      <c r="L167" s="22">
        <f t="shared" si="31"/>
        <v>0</v>
      </c>
      <c r="M167" s="23">
        <f t="shared" si="32"/>
        <v>7.9411645795559576E-3</v>
      </c>
    </row>
    <row r="168" spans="1:13" s="37" customFormat="1" ht="15" hidden="1" outlineLevel="2" x14ac:dyDescent="0.25">
      <c r="A168" s="38" t="str">
        <f>+[5]Hoja1!$A$48</f>
        <v>Combos</v>
      </c>
      <c r="B168" s="28"/>
      <c r="C168" s="28"/>
      <c r="D168" s="21">
        <f>16966216.7022-10000000-605454</f>
        <v>6360762.7021999992</v>
      </c>
      <c r="E168" s="28"/>
      <c r="F168" s="28"/>
      <c r="G168" s="28"/>
      <c r="H168" s="21">
        <f t="shared" si="35"/>
        <v>6360762.7021999992</v>
      </c>
      <c r="I168" s="28"/>
      <c r="J168" s="22">
        <f t="shared" si="36"/>
        <v>6360762.7021999992</v>
      </c>
      <c r="K168" s="22">
        <v>6360763</v>
      </c>
      <c r="L168" s="22">
        <f t="shared" si="31"/>
        <v>0.29780000075697899</v>
      </c>
      <c r="M168" s="23">
        <f t="shared" si="32"/>
        <v>5.307231111393039E-4</v>
      </c>
    </row>
    <row r="169" spans="1:13" s="37" customFormat="1" ht="15" hidden="1" outlineLevel="2" x14ac:dyDescent="0.25">
      <c r="A169" s="38" t="str">
        <f>+[5]Hoja1!$A$49</f>
        <v>PRRS</v>
      </c>
      <c r="B169" s="28"/>
      <c r="C169" s="28"/>
      <c r="D169" s="21">
        <f>23865608.0944+2400000+1900000+778834+989394+605454+704157+151000+243936</f>
        <v>31638383.0944</v>
      </c>
      <c r="E169" s="28"/>
      <c r="F169" s="28"/>
      <c r="G169" s="28"/>
      <c r="H169" s="21">
        <f t="shared" si="35"/>
        <v>31638383.0944</v>
      </c>
      <c r="I169" s="28"/>
      <c r="J169" s="22">
        <f t="shared" si="36"/>
        <v>31638383.0944</v>
      </c>
      <c r="K169" s="22">
        <v>31611844</v>
      </c>
      <c r="L169" s="22">
        <f t="shared" si="31"/>
        <v>-26539.094399999827</v>
      </c>
      <c r="M169" s="23">
        <f t="shared" si="32"/>
        <v>2.6398125340329928E-3</v>
      </c>
    </row>
    <row r="170" spans="1:13" s="37" customFormat="1" ht="15" hidden="1" outlineLevel="1" x14ac:dyDescent="0.25">
      <c r="A170" s="38" t="str">
        <f>+[5]Hoja1!$A$50</f>
        <v>Pruebas interlaboratorios</v>
      </c>
      <c r="B170" s="28"/>
      <c r="C170" s="28"/>
      <c r="D170" s="22">
        <f>6022500-5000000-778834</f>
        <v>243666</v>
      </c>
      <c r="E170" s="22"/>
      <c r="F170" s="22"/>
      <c r="G170" s="22"/>
      <c r="H170" s="22">
        <f t="shared" si="35"/>
        <v>243666</v>
      </c>
      <c r="I170" s="22"/>
      <c r="J170" s="22">
        <f t="shared" si="36"/>
        <v>243666</v>
      </c>
      <c r="K170" s="22">
        <v>243666</v>
      </c>
      <c r="L170" s="22">
        <f t="shared" si="31"/>
        <v>0</v>
      </c>
      <c r="M170" s="23">
        <f t="shared" si="32"/>
        <v>2.033076592436658E-5</v>
      </c>
    </row>
    <row r="171" spans="1:13" s="37" customFormat="1" ht="15" hidden="1" outlineLevel="1" x14ac:dyDescent="0.25">
      <c r="A171" s="38" t="str">
        <f>+[5]Hoja1!$A$51</f>
        <v>Promoción al diagnóstico</v>
      </c>
      <c r="B171" s="28"/>
      <c r="C171" s="28"/>
      <c r="D171" s="22">
        <f>8332057-7000000-704157</f>
        <v>627900</v>
      </c>
      <c r="E171" s="22"/>
      <c r="F171" s="22"/>
      <c r="G171" s="22"/>
      <c r="H171" s="22">
        <f t="shared" si="35"/>
        <v>627900</v>
      </c>
      <c r="I171" s="22"/>
      <c r="J171" s="22">
        <f t="shared" si="36"/>
        <v>627900</v>
      </c>
      <c r="K171" s="22">
        <v>627900</v>
      </c>
      <c r="L171" s="22">
        <f t="shared" si="31"/>
        <v>0</v>
      </c>
      <c r="M171" s="23">
        <f t="shared" si="32"/>
        <v>5.2390107458200058E-5</v>
      </c>
    </row>
    <row r="172" spans="1:13" s="37" customFormat="1" ht="15" hidden="1" outlineLevel="1" x14ac:dyDescent="0.25">
      <c r="A172" s="39" t="str">
        <f>+[5]Hoja1!$A$52</f>
        <v>Inocuidad y ambiente</v>
      </c>
      <c r="B172" s="28"/>
      <c r="C172" s="28"/>
      <c r="D172" s="28">
        <f>8279702.5-6000060-151000</f>
        <v>2128642.5</v>
      </c>
      <c r="E172" s="28"/>
      <c r="F172" s="28"/>
      <c r="G172" s="28"/>
      <c r="H172" s="18">
        <f t="shared" si="35"/>
        <v>2128642.5</v>
      </c>
      <c r="I172" s="18"/>
      <c r="J172" s="18">
        <f t="shared" si="36"/>
        <v>2128642.5</v>
      </c>
      <c r="K172" s="18">
        <v>2033550</v>
      </c>
      <c r="L172" s="18">
        <f t="shared" si="31"/>
        <v>-95092.5</v>
      </c>
      <c r="M172" s="19">
        <f t="shared" si="32"/>
        <v>1.7760759566028288E-4</v>
      </c>
    </row>
    <row r="173" spans="1:13" s="37" customFormat="1" ht="15" hidden="1" outlineLevel="1" x14ac:dyDescent="0.25">
      <c r="A173" s="39" t="s">
        <v>156</v>
      </c>
      <c r="B173" s="28"/>
      <c r="C173" s="28"/>
      <c r="D173" s="28">
        <f>58001330-3000000-2600000-2400000</f>
        <v>50001330</v>
      </c>
      <c r="E173" s="28"/>
      <c r="F173" s="28"/>
      <c r="G173" s="28"/>
      <c r="H173" s="18">
        <f t="shared" si="35"/>
        <v>50001330</v>
      </c>
      <c r="I173" s="18"/>
      <c r="J173" s="18">
        <f t="shared" si="36"/>
        <v>50001330</v>
      </c>
      <c r="K173" s="18">
        <v>49798394</v>
      </c>
      <c r="L173" s="18">
        <f t="shared" si="31"/>
        <v>-202936</v>
      </c>
      <c r="M173" s="19">
        <f t="shared" si="32"/>
        <v>4.1719621782973764E-3</v>
      </c>
    </row>
    <row r="174" spans="1:13" s="37" customFormat="1" ht="15" collapsed="1" x14ac:dyDescent="0.25">
      <c r="A174" s="38"/>
      <c r="B174" s="28"/>
      <c r="C174" s="28"/>
      <c r="D174" s="28"/>
      <c r="E174" s="28"/>
      <c r="F174" s="28"/>
      <c r="G174" s="28"/>
      <c r="H174" s="21"/>
      <c r="I174" s="28"/>
      <c r="J174" s="22"/>
      <c r="K174" s="22"/>
      <c r="L174" s="22"/>
      <c r="M174" s="23"/>
    </row>
    <row r="175" spans="1:13" s="37" customFormat="1" ht="15" x14ac:dyDescent="0.25">
      <c r="A175" s="39" t="s">
        <v>157</v>
      </c>
      <c r="B175" s="28"/>
      <c r="C175" s="28"/>
      <c r="D175" s="28"/>
      <c r="E175" s="18">
        <f>+E176</f>
        <v>870698114</v>
      </c>
      <c r="F175" s="18"/>
      <c r="G175" s="18"/>
      <c r="H175" s="18">
        <f>+H176</f>
        <v>870698114</v>
      </c>
      <c r="I175" s="18"/>
      <c r="J175" s="18">
        <f>+H175+I175</f>
        <v>870698114</v>
      </c>
      <c r="K175" s="18">
        <f>+K176</f>
        <v>631842957</v>
      </c>
      <c r="L175" s="18">
        <f t="shared" ref="L175:L180" si="37">+K175-J175</f>
        <v>-238855157</v>
      </c>
      <c r="M175" s="19">
        <f t="shared" ref="M175:M180" si="38">+J175/$J$194</f>
        <v>7.2648459557432918E-2</v>
      </c>
    </row>
    <row r="176" spans="1:13" s="37" customFormat="1" ht="15" x14ac:dyDescent="0.25">
      <c r="A176" s="39" t="s">
        <v>158</v>
      </c>
      <c r="B176" s="28"/>
      <c r="C176" s="28"/>
      <c r="D176" s="28"/>
      <c r="E176" s="28">
        <f>SUM(E177:E180)</f>
        <v>870698114</v>
      </c>
      <c r="F176" s="28"/>
      <c r="G176" s="28"/>
      <c r="H176" s="28">
        <f>SUM(H177:H180)</f>
        <v>870698114</v>
      </c>
      <c r="I176" s="28"/>
      <c r="J176" s="28">
        <f>SUM(J177:J180)</f>
        <v>870698114</v>
      </c>
      <c r="K176" s="28">
        <f>SUM(K177:K180)</f>
        <v>631842957</v>
      </c>
      <c r="L176" s="28">
        <f t="shared" si="37"/>
        <v>-238855157</v>
      </c>
      <c r="M176" s="19">
        <f t="shared" si="38"/>
        <v>7.2648459557432918E-2</v>
      </c>
    </row>
    <row r="177" spans="1:14" s="37" customFormat="1" ht="15" hidden="1" outlineLevel="2" x14ac:dyDescent="0.25">
      <c r="A177" s="38" t="str">
        <f>+'[6]Presupuesto 2018 vs 2017'!$B$16</f>
        <v>Control y monitoreo de PRRS</v>
      </c>
      <c r="B177" s="28"/>
      <c r="C177" s="28"/>
      <c r="D177" s="28"/>
      <c r="E177" s="22">
        <v>97039500</v>
      </c>
      <c r="F177" s="28"/>
      <c r="G177" s="28"/>
      <c r="H177" s="21">
        <f>+B177+C177+D177+G177+E177+F177</f>
        <v>97039500</v>
      </c>
      <c r="I177" s="28"/>
      <c r="J177" s="22">
        <f>+H177+I177</f>
        <v>97039500</v>
      </c>
      <c r="K177" s="22">
        <v>38159391</v>
      </c>
      <c r="L177" s="22">
        <f t="shared" si="37"/>
        <v>-58880109</v>
      </c>
      <c r="M177" s="23">
        <f t="shared" si="38"/>
        <v>8.0966871041407949E-3</v>
      </c>
    </row>
    <row r="178" spans="1:14" s="37" customFormat="1" ht="15" hidden="1" outlineLevel="2" x14ac:dyDescent="0.25">
      <c r="A178" s="38" t="str">
        <f>+'[6]Presupuesto 2018 vs 2017'!$B$17</f>
        <v>Vigilancia de Influenza Porcina</v>
      </c>
      <c r="B178" s="28"/>
      <c r="C178" s="28"/>
      <c r="D178" s="28"/>
      <c r="E178" s="22">
        <v>5000000</v>
      </c>
      <c r="F178" s="28"/>
      <c r="G178" s="28"/>
      <c r="H178" s="21">
        <f>+B178+C178+D178+G178+E178+F178</f>
        <v>5000000</v>
      </c>
      <c r="I178" s="28"/>
      <c r="J178" s="22">
        <f>+H178+I178</f>
        <v>5000000</v>
      </c>
      <c r="K178" s="22">
        <v>0</v>
      </c>
      <c r="L178" s="22">
        <f t="shared" si="37"/>
        <v>-5000000</v>
      </c>
      <c r="M178" s="23">
        <f t="shared" si="38"/>
        <v>4.1718512070552683E-4</v>
      </c>
    </row>
    <row r="179" spans="1:14" s="37" customFormat="1" ht="15" hidden="1" outlineLevel="2" x14ac:dyDescent="0.25">
      <c r="A179" s="38" t="str">
        <f>+'[6]Presupuesto 2018 vs 2017'!$B$18</f>
        <v>Programa Nacional de Sanidad Porcina</v>
      </c>
      <c r="B179" s="28"/>
      <c r="C179" s="28"/>
      <c r="D179" s="28"/>
      <c r="E179" s="22">
        <v>755572217</v>
      </c>
      <c r="F179" s="28"/>
      <c r="G179" s="28"/>
      <c r="H179" s="21">
        <f>+B179+C179+D179+G179+E179+F179</f>
        <v>755572217</v>
      </c>
      <c r="I179" s="28"/>
      <c r="J179" s="22">
        <f>+H179+I179</f>
        <v>755572217</v>
      </c>
      <c r="K179" s="22">
        <v>590537816</v>
      </c>
      <c r="L179" s="22">
        <f t="shared" si="37"/>
        <v>-165034401</v>
      </c>
      <c r="M179" s="23">
        <f t="shared" si="38"/>
        <v>6.3042697310177503E-2</v>
      </c>
    </row>
    <row r="180" spans="1:14" s="37" customFormat="1" ht="15" hidden="1" outlineLevel="2" x14ac:dyDescent="0.25">
      <c r="A180" s="38" t="str">
        <f>+'[6]Presupuesto 2018 vs 2017'!$B$19</f>
        <v>Divulgación sanitaria</v>
      </c>
      <c r="B180" s="28"/>
      <c r="C180" s="28"/>
      <c r="D180" s="28"/>
      <c r="E180" s="22">
        <v>13086397</v>
      </c>
      <c r="F180" s="28"/>
      <c r="G180" s="28"/>
      <c r="H180" s="21">
        <f>+B180+C180+D180+G180+E180+F180</f>
        <v>13086397</v>
      </c>
      <c r="I180" s="28"/>
      <c r="J180" s="22">
        <f>+H180+I180</f>
        <v>13086397</v>
      </c>
      <c r="K180" s="22">
        <v>3145750</v>
      </c>
      <c r="L180" s="22">
        <f t="shared" si="37"/>
        <v>-9940647</v>
      </c>
      <c r="M180" s="23">
        <f t="shared" si="38"/>
        <v>1.0918900224090888E-3</v>
      </c>
    </row>
    <row r="181" spans="1:14" s="37" customFormat="1" ht="15" collapsed="1" x14ac:dyDescent="0.25">
      <c r="A181" s="38"/>
      <c r="B181" s="21"/>
      <c r="C181" s="28"/>
      <c r="D181" s="28"/>
      <c r="E181" s="28"/>
      <c r="F181" s="28"/>
      <c r="G181" s="28"/>
      <c r="H181" s="21"/>
      <c r="I181" s="28"/>
      <c r="J181" s="22"/>
      <c r="K181" s="22"/>
      <c r="L181" s="22"/>
      <c r="M181" s="23"/>
    </row>
    <row r="182" spans="1:14" ht="15" x14ac:dyDescent="0.25">
      <c r="A182" s="36" t="s">
        <v>159</v>
      </c>
      <c r="B182" s="21"/>
      <c r="C182" s="21"/>
      <c r="D182" s="21"/>
      <c r="E182" s="21"/>
      <c r="F182" s="21"/>
      <c r="G182" s="21"/>
      <c r="H182" s="21"/>
      <c r="I182" s="28">
        <f>+I183+I184</f>
        <v>1071711049</v>
      </c>
      <c r="J182" s="28">
        <f>+I182+H182</f>
        <v>1071711049</v>
      </c>
      <c r="K182" s="28">
        <f>+K183+K184</f>
        <v>1033796465</v>
      </c>
      <c r="L182" s="28">
        <f>+K182-J182</f>
        <v>-37914584</v>
      </c>
      <c r="M182" s="19">
        <f>+J182/$J$194</f>
        <v>8.9420380667702359E-2</v>
      </c>
      <c r="N182" s="26"/>
    </row>
    <row r="183" spans="1:14" ht="14.25" outlineLevel="1" x14ac:dyDescent="0.2">
      <c r="A183" s="44" t="s">
        <v>160</v>
      </c>
      <c r="B183" s="21"/>
      <c r="C183" s="21"/>
      <c r="D183" s="21"/>
      <c r="E183" s="21"/>
      <c r="F183" s="21"/>
      <c r="G183" s="21"/>
      <c r="H183" s="21"/>
      <c r="I183" s="22">
        <v>669819406</v>
      </c>
      <c r="J183" s="22">
        <f>+I183+H183</f>
        <v>669819406</v>
      </c>
      <c r="K183" s="22">
        <v>646122791</v>
      </c>
      <c r="L183" s="22">
        <f>+K183-J183</f>
        <v>-23696615</v>
      </c>
      <c r="M183" s="23">
        <f>+J183/$J$194</f>
        <v>5.5887737948602856E-2</v>
      </c>
    </row>
    <row r="184" spans="1:14" ht="14.25" outlineLevel="1" x14ac:dyDescent="0.2">
      <c r="A184" s="44" t="s">
        <v>161</v>
      </c>
      <c r="B184" s="21"/>
      <c r="C184" s="21"/>
      <c r="D184" s="21"/>
      <c r="E184" s="21"/>
      <c r="F184" s="21"/>
      <c r="G184" s="21"/>
      <c r="H184" s="21"/>
      <c r="I184" s="22">
        <v>401891643</v>
      </c>
      <c r="J184" s="22">
        <f>+I184+H184</f>
        <v>401891643</v>
      </c>
      <c r="K184" s="22">
        <v>387673674</v>
      </c>
      <c r="L184" s="22">
        <f>+K184-J184</f>
        <v>-14217969</v>
      </c>
      <c r="M184" s="23">
        <f>+J184/$J$194</f>
        <v>3.3532642719099497E-2</v>
      </c>
    </row>
    <row r="185" spans="1:14" ht="15" x14ac:dyDescent="0.25">
      <c r="A185" s="27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19"/>
    </row>
    <row r="186" spans="1:14" ht="15" x14ac:dyDescent="0.25">
      <c r="A186" s="45" t="s">
        <v>162</v>
      </c>
      <c r="B186" s="18"/>
      <c r="C186" s="18"/>
      <c r="D186" s="18"/>
      <c r="E186" s="18"/>
      <c r="F186" s="18"/>
      <c r="G186" s="18"/>
      <c r="H186" s="18"/>
      <c r="I186" s="18">
        <v>0</v>
      </c>
      <c r="J186" s="46">
        <f>+I186+H186</f>
        <v>0</v>
      </c>
      <c r="K186" s="46">
        <f>+J186+I186</f>
        <v>0</v>
      </c>
      <c r="L186" s="46">
        <f>+K186-J186</f>
        <v>0</v>
      </c>
      <c r="M186" s="19">
        <f>+J186/$J$194</f>
        <v>0</v>
      </c>
    </row>
    <row r="187" spans="1:14" ht="15" x14ac:dyDescent="0.25">
      <c r="A187" s="45"/>
      <c r="B187" s="18"/>
      <c r="C187" s="18"/>
      <c r="D187" s="18"/>
      <c r="E187" s="18"/>
      <c r="F187" s="18"/>
      <c r="G187" s="18"/>
      <c r="H187" s="18"/>
      <c r="I187" s="18"/>
      <c r="J187" s="46"/>
      <c r="K187" s="46"/>
      <c r="L187" s="46"/>
      <c r="M187" s="19"/>
    </row>
    <row r="188" spans="1:14" ht="15" x14ac:dyDescent="0.25">
      <c r="A188" s="45" t="s">
        <v>163</v>
      </c>
      <c r="B188" s="18"/>
      <c r="C188" s="18"/>
      <c r="D188" s="18"/>
      <c r="E188" s="18"/>
      <c r="F188" s="18"/>
      <c r="G188" s="18">
        <v>0</v>
      </c>
      <c r="H188" s="18">
        <f>+B188+C188+D188+G188+F188</f>
        <v>0</v>
      </c>
      <c r="I188" s="18"/>
      <c r="J188" s="46">
        <f>+I188+H188</f>
        <v>0</v>
      </c>
      <c r="K188" s="46">
        <f>+J188+I188</f>
        <v>0</v>
      </c>
      <c r="L188" s="46">
        <f>+K188-J188</f>
        <v>0</v>
      </c>
      <c r="M188" s="19">
        <f>+J188/$J$194</f>
        <v>0</v>
      </c>
    </row>
    <row r="189" spans="1:14" ht="15" x14ac:dyDescent="0.25">
      <c r="A189" s="27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19"/>
    </row>
    <row r="190" spans="1:14" ht="15" x14ac:dyDescent="0.25">
      <c r="A190" s="36" t="s">
        <v>164</v>
      </c>
      <c r="B190" s="21"/>
      <c r="C190" s="21"/>
      <c r="D190" s="21"/>
      <c r="E190" s="21"/>
      <c r="F190" s="21"/>
      <c r="G190" s="21"/>
      <c r="H190" s="28"/>
      <c r="I190" s="28">
        <f>+I191+I192</f>
        <v>0</v>
      </c>
      <c r="J190" s="28">
        <f t="shared" ref="J190:K192" si="39">+I190+H190</f>
        <v>0</v>
      </c>
      <c r="K190" s="28">
        <f t="shared" si="39"/>
        <v>0</v>
      </c>
      <c r="L190" s="28">
        <f>+K190-J190</f>
        <v>0</v>
      </c>
      <c r="M190" s="19">
        <f>+J190/$J$194</f>
        <v>0</v>
      </c>
    </row>
    <row r="191" spans="1:14" s="48" customFormat="1" ht="14.25" hidden="1" outlineLevel="1" x14ac:dyDescent="0.2">
      <c r="A191" s="29" t="s">
        <v>165</v>
      </c>
      <c r="B191" s="21"/>
      <c r="C191" s="21"/>
      <c r="D191" s="21"/>
      <c r="E191" s="21"/>
      <c r="F191" s="21"/>
      <c r="G191" s="21"/>
      <c r="H191" s="21"/>
      <c r="I191" s="21"/>
      <c r="J191" s="21">
        <f t="shared" si="39"/>
        <v>0</v>
      </c>
      <c r="K191" s="21">
        <f t="shared" si="39"/>
        <v>0</v>
      </c>
      <c r="L191" s="21">
        <f>+K191-J191</f>
        <v>0</v>
      </c>
      <c r="M191" s="23">
        <f>+J191/$J$194</f>
        <v>0</v>
      </c>
      <c r="N191" s="47"/>
    </row>
    <row r="192" spans="1:14" s="48" customFormat="1" ht="14.25" hidden="1" outlineLevel="1" x14ac:dyDescent="0.2">
      <c r="A192" s="29" t="s">
        <v>166</v>
      </c>
      <c r="B192" s="21"/>
      <c r="C192" s="21"/>
      <c r="D192" s="21"/>
      <c r="E192" s="21"/>
      <c r="F192" s="21"/>
      <c r="G192" s="21"/>
      <c r="H192" s="21"/>
      <c r="I192" s="21"/>
      <c r="J192" s="21">
        <f t="shared" si="39"/>
        <v>0</v>
      </c>
      <c r="K192" s="21">
        <f t="shared" si="39"/>
        <v>0</v>
      </c>
      <c r="L192" s="21">
        <f>+K192-J192</f>
        <v>0</v>
      </c>
      <c r="M192" s="23">
        <f>+J192/$J$194</f>
        <v>0</v>
      </c>
      <c r="N192" s="49"/>
    </row>
    <row r="193" spans="1:18" ht="15" collapsed="1" x14ac:dyDescent="0.25">
      <c r="A193" s="27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19"/>
    </row>
    <row r="194" spans="1:18" ht="15" x14ac:dyDescent="0.25">
      <c r="A194" s="27" t="s">
        <v>167</v>
      </c>
      <c r="B194" s="28">
        <f>+B39+B37</f>
        <v>1413929875.9982009</v>
      </c>
      <c r="C194" s="28">
        <f>+C37+C39</f>
        <v>710502034.8381052</v>
      </c>
      <c r="D194" s="28">
        <f>+D39+D37</f>
        <v>1262573403.5166333</v>
      </c>
      <c r="E194" s="28">
        <f>+E39+E37</f>
        <v>894636199.44797516</v>
      </c>
      <c r="F194" s="28">
        <f>+F39+F37</f>
        <v>2072443581.1797814</v>
      </c>
      <c r="G194" s="28">
        <f>+G37+G39+G188</f>
        <v>4212208577.7641144</v>
      </c>
      <c r="H194" s="28">
        <f>+B194+C194+D194+G194+E194+F194</f>
        <v>10566293672.74481</v>
      </c>
      <c r="I194" s="28">
        <f>+I190+I182+I37+I186</f>
        <v>1418793406.9290752</v>
      </c>
      <c r="J194" s="28">
        <f>+I194+H194</f>
        <v>11985087079.673885</v>
      </c>
      <c r="K194" s="28">
        <f>+K37+K39+K182+K186+K188+K190</f>
        <v>11156686631.81135</v>
      </c>
      <c r="L194" s="28">
        <f>+K194-J194</f>
        <v>-828400447.86253548</v>
      </c>
      <c r="M194" s="19">
        <f>+J194/$J$194</f>
        <v>1</v>
      </c>
    </row>
    <row r="195" spans="1:18" ht="15.75" thickBot="1" x14ac:dyDescent="0.3">
      <c r="A195" s="50"/>
      <c r="B195" s="51"/>
      <c r="C195" s="52"/>
      <c r="D195" s="52"/>
      <c r="E195" s="53"/>
      <c r="F195" s="52"/>
      <c r="G195" s="53"/>
      <c r="H195" s="52"/>
      <c r="I195" s="52"/>
      <c r="J195" s="52"/>
      <c r="K195" s="52"/>
      <c r="L195" s="52"/>
      <c r="M195" s="54"/>
      <c r="N195" s="55"/>
      <c r="O195" s="55"/>
      <c r="P195" s="55"/>
      <c r="Q195" s="55"/>
      <c r="R195" s="55"/>
    </row>
    <row r="196" spans="1:18" ht="13.5" thickTop="1" x14ac:dyDescent="0.2">
      <c r="A196" s="56"/>
      <c r="B196" s="57"/>
      <c r="C196" s="57"/>
      <c r="D196" s="57"/>
      <c r="E196" s="57"/>
      <c r="F196" s="57"/>
      <c r="G196" s="58"/>
      <c r="H196" s="59"/>
      <c r="I196" s="57"/>
      <c r="J196" s="57"/>
      <c r="K196" s="57"/>
      <c r="L196" s="57"/>
      <c r="M196" s="60"/>
    </row>
    <row r="197" spans="1:18" x14ac:dyDescent="0.2">
      <c r="A197" s="56"/>
      <c r="B197" s="57"/>
      <c r="C197" s="57"/>
      <c r="D197" s="57"/>
      <c r="E197" s="57"/>
      <c r="F197" s="57"/>
      <c r="G197" s="61"/>
      <c r="H197" s="57"/>
      <c r="I197" s="57"/>
      <c r="J197" s="62"/>
      <c r="K197" s="62"/>
      <c r="L197" s="62"/>
      <c r="M197" s="63"/>
    </row>
    <row r="198" spans="1:18" ht="15.75" hidden="1" outlineLevel="1" x14ac:dyDescent="0.25">
      <c r="A198" s="56"/>
      <c r="C198" s="59"/>
      <c r="D198" s="59"/>
      <c r="E198" s="59"/>
      <c r="F198" s="59"/>
      <c r="G198" s="64"/>
      <c r="H198" s="65" t="s">
        <v>168</v>
      </c>
      <c r="I198" s="65" t="s">
        <v>169</v>
      </c>
      <c r="J198" s="66" t="s">
        <v>170</v>
      </c>
      <c r="K198" s="66" t="s">
        <v>170</v>
      </c>
      <c r="L198" s="66" t="s">
        <v>170</v>
      </c>
      <c r="M198" s="59"/>
    </row>
    <row r="199" spans="1:18" ht="15.75" hidden="1" outlineLevel="1" x14ac:dyDescent="0.25">
      <c r="A199" s="67"/>
      <c r="B199" s="59"/>
      <c r="C199" s="59"/>
      <c r="D199" s="59"/>
      <c r="E199" s="59"/>
      <c r="F199" s="59"/>
      <c r="G199" s="64" t="s">
        <v>171</v>
      </c>
      <c r="H199" s="68">
        <f>+B194+C194+D194+F194+I37+I183+E194+I186</f>
        <v>7370986858.909771</v>
      </c>
      <c r="I199" s="69" t="e">
        <f>+'[1]Anexo 1'!#REF!</f>
        <v>#REF!</v>
      </c>
      <c r="J199" s="69" t="e">
        <f t="shared" ref="J199:L200" si="40">+I199-H199</f>
        <v>#REF!</v>
      </c>
      <c r="K199" s="69" t="e">
        <f t="shared" si="40"/>
        <v>#REF!</v>
      </c>
      <c r="L199" s="69" t="e">
        <f t="shared" si="40"/>
        <v>#REF!</v>
      </c>
      <c r="M199" s="59"/>
    </row>
    <row r="200" spans="1:18" ht="16.5" hidden="1" outlineLevel="1" thickBot="1" x14ac:dyDescent="0.3">
      <c r="A200" s="56"/>
      <c r="B200" s="59"/>
      <c r="C200" s="57"/>
      <c r="D200" s="70"/>
      <c r="E200" s="59"/>
      <c r="F200" s="59"/>
      <c r="G200" s="64" t="s">
        <v>172</v>
      </c>
      <c r="H200" s="71">
        <f>+G194+I184</f>
        <v>4614100220.7641144</v>
      </c>
      <c r="I200" s="72" t="e">
        <f>+'[1]Anexo 1'!#REF!</f>
        <v>#REF!</v>
      </c>
      <c r="J200" s="72" t="e">
        <f t="shared" si="40"/>
        <v>#REF!</v>
      </c>
      <c r="K200" s="72" t="e">
        <f t="shared" si="40"/>
        <v>#REF!</v>
      </c>
      <c r="L200" s="72" t="e">
        <f t="shared" si="40"/>
        <v>#REF!</v>
      </c>
      <c r="M200" s="59"/>
    </row>
    <row r="201" spans="1:18" ht="15.75" hidden="1" outlineLevel="1" x14ac:dyDescent="0.25">
      <c r="A201" s="56"/>
      <c r="B201" s="57"/>
      <c r="C201" s="57"/>
      <c r="D201" s="70"/>
      <c r="E201" s="59"/>
      <c r="F201" s="59"/>
      <c r="G201" s="64"/>
      <c r="H201" s="73">
        <f>+H199+H200</f>
        <v>11985087079.673885</v>
      </c>
      <c r="I201" s="74" t="e">
        <f>+I200+I199</f>
        <v>#REF!</v>
      </c>
      <c r="J201" s="74" t="e">
        <f>+J200+J199</f>
        <v>#REF!</v>
      </c>
      <c r="K201" s="74" t="e">
        <f>+K200+K199</f>
        <v>#REF!</v>
      </c>
      <c r="L201" s="74" t="e">
        <f>+L200+L199</f>
        <v>#REF!</v>
      </c>
      <c r="M201" s="59"/>
    </row>
    <row r="202" spans="1:18" ht="15.75" collapsed="1" x14ac:dyDescent="0.25">
      <c r="A202" s="56"/>
      <c r="B202" s="59"/>
      <c r="C202" s="59"/>
      <c r="D202" s="59"/>
      <c r="E202" s="59"/>
      <c r="F202" s="59"/>
      <c r="G202" s="64"/>
      <c r="H202" s="68"/>
      <c r="I202" s="64"/>
      <c r="J202" s="75"/>
      <c r="K202" s="75"/>
      <c r="L202" s="75"/>
      <c r="M202" s="59"/>
    </row>
    <row r="203" spans="1:18" x14ac:dyDescent="0.2">
      <c r="A203" s="59"/>
      <c r="B203" s="59"/>
      <c r="C203" s="59"/>
      <c r="D203" s="59"/>
      <c r="E203" s="59"/>
      <c r="F203" s="59"/>
      <c r="G203" s="59"/>
      <c r="H203" s="59"/>
      <c r="I203" s="59"/>
      <c r="J203" s="62"/>
      <c r="K203" s="62"/>
      <c r="L203" s="62"/>
      <c r="M203" s="59"/>
    </row>
    <row r="204" spans="1:18" x14ac:dyDescent="0.2">
      <c r="A204" s="59"/>
      <c r="B204" s="59"/>
      <c r="C204" s="59"/>
      <c r="D204" s="59"/>
      <c r="E204" s="59"/>
      <c r="F204" s="59"/>
      <c r="G204" s="57"/>
      <c r="H204" s="57"/>
      <c r="I204" s="57"/>
      <c r="J204" s="59"/>
      <c r="K204" s="59"/>
      <c r="L204" s="59"/>
      <c r="M204" s="59"/>
    </row>
    <row r="205" spans="1:18" x14ac:dyDescent="0.2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</row>
    <row r="206" spans="1:18" x14ac:dyDescent="0.2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</row>
    <row r="207" spans="1:18" x14ac:dyDescent="0.2">
      <c r="A207" s="59"/>
      <c r="B207" s="59"/>
      <c r="C207" s="59"/>
      <c r="D207" s="59"/>
      <c r="E207" s="59"/>
      <c r="F207" s="59"/>
      <c r="G207" s="59"/>
      <c r="H207" s="59"/>
      <c r="I207" s="70"/>
      <c r="J207" s="59"/>
      <c r="K207" s="59"/>
      <c r="L207" s="59"/>
      <c r="M207" s="59"/>
    </row>
    <row r="208" spans="1:18" x14ac:dyDescent="0.2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</row>
    <row r="209" spans="1:13" x14ac:dyDescent="0.2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</row>
    <row r="210" spans="1:13" x14ac:dyDescent="0.2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</row>
    <row r="211" spans="1:13" x14ac:dyDescent="0.2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</row>
    <row r="212" spans="1:13" x14ac:dyDescent="0.2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</row>
    <row r="213" spans="1:13" x14ac:dyDescent="0.2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</row>
    <row r="214" spans="1:13" x14ac:dyDescent="0.2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</row>
    <row r="215" spans="1:13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</row>
    <row r="216" spans="1:13" x14ac:dyDescent="0.2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</row>
    <row r="217" spans="1:13" x14ac:dyDescent="0.2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</row>
    <row r="218" spans="1:13" x14ac:dyDescent="0.2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</row>
    <row r="219" spans="1:13" x14ac:dyDescent="0.2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</row>
    <row r="220" spans="1:13" x14ac:dyDescent="0.2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</row>
    <row r="221" spans="1:13" x14ac:dyDescent="0.2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</row>
    <row r="222" spans="1:13" x14ac:dyDescent="0.2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</row>
    <row r="223" spans="1:13" x14ac:dyDescent="0.2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</row>
    <row r="224" spans="1:13" x14ac:dyDescent="0.2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</row>
    <row r="225" spans="1:13" x14ac:dyDescent="0.2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</row>
    <row r="226" spans="1:13" x14ac:dyDescent="0.2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</row>
    <row r="227" spans="1:13" x14ac:dyDescent="0.2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</row>
    <row r="228" spans="1:13" x14ac:dyDescent="0.2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</row>
    <row r="229" spans="1:13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</row>
    <row r="230" spans="1:13" x14ac:dyDescent="0.2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</row>
    <row r="231" spans="1:13" x14ac:dyDescent="0.2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</row>
    <row r="232" spans="1:13" x14ac:dyDescent="0.2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</row>
    <row r="233" spans="1:13" x14ac:dyDescent="0.2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</row>
    <row r="234" spans="1:13" x14ac:dyDescent="0.2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</row>
    <row r="235" spans="1:13" x14ac:dyDescent="0.2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</row>
    <row r="236" spans="1:13" x14ac:dyDescent="0.2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</row>
    <row r="237" spans="1:13" x14ac:dyDescent="0.2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</row>
    <row r="238" spans="1:13" x14ac:dyDescent="0.2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</row>
    <row r="239" spans="1:13" x14ac:dyDescent="0.2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</row>
    <row r="240" spans="1:13" x14ac:dyDescent="0.2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</row>
    <row r="241" spans="1:13" x14ac:dyDescent="0.2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</row>
    <row r="242" spans="1:13" x14ac:dyDescent="0.2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</row>
    <row r="243" spans="1:13" x14ac:dyDescent="0.2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</row>
    <row r="244" spans="1:13" x14ac:dyDescent="0.2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</row>
    <row r="245" spans="1:13" x14ac:dyDescent="0.2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</row>
    <row r="246" spans="1:13" x14ac:dyDescent="0.2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</row>
    <row r="247" spans="1:13" x14ac:dyDescent="0.2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</row>
    <row r="248" spans="1:13" x14ac:dyDescent="0.2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</row>
    <row r="249" spans="1:13" x14ac:dyDescent="0.2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</row>
    <row r="250" spans="1:13" x14ac:dyDescent="0.2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</row>
    <row r="251" spans="1:13" x14ac:dyDescent="0.2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</row>
    <row r="252" spans="1:13" x14ac:dyDescent="0.2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</row>
    <row r="253" spans="1:13" x14ac:dyDescent="0.2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</row>
    <row r="254" spans="1:13" x14ac:dyDescent="0.2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</row>
    <row r="255" spans="1:13" x14ac:dyDescent="0.2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</row>
    <row r="256" spans="1:13" x14ac:dyDescent="0.2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</row>
    <row r="257" spans="1:13" x14ac:dyDescent="0.2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</row>
    <row r="258" spans="1:13" x14ac:dyDescent="0.2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</row>
    <row r="259" spans="1:13" x14ac:dyDescent="0.2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</row>
    <row r="260" spans="1:13" x14ac:dyDescent="0.2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</row>
    <row r="261" spans="1:13" x14ac:dyDescent="0.2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</row>
    <row r="262" spans="1:13" x14ac:dyDescent="0.2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</row>
    <row r="263" spans="1:13" x14ac:dyDescent="0.2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</row>
    <row r="264" spans="1:13" x14ac:dyDescent="0.2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</row>
    <row r="265" spans="1:13" x14ac:dyDescent="0.2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</row>
    <row r="266" spans="1:13" x14ac:dyDescent="0.2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</row>
    <row r="267" spans="1:13" x14ac:dyDescent="0.2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</row>
    <row r="268" spans="1:13" x14ac:dyDescent="0.2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</row>
    <row r="269" spans="1:13" x14ac:dyDescent="0.2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</row>
    <row r="270" spans="1:13" x14ac:dyDescent="0.2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</row>
    <row r="271" spans="1:13" x14ac:dyDescent="0.2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</row>
    <row r="272" spans="1:13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</row>
    <row r="273" spans="1:13" x14ac:dyDescent="0.2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</row>
  </sheetData>
  <mergeCells count="4">
    <mergeCell ref="A1:M1"/>
    <mergeCell ref="A2:M2"/>
    <mergeCell ref="A3:M3"/>
    <mergeCell ref="A4:M4"/>
  </mergeCells>
  <printOptions horizontalCentered="1"/>
  <pageMargins left="0.39370078740157483" right="0.39370078740157483" top="0.39370078740157483" bottom="0.39370078740157483" header="0" footer="0"/>
  <pageSetup scale="38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2019-10-16T17:04:32Z</dcterms:created>
  <dcterms:modified xsi:type="dcterms:W3CDTF">2019-10-16T17:05:23Z</dcterms:modified>
</cp:coreProperties>
</file>