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555" windowWidth="4410" windowHeight="5070" activeTab="0"/>
  </bookViews>
  <sheets>
    <sheet name="INGRESOS" sheetId="1" r:id="rId1"/>
    <sheet name="Otros ingresos" sheetId="2" state="hidden" r:id="rId2"/>
    <sheet name="Anexo 2" sheetId="3" state="hidden" r:id="rId3"/>
    <sheet name="Funcionamiento" sheetId="4" state="hidden" r:id="rId4"/>
    <sheet name="Nómina y honorarios 2012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.IFERROR" hidden="1">#NAME?</definedName>
    <definedName name="ANEXO" hidden="1">'[9]Inversión total en programas'!$50:$50,'[9]Inversión total en programas'!$60:$63</definedName>
    <definedName name="_xlnm.Print_Area" localSheetId="2">'Anexo 2'!$A$1:$L$242</definedName>
    <definedName name="_xlnm.Print_Area" localSheetId="3">'Funcionamiento'!$A$1:$V$38</definedName>
    <definedName name="_xlnm.Print_Area" localSheetId="0">'INGRESOS'!$A$1:$E$39</definedName>
    <definedName name="_xlnm.Print_Area" localSheetId="4">'Nómina y honorarios 2012'!$A$1:$Z$124</definedName>
    <definedName name="_xlnm.Print_Area" localSheetId="1">'Otros ingresos'!$A$1:$E$25</definedName>
    <definedName name="ASISCALLCENTER" localSheetId="2">#REF!</definedName>
    <definedName name="ASISCALLCENTER">#REF!</definedName>
    <definedName name="ASISCONTABPPC" localSheetId="2">#REF!</definedName>
    <definedName name="ASISCONTABPPC">#REF!</definedName>
    <definedName name="ASISDESPACHOS" localSheetId="2">#REF!</definedName>
    <definedName name="ASISDESPACHOS">#REF!</definedName>
    <definedName name="ASISICA" localSheetId="2">#REF!</definedName>
    <definedName name="ASISICA">#REF!</definedName>
    <definedName name="AUXBODEGA" localSheetId="2">#REF!</definedName>
    <definedName name="AUXBODEGA">#REF!</definedName>
    <definedName name="cabezas">'[11]Anexo 1 Minagricultura'!#REF!</definedName>
    <definedName name="CABEZAS_PROYEC" localSheetId="2">'[6]Anexo 1 Minagricultura'!#REF!</definedName>
    <definedName name="CABEZAS_PROYEC">'INGRESOS'!#REF!</definedName>
    <definedName name="CUOTAPPC2005" localSheetId="2">'[6]Anexo 1 Minagricultura'!$B$15</definedName>
    <definedName name="CUOTAPPC2005">'INGRESOS'!#REF!</definedName>
    <definedName name="DIAG_PPC" localSheetId="2">'[6]Inversión total en programas'!$B$86</definedName>
    <definedName name="DIAG_PPC">#REF!</definedName>
    <definedName name="DISTRIBUIDOR" localSheetId="2">#REF!</definedName>
    <definedName name="DISTRIBUIDOR">#REF!</definedName>
    <definedName name="eeeee" localSheetId="2">#REF!</definedName>
    <definedName name="eeeee">#REF!</definedName>
    <definedName name="EPPC" localSheetId="2">'[6]Anexo 1 Minagricultura'!#REF!</definedName>
    <definedName name="EPPC">'INGRESOS'!#REF!</definedName>
    <definedName name="FDGFDG" localSheetId="2">#REF!</definedName>
    <definedName name="FDGFDG">#REF!</definedName>
    <definedName name="FECHA_DE_RECIBIDO">'[1]BASE'!$E$3:$E$177</definedName>
    <definedName name="FOMENTO" localSheetId="2">'[6]Anexo 1 Minagricultura'!#REF!</definedName>
    <definedName name="FOMENTO">'INGRESOS'!#REF!</definedName>
    <definedName name="FOMENTOS" localSheetId="2">'[13]Anexo 1 Minagricultura'!$C$51</definedName>
    <definedName name="FOMENTOS">'[2]Anexo 1 Minagricultura'!$C$51</definedName>
    <definedName name="fondo" localSheetId="2">#REF!</definedName>
    <definedName name="fondo">#REF!</definedName>
    <definedName name="GTOSEPPC" localSheetId="2">'[6]Inversión total en programas'!$C$35</definedName>
    <definedName name="GTOSEPPC">#REF!</definedName>
    <definedName name="HONORAUDI_JURIDIC" localSheetId="2">#REF!</definedName>
    <definedName name="HONORAUDI_JURIDIC">#REF!</definedName>
    <definedName name="HONTOTAL" localSheetId="2">#REF!</definedName>
    <definedName name="HONTOTAL">#REF!</definedName>
    <definedName name="LABORATORIOS" localSheetId="2">#REF!</definedName>
    <definedName name="LABORATORIOS">#REF!</definedName>
    <definedName name="NOMBDISTRI" localSheetId="2">#REF!</definedName>
    <definedName name="NOMBDISTRI">#REF!</definedName>
    <definedName name="ojo" localSheetId="2">#REF!</definedName>
    <definedName name="ojo">#REF!</definedName>
    <definedName name="ppc">'[3]Inversión total en programas'!$B$86</definedName>
    <definedName name="RESERV_FUTU" localSheetId="2">#REF!</definedName>
    <definedName name="RESERV_FUTU">#REF!</definedName>
    <definedName name="saldo" localSheetId="2">#REF!</definedName>
    <definedName name="saldo">#REF!</definedName>
    <definedName name="saldos" localSheetId="2">#REF!</definedName>
    <definedName name="saldos">#REF!</definedName>
    <definedName name="SUPERA2004" localSheetId="2">'[6]Anexo 1 Minagricultura'!#REF!</definedName>
    <definedName name="SUPERA2004">'INGRESOS'!#REF!</definedName>
    <definedName name="SUPERA2005" localSheetId="2">'[6]Anexo 1 Minagricultura'!#REF!</definedName>
    <definedName name="SUPERA2005">'INGRESOS'!#REF!</definedName>
    <definedName name="SUPERA2010">'[3]Anexo 1 Minagricultura'!$C$21</definedName>
    <definedName name="SUPERA2012">'[6]Anexo 1 Minagricultura'!#REF!</definedName>
    <definedName name="SUPERAVIT" localSheetId="2">#REF!</definedName>
    <definedName name="SUPERAVIT">#REF!</definedName>
    <definedName name="SUPERAVIT2005_FNP" localSheetId="2">#REF!</definedName>
    <definedName name="SUPERAVIT2005_FNP">#REF!</definedName>
    <definedName name="SUPERAVITPPC_2005" localSheetId="2">#REF!</definedName>
    <definedName name="SUPERAVITPPC_2005">#REF!</definedName>
    <definedName name="_xlnm.Print_Titles" localSheetId="2">'Anexo 2'!$1:$6</definedName>
    <definedName name="_xlnm.Print_Titles" localSheetId="3">'Funcionamiento'!$A:$A</definedName>
    <definedName name="_xlnm.Print_Titles" localSheetId="0">'INGRESOS'!$1:$5</definedName>
    <definedName name="_xlnm.Print_Titles" localSheetId="4">'Nómina y honorarios 2012'!$A:$A</definedName>
    <definedName name="VTAS2005" localSheetId="2">'[6]Anexo 1 Minagricultura'!$B$32</definedName>
    <definedName name="VTAS2005">'INGRESOS'!#REF!</definedName>
    <definedName name="xx" localSheetId="2">'[14]Ingresos'!$C$19</definedName>
    <definedName name="xx">'[4]Ingresos'!$C$19</definedName>
    <definedName name="Z_4099E833_BB74_4680_85C9_A6CF399D1CE2_.wvu.Cols" localSheetId="2" hidden="1">'[6]Nómina 2004'!$C:$E,'[6]Nómina 2004'!$H:$I,'[6]Nómina 2004'!$L:$P,'[6]Nómina 2004'!$AF:$AH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2" hidden="1">#REF!</definedName>
    <definedName name="Z_4099E833_BB74_4680_85C9_A6CF399D1CE2_.wvu.PrintArea" hidden="1">'INGRESOS'!$A$1:$A$39</definedName>
    <definedName name="Z_4099E833_BB74_4680_85C9_A6CF399D1CE2_.wvu.PrintTitles" hidden="1">#REF!</definedName>
    <definedName name="Z_4099E833_BB74_4680_85C9_A6CF399D1CE2_.wvu.Rows" localSheetId="2" hidden="1">'[6]Inversión total en programas'!$50:$50,'[6]Inversión total en programas'!$60:$63</definedName>
    <definedName name="Z_4099E833_BB74_4680_85C9_A6CF399D1CE2_.wvu.Rows" hidden="1">#REF!,#REF!</definedName>
  </definedNames>
  <calcPr fullCalcOnLoad="1"/>
</workbook>
</file>

<file path=xl/comments4.xml><?xml version="1.0" encoding="utf-8"?>
<comments xmlns="http://schemas.openxmlformats.org/spreadsheetml/2006/main">
  <authors>
    <author>Fondo Nal. de la Porcicultura</author>
    <author>martinezp</author>
    <author>Patricia Martinez</author>
    <author> </author>
  </authors>
  <commentList>
    <comment ref="P8" authorId="0">
      <text>
        <r>
          <rPr>
            <sz val="8"/>
            <rFont val="Tahoma"/>
            <family val="2"/>
          </rPr>
          <t>$17,600,000 son del área aconómica</t>
        </r>
      </text>
    </comment>
    <comment ref="P20" authorId="0">
      <text>
        <r>
          <rPr>
            <sz val="8"/>
            <rFont val="Tahoma"/>
            <family val="2"/>
          </rPr>
          <t>ECONÓMICA $42,800,000
MERCADEO $15,600,000</t>
        </r>
        <r>
          <rPr>
            <sz val="8"/>
            <rFont val="Tahoma"/>
            <family val="2"/>
          </rPr>
          <t xml:space="preserve">
PPC $110,000,000
FUNCIONAMIENTO $11,000,000</t>
        </r>
      </text>
    </comment>
    <comment ref="P22" authorId="0">
      <text>
        <r>
          <rPr>
            <sz val="8"/>
            <rFont val="Tahoma"/>
            <family val="2"/>
          </rPr>
          <t>FUNCIONAMIENTO $9,000,000
ECONÓMICA $ 23,130,000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PPC$30,000,000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sz val="8"/>
            <rFont val="Tahoma"/>
            <family val="2"/>
          </rPr>
          <t xml:space="preserve">ECONÓMICA $28,000,000
MERCADEO $8,000,000
PPC $28,000,000
FUNCIONAMIENTO $20,000,000
</t>
        </r>
      </text>
    </comment>
    <comment ref="P32" authorId="0">
      <text>
        <r>
          <rPr>
            <sz val="8"/>
            <rFont val="Tahoma"/>
            <family val="2"/>
          </rPr>
          <t xml:space="preserve">FUNCIONAMIENTO $48,000,000
PPC $45,000,000
</t>
        </r>
      </text>
    </comment>
    <comment ref="G28" authorId="1">
      <text>
        <r>
          <rPr>
            <sz val="8"/>
            <rFont val="Tahoma"/>
            <family val="2"/>
          </rPr>
          <t>valor de venta de chapetas y tenazas x el 9.66/1000, más gstos legales y poliza de transporte chapetas global</t>
        </r>
        <r>
          <rPr>
            <sz val="8"/>
            <rFont val="Tahoma"/>
            <family val="2"/>
          </rPr>
          <t xml:space="preserve">
</t>
        </r>
      </text>
    </comment>
    <comment ref="G32" authorId="1">
      <text>
        <r>
          <rPr>
            <sz val="8"/>
            <rFont val="Tahoma"/>
            <family val="2"/>
          </rPr>
          <t xml:space="preserve">$3.000.000 promedio de comisiones enero-agosto 2011
</t>
        </r>
      </text>
    </comment>
    <comment ref="I8" authorId="2">
      <text>
        <r>
          <rPr>
            <b/>
            <sz val="9"/>
            <rFont val="Tahoma"/>
            <family val="2"/>
          </rPr>
          <t>compra videbeam</t>
        </r>
        <r>
          <rPr>
            <sz val="9"/>
            <rFont val="Tahoma"/>
            <family val="2"/>
          </rPr>
          <t xml:space="preserve">
</t>
        </r>
      </text>
    </comment>
    <comment ref="I24" authorId="2">
      <text>
        <r>
          <rPr>
            <b/>
            <sz val="9"/>
            <rFont val="Tahoma"/>
            <family val="2"/>
          </rPr>
          <t>Costo correo, envio documentación y paquetes a diferentes entidades, productores, etc.</t>
        </r>
        <r>
          <rPr>
            <sz val="9"/>
            <rFont val="Tahoma"/>
            <family val="2"/>
          </rPr>
          <t xml:space="preserve">
</t>
        </r>
      </text>
    </comment>
    <comment ref="I26" authorId="2">
      <text>
        <r>
          <rPr>
            <b/>
            <sz val="9"/>
            <rFont val="Tahoma"/>
            <family val="2"/>
          </rPr>
          <t>Gastos locales; Ambientales (2), Sanitarias (6), Otras (4) por mes y promedio de $ 20.000 c/u.</t>
        </r>
        <r>
          <rPr>
            <sz val="9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9"/>
            <rFont val="Tahoma"/>
            <family val="2"/>
          </rPr>
          <t>Costo de polizas a firmar convenios, gastos de publicación en el diario oficial.</t>
        </r>
        <r>
          <rPr>
            <sz val="9"/>
            <rFont val="Tahoma"/>
            <family val="2"/>
          </rPr>
          <t xml:space="preserve">
</t>
        </r>
      </text>
    </comment>
    <comment ref="C21" authorId="3">
      <text>
        <r>
          <rPr>
            <b/>
            <sz val="8"/>
            <rFont val="Tahoma"/>
            <family val="2"/>
          </rPr>
          <t>solicitar en 3er trimestre</t>
        </r>
      </text>
    </comment>
  </commentList>
</comments>
</file>

<file path=xl/sharedStrings.xml><?xml version="1.0" encoding="utf-8"?>
<sst xmlns="http://schemas.openxmlformats.org/spreadsheetml/2006/main" count="589" uniqueCount="451">
  <si>
    <t>Prima legal</t>
  </si>
  <si>
    <t>Vacaciones</t>
  </si>
  <si>
    <t>Seguros y/o fondos privados</t>
  </si>
  <si>
    <t>Aportes ICBF y SENA</t>
  </si>
  <si>
    <t>Cesantías</t>
  </si>
  <si>
    <t>Intereses de cesantías</t>
  </si>
  <si>
    <t>Caja de compensación</t>
  </si>
  <si>
    <t>Administración del programa</t>
  </si>
  <si>
    <t>Fortalecimiento institucional</t>
  </si>
  <si>
    <t>Capacitación y divulgación</t>
  </si>
  <si>
    <t>COORDINADORES REGIONALES</t>
  </si>
  <si>
    <t>SUB-COORDINADORES REGIONALES ANTIOQUIA</t>
  </si>
  <si>
    <t>ASISTENTE ADMINISTRATIVO</t>
  </si>
  <si>
    <t>SUPERÁVIT VIGENCIAS ANTERIORES</t>
  </si>
  <si>
    <t>GASTOS DE FUNCIONAMIENTO</t>
  </si>
  <si>
    <t>TOTAL PROGRAMAS Y PROYECTOS</t>
  </si>
  <si>
    <t>ANEXO 1</t>
  </si>
  <si>
    <t>PRACTICANTES SENA</t>
  </si>
  <si>
    <t>JEFE DE CONTROL REGIONAL</t>
  </si>
  <si>
    <t>ECONÓMICA</t>
  </si>
  <si>
    <t>MERCADEO</t>
  </si>
  <si>
    <t>TÉCNICA</t>
  </si>
  <si>
    <t>MINISTERIO DE AGRICULTURA  Y DESARROLLO RURAL</t>
  </si>
  <si>
    <t>Honorarios</t>
  </si>
  <si>
    <t>GASTOS GENERALES</t>
  </si>
  <si>
    <t xml:space="preserve">Mantenimiento </t>
  </si>
  <si>
    <t>Arriendos</t>
  </si>
  <si>
    <t>Correo</t>
  </si>
  <si>
    <t>TOTAL PRESUPUESTO</t>
  </si>
  <si>
    <t>CUENTAS</t>
  </si>
  <si>
    <t>Transportes, fletes y acarreos</t>
  </si>
  <si>
    <t>Muebles, equipos de oficina y software</t>
  </si>
  <si>
    <t>Aseo, vigilancia y cafetería</t>
  </si>
  <si>
    <t>Materiales y suministros</t>
  </si>
  <si>
    <t>Servicios públicos</t>
  </si>
  <si>
    <t>Seguros, impuestos y gastos legales</t>
  </si>
  <si>
    <t>Gastos comisión de fomento</t>
  </si>
  <si>
    <t>Comisiones y gastos bancarios</t>
  </si>
  <si>
    <t>Cuota auditaje CGR</t>
  </si>
  <si>
    <t>DIRECCIÓN DE PLANEACIÓN Y SEGUIMIENTO PRESUPUESTAL</t>
  </si>
  <si>
    <t>MINISTERIO DE AGRICULTURA Y DESARROLLO RURAL</t>
  </si>
  <si>
    <t>FONDO NACIONAL DE LA PORCICULTURA</t>
  </si>
  <si>
    <t>TOTAL</t>
  </si>
  <si>
    <t>SERVICIOS GENERALES</t>
  </si>
  <si>
    <t>HONORARIOS</t>
  </si>
  <si>
    <t>ASISTENTE CONTABILIDAD PPC</t>
  </si>
  <si>
    <t>ASISTENTE DE RECAUDO</t>
  </si>
  <si>
    <t>CUOTA VIGENCIAS ANTERIORES</t>
  </si>
  <si>
    <t>Repuestos</t>
  </si>
  <si>
    <t>Aseo y cafetería</t>
  </si>
  <si>
    <t>Fotocopias</t>
  </si>
  <si>
    <t>Papelería</t>
  </si>
  <si>
    <t>Canon laser</t>
  </si>
  <si>
    <t>Teléfonos</t>
  </si>
  <si>
    <t>Celular</t>
  </si>
  <si>
    <t>Energía</t>
  </si>
  <si>
    <t>Acueducto</t>
  </si>
  <si>
    <t>Bodega</t>
  </si>
  <si>
    <t>Viajes</t>
  </si>
  <si>
    <t>Transporte Caja M.</t>
  </si>
  <si>
    <t>Acarreos</t>
  </si>
  <si>
    <t>Seguros</t>
  </si>
  <si>
    <t>Gastos Legales</t>
  </si>
  <si>
    <t>Pasajes</t>
  </si>
  <si>
    <t>Gastos</t>
  </si>
  <si>
    <t>TOTAL GASTOS GENERALES</t>
  </si>
  <si>
    <t>Rendimientos Financieros FNP</t>
  </si>
  <si>
    <t>Rendimientos Financieros PPC</t>
  </si>
  <si>
    <t>Extraordinarios FNP</t>
  </si>
  <si>
    <t>Financieros FNP</t>
  </si>
  <si>
    <t>Financieros PPC</t>
  </si>
  <si>
    <t xml:space="preserve">     Publicidad</t>
  </si>
  <si>
    <t xml:space="preserve">     Compra de materiales y dotaciones</t>
  </si>
  <si>
    <t>Venta de publicaciones y videos de capacitación</t>
  </si>
  <si>
    <t xml:space="preserve">     Pago de auxilios de frío, flete y movilizaciones</t>
  </si>
  <si>
    <t>Regionalización</t>
  </si>
  <si>
    <t>Administración de la base de datos</t>
  </si>
  <si>
    <t>Sistemas de información de mercados</t>
  </si>
  <si>
    <t xml:space="preserve">   Divulgación</t>
  </si>
  <si>
    <t xml:space="preserve">   Capacitación</t>
  </si>
  <si>
    <t>CONTRATACIÓN LABORAL</t>
  </si>
  <si>
    <t xml:space="preserve">SEGUROS Y/O FONDOS PRIVADOS </t>
  </si>
  <si>
    <t>ICBF Y SENA ANUAL</t>
  </si>
  <si>
    <t>No.</t>
  </si>
  <si>
    <t>SALARIO BASE</t>
  </si>
  <si>
    <t xml:space="preserve">SUBSIDIO DE TRANSPORTE </t>
  </si>
  <si>
    <t>VALOR TOTAL A DEVENGAR MENSUAL</t>
  </si>
  <si>
    <t>RIESGOS PROFESIONALES 0,522%</t>
  </si>
  <si>
    <t>ICBF 3%</t>
  </si>
  <si>
    <t>SENA 2%</t>
  </si>
  <si>
    <t>ÁREA DE FUNCIONAMIENTO</t>
  </si>
  <si>
    <t>ÁREA PPC</t>
  </si>
  <si>
    <t>VALOR TOTAL DE LA NÓMINA</t>
  </si>
  <si>
    <t>PERSONAS</t>
  </si>
  <si>
    <t>CANTIDAD DOTACIONES/AÑO</t>
  </si>
  <si>
    <t>Fortalecimiento al recaudo</t>
  </si>
  <si>
    <t>AUDITORIA</t>
  </si>
  <si>
    <t>SALARIO INTEGRAL</t>
  </si>
  <si>
    <t>VALOR MENSUAL</t>
  </si>
  <si>
    <t>DIRECTOR</t>
  </si>
  <si>
    <t>PRESUPUESTO</t>
  </si>
  <si>
    <t>CUOTA DE ADMINISTRACIÓN</t>
  </si>
  <si>
    <t>INGRESOS OPERACIONALES</t>
  </si>
  <si>
    <t>Cuota de Fomento</t>
  </si>
  <si>
    <t>Cuota de Erradicación Peste Porcina Clásica</t>
  </si>
  <si>
    <t>INGRESOS NO OPERACIONALES</t>
  </si>
  <si>
    <t>INGRESOS FINANCIEROS</t>
  </si>
  <si>
    <t>OTROS INGRESOS</t>
  </si>
  <si>
    <t>Ventas Programa PPC</t>
  </si>
  <si>
    <t>TOTAL INGRESOS</t>
  </si>
  <si>
    <t>Investigación</t>
  </si>
  <si>
    <t>Muebles,  equipos  de oficina y software</t>
  </si>
  <si>
    <t>Impresos y publicaciones</t>
  </si>
  <si>
    <t>FUNCIONAMIENTO</t>
  </si>
  <si>
    <t xml:space="preserve">Capacitación </t>
  </si>
  <si>
    <t xml:space="preserve">RESERVA FUTURAS INVERSIONES Y GASTOS </t>
  </si>
  <si>
    <t>Servicios de personal</t>
  </si>
  <si>
    <t>PPC</t>
  </si>
  <si>
    <t>SUBTOTAL GASTOS PERSONAL</t>
  </si>
  <si>
    <t>SUBTOTAL GASTOS GENERALES</t>
  </si>
  <si>
    <t>TOTAL FUNCIONAMIENTO</t>
  </si>
  <si>
    <t>GRAN TOTAL</t>
  </si>
  <si>
    <t>PROGRAMAS ECONÓMICA</t>
  </si>
  <si>
    <t>PROGRAMAS TÉCNICA</t>
  </si>
  <si>
    <t>PROGRAMAS MERCADEO</t>
  </si>
  <si>
    <t>TOTAL INVERSIÓN</t>
  </si>
  <si>
    <t>GASTOS DE PERSONAL</t>
  </si>
  <si>
    <t xml:space="preserve">Dotación y suministro </t>
  </si>
  <si>
    <t>PROGRAMA PPC</t>
  </si>
  <si>
    <t>Sueldos</t>
  </si>
  <si>
    <t>SALUD 8,5%</t>
  </si>
  <si>
    <t>Item</t>
  </si>
  <si>
    <t>Programas y proyectos FNP</t>
  </si>
  <si>
    <t>Gastos de viaje</t>
  </si>
  <si>
    <t>Renovación Legis</t>
  </si>
  <si>
    <t>Impresos varios</t>
  </si>
  <si>
    <t>JEFE DE FORTALECIMIENTO AL RECAUDO</t>
  </si>
  <si>
    <t>COORDINADORES RECAUDO</t>
  </si>
  <si>
    <t>Hospedaje</t>
  </si>
  <si>
    <t>Alimentación</t>
  </si>
  <si>
    <t>Equipos</t>
  </si>
  <si>
    <t>Asoporcicultores</t>
  </si>
  <si>
    <t>TOTAL PPC</t>
  </si>
  <si>
    <t>TOTAL ECONÓMICA</t>
  </si>
  <si>
    <t>TOTAL TÉCNICA</t>
  </si>
  <si>
    <t>TOTAL MERCADEO</t>
  </si>
  <si>
    <t>COORDINADOR DE INFORMACIÓN</t>
  </si>
  <si>
    <t>COORDINADOR DE SANIDAD</t>
  </si>
  <si>
    <t>INICIO</t>
  </si>
  <si>
    <t>FINAL</t>
  </si>
  <si>
    <t>DÍAS</t>
  </si>
  <si>
    <t xml:space="preserve">     Talleres de formación PPC</t>
  </si>
  <si>
    <t xml:space="preserve">     Asesoría internacional</t>
  </si>
  <si>
    <t>Ciclos de vacunación</t>
  </si>
  <si>
    <t>Centro de servicios técnicos y financieros</t>
  </si>
  <si>
    <t>COMSAC</t>
  </si>
  <si>
    <t>Participación en negociaciones</t>
  </si>
  <si>
    <t>EXÁMENES INGRESO-SALIDA</t>
  </si>
  <si>
    <t>COORDINADOR  DE PUBLICIDAD</t>
  </si>
  <si>
    <t xml:space="preserve">CUOTA DE FOMENTO PORCÍCOLA </t>
  </si>
  <si>
    <t>Programas y proyectos PPC</t>
  </si>
  <si>
    <t>Ingresos tarifas Centro de Servicios Técnicos y Financieros</t>
  </si>
  <si>
    <t>Herramientas del Centro de servicios</t>
  </si>
  <si>
    <t>Asesorías a pequeños productores</t>
  </si>
  <si>
    <t>Asesorías a medianos y grandes productores y grupos</t>
  </si>
  <si>
    <t>Actualización de información</t>
  </si>
  <si>
    <t>Auxilios de movilización de los coordinadores de recaudo</t>
  </si>
  <si>
    <t>Recolección de desechos biológicos</t>
  </si>
  <si>
    <t>Cuota de fomento porcícola</t>
  </si>
  <si>
    <t>Cuota de erradicación Peste Porcina Clásica</t>
  </si>
  <si>
    <t>Integra Seguridad</t>
  </si>
  <si>
    <t>JEFE DE GESTIÓN AMBIENTAL</t>
  </si>
  <si>
    <t>TOTAL NÓMINA DE PROGRAMAS</t>
  </si>
  <si>
    <t>DOTACIÓN</t>
  </si>
  <si>
    <t>VR. DOTACIÓN</t>
  </si>
  <si>
    <t>CAJA DE COMPENSACIÓN  4%</t>
  </si>
  <si>
    <t>PERFIL</t>
  </si>
  <si>
    <t>PROFESIONAL GRADO 1</t>
  </si>
  <si>
    <t>ASISTENTE 1</t>
  </si>
  <si>
    <t>AUXILIAR 1</t>
  </si>
  <si>
    <t>PRACTICANTE SENA</t>
  </si>
  <si>
    <t>JEFE DE PROGRAMA</t>
  </si>
  <si>
    <t>PROFESIONAL GRADO 2</t>
  </si>
  <si>
    <t>COORDINADOR REGIONAL</t>
  </si>
  <si>
    <t>DIRECTOR DE PROGRAMA</t>
  </si>
  <si>
    <t>COORDINADOR DE PROGRAMA</t>
  </si>
  <si>
    <t>SUBCOORDINADOR REGIONAL</t>
  </si>
  <si>
    <t>ASISTENTE 2</t>
  </si>
  <si>
    <t>PROFESIONAL GRADO 1  PRESUPUESTO</t>
  </si>
  <si>
    <t>PENSIÓN 12%</t>
  </si>
  <si>
    <t xml:space="preserve">     Brigadas</t>
  </si>
  <si>
    <t xml:space="preserve">     Compra de biológico, chapetas y tenazas</t>
  </si>
  <si>
    <t xml:space="preserve">TOTAL GASTOS </t>
  </si>
  <si>
    <t>JEFE DE CONTROL DE PROYECTOS</t>
  </si>
  <si>
    <t>IPC APROX.</t>
  </si>
  <si>
    <t>Cuota Auditaje</t>
  </si>
  <si>
    <t>Alquiler de equipos visita</t>
  </si>
  <si>
    <t>fotocopias</t>
  </si>
  <si>
    <t>INGRESOS EXTRAORDINARIOS FNP</t>
  </si>
  <si>
    <t>Impuestos</t>
  </si>
  <si>
    <t>Crecimiento Salario mínimo</t>
  </si>
  <si>
    <t>Incremento General</t>
  </si>
  <si>
    <t>Salario mínimo</t>
  </si>
  <si>
    <t xml:space="preserve">ASISTENTE DE CONTABILIDAD </t>
  </si>
  <si>
    <t>ASISTENTE DE PEDIDOS Y DESPACHOS</t>
  </si>
  <si>
    <t>Contratación de personal</t>
  </si>
  <si>
    <t>Campaña de fomento al consumo</t>
  </si>
  <si>
    <t>Divulgación sectorial</t>
  </si>
  <si>
    <t>DIGITADOR-CODIFICADOR</t>
  </si>
  <si>
    <t>DIGITADOR -CODIFICADOR</t>
  </si>
  <si>
    <t xml:space="preserve">DIRECTOR </t>
  </si>
  <si>
    <t>PROFESIONAL GRADO 2 PROYECTO IAT</t>
  </si>
  <si>
    <t>ASISTENTE ADMINISTRATIVO PROYECTO IAT</t>
  </si>
  <si>
    <t>SUPERVISOR PROYECTO IAT</t>
  </si>
  <si>
    <t>SUPERVISOR</t>
  </si>
  <si>
    <t>ANEXO 2</t>
  </si>
  <si>
    <t>ÁREA ECONÓMICA</t>
  </si>
  <si>
    <t>Aux. Transporte</t>
  </si>
  <si>
    <t>INGRESOS PROGRAMAS Y PROYECTOS FNP</t>
  </si>
  <si>
    <t>TOTAL EXTRAORDINARIOS FNP</t>
  </si>
  <si>
    <t>TOTAL  PROGRAMAS Y PROYECTOS FNP</t>
  </si>
  <si>
    <t>Cocolsi</t>
  </si>
  <si>
    <t>Heinsonh</t>
  </si>
  <si>
    <t>Licencias antivirus</t>
  </si>
  <si>
    <t xml:space="preserve">  Monitoreo de Medios</t>
  </si>
  <si>
    <t>PROYECTO IAT 1</t>
  </si>
  <si>
    <t xml:space="preserve">Cadena porcícola </t>
  </si>
  <si>
    <t>Seguimiento recaudo regional</t>
  </si>
  <si>
    <t>PROFESIONAL GRADO 1 ECONÓMICO</t>
  </si>
  <si>
    <t>PROFESIONAL GRADO 1 CRM</t>
  </si>
  <si>
    <t>JEFE DE ANÁLISIS EPIDEMIOLÓGICO</t>
  </si>
  <si>
    <t>COORDINADOR ASISTENCIA TÉCNICA</t>
  </si>
  <si>
    <t>COORDINADOR CENTRO DE  SERVICIOS</t>
  </si>
  <si>
    <t>AUXILIAR DE DESPACHOS</t>
  </si>
  <si>
    <t>AUXILIAR 2</t>
  </si>
  <si>
    <t>AÑO 2.011</t>
  </si>
  <si>
    <t xml:space="preserve">PROFESIONAL GRADO 2 </t>
  </si>
  <si>
    <t xml:space="preserve">     Reunión anual</t>
  </si>
  <si>
    <t>Determinación de factores de riesgo</t>
  </si>
  <si>
    <t xml:space="preserve">Auxilios de comités de ganaderos </t>
  </si>
  <si>
    <t xml:space="preserve">  Asesores técnicos en calidad</t>
  </si>
  <si>
    <t>Comisión de Sacrificio - Trabajo con autoridades</t>
  </si>
  <si>
    <t>% 12/11</t>
  </si>
  <si>
    <t>Heinsonh licencia</t>
  </si>
  <si>
    <t>Deprisa</t>
  </si>
  <si>
    <t xml:space="preserve">Rivercom </t>
  </si>
  <si>
    <t>Intereses de mora recaudadores</t>
  </si>
  <si>
    <t>FORTALECER LA INSTITUCIONALIDAD SECTORIAL</t>
  </si>
  <si>
    <t>PROMOVER EL CONSUMO DE CARNE DE CERDO COLOMBIANA</t>
  </si>
  <si>
    <t xml:space="preserve">  Home Panel Nielsen</t>
  </si>
  <si>
    <t xml:space="preserve">  Brand Equity and Tracking</t>
  </si>
  <si>
    <t xml:space="preserve">  Eye Tracking</t>
  </si>
  <si>
    <t xml:space="preserve">  Nutricionistas</t>
  </si>
  <si>
    <t xml:space="preserve">  Eventos Feriales</t>
  </si>
  <si>
    <t xml:space="preserve">  Capacitación anual contratistas</t>
  </si>
  <si>
    <t xml:space="preserve">  Campaña de publicidad</t>
  </si>
  <si>
    <t xml:space="preserve">  CRM</t>
  </si>
  <si>
    <t xml:space="preserve">  Ferias de la Carne de Cerdo</t>
  </si>
  <si>
    <t xml:space="preserve">  Pauta institucional</t>
  </si>
  <si>
    <t>FORTALECER EL ESTATUS SANITARIO Y LA PRODUCCIÓN SOSTENIBLE DEL SECTOR PORCICOLA</t>
  </si>
  <si>
    <t>FORTALECER LA GESTIÓN EMPRESARIAL E INTEGRACIÓN DE LA CADENA CARNICA PORCICOLA</t>
  </si>
  <si>
    <t>PROMOVER EL ASEGURAMIENTO DE LA CALIDAD DE LA CADENA CÁRNICA PORCINA</t>
  </si>
  <si>
    <t>Sello de respaldo</t>
  </si>
  <si>
    <t xml:space="preserve">  Afiliación ICONTEC</t>
  </si>
  <si>
    <t xml:space="preserve">  Asesoría internacional en calidad</t>
  </si>
  <si>
    <t>FORTALECER LOS SISTEMAS DE INFORMACIÓN Y GESTIONAR INTELIGENCIA DE MERCADOS</t>
  </si>
  <si>
    <t>FORTALECER EL BENEFICIO FORMAL</t>
  </si>
  <si>
    <t>GESTIONAR LA INVESTIGACIÓN Y DESARROLLO DE LA CADENA</t>
  </si>
  <si>
    <t xml:space="preserve">Convenios con laboratorios privados  y oficiales registrados ante el ICA </t>
  </si>
  <si>
    <t>Programa Nacional de Mejoramiento del Estatus Sanitario</t>
  </si>
  <si>
    <t>Aseguramiento de la calidad en gestión primaria</t>
  </si>
  <si>
    <t>ÁREA MERCADEO</t>
  </si>
  <si>
    <t>ÁREA TÉCNICA</t>
  </si>
  <si>
    <t xml:space="preserve">  Concurso sabor innovador</t>
  </si>
  <si>
    <t xml:space="preserve">    Desarrollo Sistema Unificado y Estandarizado de Desposte, Cortes y Empaques </t>
  </si>
  <si>
    <t xml:space="preserve">    Diplomado en alta gerencia de empresas porcícolas</t>
  </si>
  <si>
    <t xml:space="preserve">    Talleres para Chefs e instructores SENA</t>
  </si>
  <si>
    <t xml:space="preserve">    Diseño plan de negocios granja demostrativa SENA</t>
  </si>
  <si>
    <t xml:space="preserve">    Seminario Internacional</t>
  </si>
  <si>
    <t xml:space="preserve">    Talleres "Cómo vender más carne de cerdo"</t>
  </si>
  <si>
    <t xml:space="preserve">    Jornadas técnicas a porcicultores</t>
  </si>
  <si>
    <t>TOTAL INVESTIGACIÓN</t>
  </si>
  <si>
    <t>ÁREA INVESTIGACIÒN</t>
  </si>
  <si>
    <t xml:space="preserve">  Eventos institucionales</t>
  </si>
  <si>
    <t xml:space="preserve">  Kit publicitario</t>
  </si>
  <si>
    <t xml:space="preserve">    Acompañamiento ambiental</t>
  </si>
  <si>
    <t xml:space="preserve">    Planes operativos convenios CAR`s</t>
  </si>
  <si>
    <t>TRANSFERENCIA</t>
  </si>
  <si>
    <t>incremento ingresos</t>
  </si>
  <si>
    <t xml:space="preserve">    Material de Apoyo</t>
  </si>
  <si>
    <t>SUPERVISOR CONTROL PRESUPUESTAL</t>
  </si>
  <si>
    <t>SUPERVISOR TESORERIA</t>
  </si>
  <si>
    <t>PROFESIONAL GRADO 1  TESORERIA</t>
  </si>
  <si>
    <t>COBRO JURIDICO</t>
  </si>
  <si>
    <t xml:space="preserve">  Cuota de administración FNP</t>
  </si>
  <si>
    <t xml:space="preserve">  Cuota de administración PPC</t>
  </si>
  <si>
    <t xml:space="preserve">Monitoreo Precios de la Carne al Consumidor </t>
  </si>
  <si>
    <t>Jornadas de trabajo coordinadores</t>
  </si>
  <si>
    <t>Vigilancia epidemiológica</t>
  </si>
  <si>
    <t>INVESTIGACIÓN Y DESARROLLO</t>
  </si>
  <si>
    <t>TRANSFERENCIA DE TECNOLOGÍA</t>
  </si>
  <si>
    <t>Diagnóstico Rutinario</t>
  </si>
  <si>
    <t>Vigilancia de campo</t>
  </si>
  <si>
    <t>Equipos comunicación puestos control</t>
  </si>
  <si>
    <t>Depuración, verificación y codificación de predios</t>
  </si>
  <si>
    <t>Asesorías normatividad</t>
  </si>
  <si>
    <t>ERRADICACIÓN DE PPC</t>
  </si>
  <si>
    <t>Fondo de emergencia</t>
  </si>
  <si>
    <t>MEJORAMIENTO DEL ESTATUS SANITARIO</t>
  </si>
  <si>
    <t>Investigación de mercados</t>
  </si>
  <si>
    <t>PROGRAMAS INVESTIGACIÓN Y TRANSFERENCIA DE TÉCNOLOGÍA</t>
  </si>
  <si>
    <t xml:space="preserve">Convenio SENA </t>
  </si>
  <si>
    <t>Talleres y seminarios</t>
  </si>
  <si>
    <t>INVESTIGACIÒN Y TRANSFERENCIA</t>
  </si>
  <si>
    <t>Sensibilización de las bondades gastronómicas</t>
  </si>
  <si>
    <t>SOLICITADO</t>
  </si>
  <si>
    <t>SUELDO TRIMESTRAL</t>
  </si>
  <si>
    <t>VALOR TRIMESTRE 2011</t>
  </si>
  <si>
    <t>CAJA DE COMPENSACIÓN TRIMESTRE</t>
  </si>
  <si>
    <t>SEGUROS Y/O FONDOS PRIVADOS TRIMESTRE</t>
  </si>
  <si>
    <t>VAC. TRIMESTRE</t>
  </si>
  <si>
    <t>PRIMA LEGAL TRIMESTRE</t>
  </si>
  <si>
    <t>INT./CES. TRIMESTRE (12%)</t>
  </si>
  <si>
    <t>CESANTÍAS TRIMESTRE</t>
  </si>
  <si>
    <t>%</t>
  </si>
  <si>
    <t>COORDINADOR DE CALIDAD E INNOVACIÓN</t>
  </si>
  <si>
    <t>Fortalecimiento de la infraestructura de beneficio</t>
  </si>
  <si>
    <t>Promoción de exportaciones</t>
  </si>
  <si>
    <t>Evaluación condición  de Aujeszky en el país</t>
  </si>
  <si>
    <t>Control y monitoreo para la enfermedad de PRRS en granjas de Colombia</t>
  </si>
  <si>
    <t>Sistema de medición y pago por calidad</t>
  </si>
  <si>
    <t xml:space="preserve">  Asesor técnico</t>
  </si>
  <si>
    <t xml:space="preserve">  Toma mediciones grasa dorsal pilotos</t>
  </si>
  <si>
    <t>GASTO FNP</t>
  </si>
  <si>
    <t>INGRESOS FNP</t>
  </si>
  <si>
    <t>INGRESOS PPC</t>
  </si>
  <si>
    <t>GASTOS PPC</t>
  </si>
  <si>
    <t>TOTAL TRIMESTRE</t>
  </si>
  <si>
    <t>JULIO A SEPTIEMBRE AÑO 2.012</t>
  </si>
  <si>
    <t>PRESUP GRADO 1</t>
  </si>
  <si>
    <t>JULIO A SEPTIEMBRE DE 2012</t>
  </si>
  <si>
    <t>TOTAL EJECUTADO</t>
  </si>
  <si>
    <t>EJECUTADO</t>
  </si>
  <si>
    <t>EJECUCIÓN</t>
  </si>
  <si>
    <t>ENERO - MARZO  2013</t>
  </si>
  <si>
    <t>ACUERDO 04/13</t>
  </si>
  <si>
    <t xml:space="preserve">  Impacto en Salud Humana II (Alérgenos)</t>
  </si>
  <si>
    <t xml:space="preserve">  Estudio para Desarrollar la marca Carne de Cerdo Colombiana.</t>
  </si>
  <si>
    <t xml:space="preserve">  Estudio LSDA</t>
  </si>
  <si>
    <t xml:space="preserve">  Asesores Gastronómicos</t>
  </si>
  <si>
    <t xml:space="preserve">  Actividades Día saludable</t>
  </si>
  <si>
    <t xml:space="preserve">  Viajes regionales equipo día saludable</t>
  </si>
  <si>
    <t>Incentivo al consumo de la carne de cerdo en el canal institucional ( horeca)</t>
  </si>
  <si>
    <t xml:space="preserve">  Seguimiento gestión HORECA </t>
  </si>
  <si>
    <t xml:space="preserve">  Seguimiento e implementación otras ciudades</t>
  </si>
  <si>
    <t xml:space="preserve">  Material Publicitario, Promoción y Divulgación</t>
  </si>
  <si>
    <t xml:space="preserve">  Desarrollo nuevas recetas</t>
  </si>
  <si>
    <t xml:space="preserve">  Consultoria MESA</t>
  </si>
  <si>
    <t>Campaña Digital</t>
  </si>
  <si>
    <t xml:space="preserve">  Me encanta la canta de cerdo.com</t>
  </si>
  <si>
    <t xml:space="preserve">  Club Gourmet de la Carne de Cerdo</t>
  </si>
  <si>
    <t xml:space="preserve">  Agroexpo</t>
  </si>
  <si>
    <t>Puertos Aeropuertos y Pagos Fronterizos</t>
  </si>
  <si>
    <t>Logística barridos</t>
  </si>
  <si>
    <t xml:space="preserve">  Vigilancia epidemiológica activa </t>
  </si>
  <si>
    <t xml:space="preserve">  Coordinación Nacional del Programa</t>
  </si>
  <si>
    <t xml:space="preserve">  Sensibilización y socialización resultados Enfermedad de PRRS</t>
  </si>
  <si>
    <t xml:space="preserve">  Determinar la prevalencia de PRRS, Fase II</t>
  </si>
  <si>
    <t xml:space="preserve">  Aislamiento y caracterización filogenéticamente de las cepas virales </t>
  </si>
  <si>
    <t xml:space="preserve">  Evaluación de la dinámica viral y clasificación de granjas (Zona piloto)</t>
  </si>
  <si>
    <t xml:space="preserve">  Factores de riesgo y características epidemiológicas de la enfermedad dentro y entre granja</t>
  </si>
  <si>
    <t xml:space="preserve">  Consolidar un sistema de vigilancia epidemiológica de la enfermedad entre productores, gremio y el sector oficial</t>
  </si>
  <si>
    <t xml:space="preserve">  Subsidio de diagnóstico PRRS</t>
  </si>
  <si>
    <t xml:space="preserve">  Simposio Internacional de PRRS</t>
  </si>
  <si>
    <t xml:space="preserve">  Convenio de diagnóstico rutinario con laboratorios oficiales</t>
  </si>
  <si>
    <t xml:space="preserve">  Convenio de diagnóstico rutinario con laboratorio privados</t>
  </si>
  <si>
    <t>Seguimiento y acompañamiento aplicación de protocolos</t>
  </si>
  <si>
    <t xml:space="preserve">  Servicio de diagnóstico</t>
  </si>
  <si>
    <t xml:space="preserve">  Visitas de seguimiento</t>
  </si>
  <si>
    <t xml:space="preserve">  Evaluación periódica de bioseguridad y sanidad</t>
  </si>
  <si>
    <t xml:space="preserve">  Jornada de campo en sanidad y producción</t>
  </si>
  <si>
    <t xml:space="preserve">  Diagnóstico de laboratorio PNMES</t>
  </si>
  <si>
    <t xml:space="preserve">  Reportes One Click y Benchmarking</t>
  </si>
  <si>
    <t xml:space="preserve">  Reconocimiento a granjas categorizadas, medios regionales</t>
  </si>
  <si>
    <t>Fenómenos Climáticos</t>
  </si>
  <si>
    <t xml:space="preserve">Programa IAT </t>
  </si>
  <si>
    <t xml:space="preserve">  Contrapartida MADR</t>
  </si>
  <si>
    <t xml:space="preserve">  Contrapartida FNP </t>
  </si>
  <si>
    <t>Asistencia a productores</t>
  </si>
  <si>
    <t>Convenios con las Gobernaciones</t>
  </si>
  <si>
    <t>Contrapartidas Gobernaciones</t>
  </si>
  <si>
    <t>Contrapartida Gobernación Cundinamarca</t>
  </si>
  <si>
    <t>Contrapartida Gobernación Antioquia</t>
  </si>
  <si>
    <t>Contrapartida Gobernación Valle</t>
  </si>
  <si>
    <t>Contrapartida Gobernación Meta</t>
  </si>
  <si>
    <t>Contrapartida Gobernación Sucre</t>
  </si>
  <si>
    <t>Contrapartida Gobernación Córdoba</t>
  </si>
  <si>
    <t>Contrapartidas FNP</t>
  </si>
  <si>
    <t>Seguimiento a Convenios</t>
  </si>
  <si>
    <t>Gestión ambiental en producción primaria</t>
  </si>
  <si>
    <t xml:space="preserve">    Capacitación equipo de trabajo</t>
  </si>
  <si>
    <t xml:space="preserve">    Guía Ambiental</t>
  </si>
  <si>
    <t>Diseño Sistema de Certificación BPP</t>
  </si>
  <si>
    <t xml:space="preserve">  Otras asesorías BPM Sello de Respaldo</t>
  </si>
  <si>
    <t>Aseguramiento de la calidad en la cadena de transformación (HACPP-BPM)</t>
  </si>
  <si>
    <t xml:space="preserve">  Asesorías BPM y HACCP</t>
  </si>
  <si>
    <t xml:space="preserve">  Norma de medición</t>
  </si>
  <si>
    <t xml:space="preserve">  Jornadas técnicas y capacitación</t>
  </si>
  <si>
    <t>Estrategias en diferenciación</t>
  </si>
  <si>
    <t xml:space="preserve">  Consultoría nacional</t>
  </si>
  <si>
    <t xml:space="preserve">  Pilotos Etapa de Transformación</t>
  </si>
  <si>
    <t xml:space="preserve">  Registro logo</t>
  </si>
  <si>
    <t>Informes de los mercados internacionales de Carne (Gira)</t>
  </si>
  <si>
    <t>Visitas Técnicas</t>
  </si>
  <si>
    <t xml:space="preserve">Evaluación de Infraestructura existente </t>
  </si>
  <si>
    <t>Prefactibilidad de proyectos de plantas de beneficio</t>
  </si>
  <si>
    <t>Apoyo Proyectos de Plantas (Cuarto Frio)</t>
  </si>
  <si>
    <t xml:space="preserve">    Proyectos</t>
  </si>
  <si>
    <t xml:space="preserve">    Capacitación anual</t>
  </si>
  <si>
    <t xml:space="preserve">    Jornadas de divulgación resultados de investigación</t>
  </si>
  <si>
    <t xml:space="preserve">    Capacitación en desposte de carne de cerdo</t>
  </si>
  <si>
    <t>ACUERDO 4/13</t>
  </si>
  <si>
    <t>NOTA</t>
  </si>
  <si>
    <t>OTROS INGRESOS VIGENCIA  2.013</t>
  </si>
  <si>
    <t>DIFERENCIA</t>
  </si>
  <si>
    <t>Feria de la carne de cerdo</t>
  </si>
  <si>
    <t>CAR (Técnica)</t>
  </si>
  <si>
    <t>Convenio de diagnostico rutinario con laboratorios oficiales(Técnica)</t>
  </si>
  <si>
    <t>Carta 3 -Seguimiento y acompañamiento aplicación de protocolos(Técnica)</t>
  </si>
  <si>
    <t>Diagnostico de laboratorios PNMES(Técnica)</t>
  </si>
  <si>
    <t>Control y monitoreo para la enfermedad PRRSS en Colombia</t>
  </si>
  <si>
    <t>Porcinino  2013(Mercadeo)</t>
  </si>
  <si>
    <t>SENA (Transferencia)</t>
  </si>
  <si>
    <t>Diplomado Convenio SENA(Transferencia)</t>
  </si>
  <si>
    <t>Talleres y Seminarios(Transferencia)</t>
  </si>
  <si>
    <t>Convenios con las Gobernaciones(Económica)</t>
  </si>
  <si>
    <t>Proyecto IAT(Contrapartida MADR)(Económica)</t>
  </si>
  <si>
    <t xml:space="preserve">    Mejore las finanzas</t>
  </si>
  <si>
    <t>PRESUPUESTO DE INGRESOS VIGENCIA  2.013</t>
  </si>
  <si>
    <t>NOTA: No se ha logrado estructurar el convenio con la CCI pro demora en la entrega de la propuesta por parte de ellos</t>
  </si>
  <si>
    <t xml:space="preserve">La negociacion con los medios con Asoporcicultores, Fenavi y Fedegan aun no se ha concretado  </t>
  </si>
  <si>
    <t xml:space="preserve">Las plantas de beneficio no han enviado sus docuemtnso para continuar con las asistencias // La Alianza entre Asoporcicultores- FNP, Pfizer y Mercadeo Virtual no ha iniciado </t>
  </si>
  <si>
    <t>En general, a la no estandarización de las tarifas con laboratorios de diagnóstico privado, no otorgamiento del subsidio definido a lso productores para el presente año con el ICA por la proximidad al vencimiento del convenio marco y a la falta de participación de los productores en el diagnóstico cuando el precio del cerdo esat sobre lso costos de producción.</t>
  </si>
  <si>
    <t>Bajo diagnóstico de la enfermedad por falta de laboratorios privados con convenio vigente, no aplicación del subsidio del 50% en el diagnóstico con laboratorios oficiales, debido a que próximamente se vencerá el convenio marco. No realización de las actividades de socialización y divulgación de la enfermedad de PRRS a pequeños y medianos productores esperando unificar criterios en el marco del seminario y del analisis de los estudios realizados en el año 2012 y en el presente trimestre (% de seroreactores positivos, sus variables y caracterización filogenética).</t>
  </si>
  <si>
    <t>Baja participación de los productores en el diagnóstico debido a sus costos de producción y precio de venta al mercado, además de la estandarización de las tarifas de diagnóstico segun acuerdo del ICA y por consiguiente perfeccionamiento de nuevos convenios con laboratorios privados de diagnóstico veterinario para porcinos.</t>
  </si>
  <si>
    <t>La mayoria de los productores vinculados al PNMES se han comprometido a realizar el primer  diagnóstico sobre el segundo trimestre, en parte de ello a la espera de un mejor precio del cerdo en el mercado.</t>
  </si>
  <si>
    <t xml:space="preserve">Se trasladaron los talleres de socialización de la cartilla de fenomeno del niño para el segundo trimestre, debido a qu ele material de divulgación (cartillas) para entregar en las mismas, aun no se encontraba totalmente finalizado. </t>
  </si>
  <si>
    <t>NOTA: La actividades se realizaron en su totalidad, sin embargo, los honorarios de los capacitadores se encontraban presupuestados con tarifas de la convocatoria SENA, debido a que no fue aprobado el proyecto, las tarifas utilizadas fueron más bajas.</t>
  </si>
  <si>
    <t>% EJECUCIÓN</t>
  </si>
  <si>
    <t>EJECUCIÓN TRIMESTRE ENERO - MARZO 2013</t>
  </si>
  <si>
    <t>EJECUCIÓN TRIMESTRE ENERO-MARZO DE 2.013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</si>
</sst>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* #,##0_ ;_ * \-#,##0_ ;_ * &quot;-&quot;??_ ;_ @_ "/>
    <numFmt numFmtId="176" formatCode="0.0%"/>
    <numFmt numFmtId="177" formatCode="_(* #,##0_);_(* \(#,##0\);_(* &quot;-&quot;??_);_(@_)"/>
    <numFmt numFmtId="178" formatCode="_(* #,##0.000_);_(* \(#,##0.000\);_(* &quot;-&quot;??_);_(@_)"/>
    <numFmt numFmtId="179" formatCode="_ &quot;$&quot;\ * #,##0_ ;_ &quot;$&quot;\ * \-#,##0_ ;_ &quot;$&quot;\ * &quot;-&quot;??_ ;_ @_ "/>
    <numFmt numFmtId="180" formatCode="0.0000"/>
    <numFmt numFmtId="181" formatCode="_ [$€-2]\ * #,##0.00_ ;_ [$€-2]\ * \-#,##0.00_ ;_ [$€-2]\ * &quot;-&quot;??_ "/>
    <numFmt numFmtId="182" formatCode="_-* #,##0.00\ &quot;Pts&quot;_-;\-* #,##0.00\ &quot;Pts&quot;_-;_-* &quot;-&quot;??\ &quot;Pts&quot;_-;_-@_-"/>
    <numFmt numFmtId="183" formatCode="_ * #,##0_ ;_ * \-#,##0_ ;_ * &quot;-&quot;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Comic Sans MS"/>
      <family val="4"/>
    </font>
    <font>
      <b/>
      <sz val="11"/>
      <name val="Comic Sans MS"/>
      <family val="4"/>
    </font>
    <font>
      <sz val="10"/>
      <color indexed="10"/>
      <name val="Comic Sans MS"/>
      <family val="4"/>
    </font>
    <font>
      <sz val="9"/>
      <color indexed="14"/>
      <name val="Times New Roman"/>
      <family val="1"/>
    </font>
    <font>
      <sz val="10"/>
      <color indexed="14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double"/>
      <top style="hair"/>
      <bottom style="hair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double"/>
    </border>
    <border>
      <left/>
      <right style="double"/>
      <top style="hair"/>
      <bottom style="double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double"/>
      <right style="hair"/>
      <top/>
      <bottom/>
    </border>
    <border>
      <left/>
      <right/>
      <top/>
      <bottom style="thin"/>
    </border>
    <border>
      <left style="double"/>
      <right/>
      <top style="hair"/>
      <bottom style="hair"/>
    </border>
    <border>
      <left style="thin"/>
      <right/>
      <top style="thin"/>
      <bottom style="thin"/>
    </border>
    <border>
      <left style="double"/>
      <right style="thin"/>
      <top style="thin">
        <color indexed="55"/>
      </top>
      <bottom style="thin">
        <color indexed="55"/>
      </bottom>
    </border>
    <border>
      <left style="medium"/>
      <right style="double"/>
      <top style="thin">
        <color indexed="55"/>
      </top>
      <bottom style="thin">
        <color indexed="55"/>
      </bottom>
    </border>
    <border>
      <left style="double"/>
      <right style="thin"/>
      <top/>
      <bottom style="thin">
        <color indexed="55"/>
      </bottom>
    </border>
    <border>
      <left style="medium"/>
      <right style="double"/>
      <top/>
      <bottom style="thin">
        <color indexed="55"/>
      </bottom>
    </border>
    <border>
      <left style="double"/>
      <right style="thin"/>
      <top style="thin">
        <color indexed="55"/>
      </top>
      <bottom/>
    </border>
    <border>
      <left style="medium"/>
      <right style="double"/>
      <top style="thin">
        <color indexed="55"/>
      </top>
      <bottom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/>
      <bottom style="thin">
        <color indexed="55"/>
      </bottom>
    </border>
    <border>
      <left style="medium"/>
      <right style="medium"/>
      <top style="thin">
        <color indexed="55"/>
      </top>
      <bottom/>
    </border>
    <border>
      <left style="medium"/>
      <right style="medium"/>
      <top style="medium"/>
      <bottom style="double"/>
    </border>
    <border>
      <left style="medium"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/>
    </border>
    <border>
      <left style="medium"/>
      <right/>
      <top style="medium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/>
      <bottom style="double"/>
    </border>
    <border>
      <left style="medium"/>
      <right style="double"/>
      <top/>
      <bottom/>
    </border>
    <border>
      <left style="medium"/>
      <right/>
      <top/>
      <bottom style="thin">
        <color indexed="55"/>
      </bottom>
    </border>
    <border>
      <left style="double"/>
      <right style="thin"/>
      <top/>
      <bottom/>
    </border>
    <border>
      <left style="hair"/>
      <right style="double"/>
      <top style="double"/>
      <bottom style="hair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33" fillId="15" borderId="0" applyNumberFormat="0" applyBorder="0" applyAlignment="0" applyProtection="0"/>
    <xf numFmtId="0" fontId="61" fillId="16" borderId="0" applyNumberFormat="0" applyBorder="0" applyAlignment="0" applyProtection="0"/>
    <xf numFmtId="0" fontId="33" fillId="17" borderId="0" applyNumberFormat="0" applyBorder="0" applyAlignment="0" applyProtection="0"/>
    <xf numFmtId="0" fontId="61" fillId="18" borderId="0" applyNumberFormat="0" applyBorder="0" applyAlignment="0" applyProtection="0"/>
    <xf numFmtId="0" fontId="33" fillId="19" borderId="0" applyNumberFormat="0" applyBorder="0" applyAlignment="0" applyProtection="0"/>
    <xf numFmtId="0" fontId="61" fillId="20" borderId="0" applyNumberFormat="0" applyBorder="0" applyAlignment="0" applyProtection="0"/>
    <xf numFmtId="0" fontId="33" fillId="9" borderId="0" applyNumberFormat="0" applyBorder="0" applyAlignment="0" applyProtection="0"/>
    <xf numFmtId="0" fontId="61" fillId="21" borderId="0" applyNumberFormat="0" applyBorder="0" applyAlignment="0" applyProtection="0"/>
    <xf numFmtId="0" fontId="33" fillId="15" borderId="0" applyNumberFormat="0" applyBorder="0" applyAlignment="0" applyProtection="0"/>
    <xf numFmtId="0" fontId="6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24" borderId="0" applyNumberFormat="0" applyBorder="0" applyAlignment="0" applyProtection="0"/>
    <xf numFmtId="0" fontId="34" fillId="25" borderId="0" applyNumberFormat="0" applyBorder="0" applyAlignment="0" applyProtection="0"/>
    <xf numFmtId="0" fontId="62" fillId="26" borderId="0" applyNumberFormat="0" applyBorder="0" applyAlignment="0" applyProtection="0"/>
    <xf numFmtId="0" fontId="34" fillId="17" borderId="0" applyNumberFormat="0" applyBorder="0" applyAlignment="0" applyProtection="0"/>
    <xf numFmtId="0" fontId="62" fillId="27" borderId="0" applyNumberFormat="0" applyBorder="0" applyAlignment="0" applyProtection="0"/>
    <xf numFmtId="0" fontId="34" fillId="19" borderId="0" applyNumberFormat="0" applyBorder="0" applyAlignment="0" applyProtection="0"/>
    <xf numFmtId="0" fontId="62" fillId="28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34" fillId="33" borderId="0" applyNumberFormat="0" applyBorder="0" applyAlignment="0" applyProtection="0"/>
    <xf numFmtId="0" fontId="63" fillId="34" borderId="0" applyNumberFormat="0" applyBorder="0" applyAlignment="0" applyProtection="0"/>
    <xf numFmtId="0" fontId="35" fillId="7" borderId="0" applyNumberFormat="0" applyBorder="0" applyAlignment="0" applyProtection="0"/>
    <xf numFmtId="0" fontId="64" fillId="35" borderId="1" applyNumberFormat="0" applyAlignment="0" applyProtection="0"/>
    <xf numFmtId="0" fontId="36" fillId="36" borderId="2" applyNumberFormat="0" applyAlignment="0" applyProtection="0"/>
    <xf numFmtId="0" fontId="65" fillId="37" borderId="3" applyNumberFormat="0" applyAlignment="0" applyProtection="0"/>
    <xf numFmtId="0" fontId="37" fillId="38" borderId="4" applyNumberFormat="0" applyAlignment="0" applyProtection="0"/>
    <xf numFmtId="0" fontId="66" fillId="0" borderId="5" applyNumberFormat="0" applyFill="0" applyAlignment="0" applyProtection="0"/>
    <xf numFmtId="0" fontId="38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34" fillId="40" borderId="0" applyNumberFormat="0" applyBorder="0" applyAlignment="0" applyProtection="0"/>
    <xf numFmtId="0" fontId="62" fillId="41" borderId="0" applyNumberFormat="0" applyBorder="0" applyAlignment="0" applyProtection="0"/>
    <xf numFmtId="0" fontId="34" fillId="42" borderId="0" applyNumberFormat="0" applyBorder="0" applyAlignment="0" applyProtection="0"/>
    <xf numFmtId="0" fontId="62" fillId="43" borderId="0" applyNumberFormat="0" applyBorder="0" applyAlignment="0" applyProtection="0"/>
    <xf numFmtId="0" fontId="34" fillId="44" borderId="0" applyNumberFormat="0" applyBorder="0" applyAlignment="0" applyProtection="0"/>
    <xf numFmtId="0" fontId="62" fillId="45" borderId="0" applyNumberFormat="0" applyBorder="0" applyAlignment="0" applyProtection="0"/>
    <xf numFmtId="0" fontId="34" fillId="29" borderId="0" applyNumberFormat="0" applyBorder="0" applyAlignment="0" applyProtection="0"/>
    <xf numFmtId="0" fontId="62" fillId="46" borderId="0" applyNumberFormat="0" applyBorder="0" applyAlignment="0" applyProtection="0"/>
    <xf numFmtId="0" fontId="34" fillId="31" borderId="0" applyNumberFormat="0" applyBorder="0" applyAlignment="0" applyProtection="0"/>
    <xf numFmtId="0" fontId="62" fillId="47" borderId="0" applyNumberFormat="0" applyBorder="0" applyAlignment="0" applyProtection="0"/>
    <xf numFmtId="0" fontId="34" fillId="48" borderId="0" applyNumberFormat="0" applyBorder="0" applyAlignment="0" applyProtection="0"/>
    <xf numFmtId="0" fontId="69" fillId="49" borderId="1" applyNumberFormat="0" applyAlignment="0" applyProtection="0"/>
    <xf numFmtId="0" fontId="39" fillId="13" borderId="2" applyNumberFormat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40" fillId="5" borderId="0" applyNumberFormat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35" borderId="10" applyNumberFormat="0" applyAlignment="0" applyProtection="0"/>
    <xf numFmtId="0" fontId="42" fillId="36" borderId="11" applyNumberFormat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78" fillId="0" borderId="13" applyNumberFormat="0" applyFill="0" applyAlignment="0" applyProtection="0"/>
    <xf numFmtId="0" fontId="32" fillId="0" borderId="14" applyNumberFormat="0" applyFill="0" applyAlignment="0" applyProtection="0"/>
    <xf numFmtId="0" fontId="6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45" fillId="0" borderId="18" applyNumberFormat="0" applyFill="0" applyAlignment="0" applyProtection="0"/>
  </cellStyleXfs>
  <cellXfs count="47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175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16" fillId="0" borderId="19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/>
    </xf>
    <xf numFmtId="0" fontId="5" fillId="0" borderId="21" xfId="0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7" fontId="16" fillId="0" borderId="19" xfId="0" applyNumberFormat="1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5" fillId="0" borderId="19" xfId="0" applyFont="1" applyFill="1" applyBorder="1" applyAlignment="1">
      <alignment horizontal="left" indent="1"/>
    </xf>
    <xf numFmtId="3" fontId="16" fillId="0" borderId="21" xfId="0" applyNumberFormat="1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177" fontId="1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75" fontId="13" fillId="0" borderId="0" xfId="0" applyNumberFormat="1" applyFont="1" applyAlignment="1">
      <alignment/>
    </xf>
    <xf numFmtId="0" fontId="16" fillId="0" borderId="0" xfId="0" applyFont="1" applyFill="1" applyBorder="1" applyAlignment="1">
      <alignment horizontal="center"/>
    </xf>
    <xf numFmtId="3" fontId="16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7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justify" wrapText="1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175" fontId="0" fillId="0" borderId="22" xfId="86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175" fontId="0" fillId="0" borderId="0" xfId="86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22" xfId="0" applyFont="1" applyBorder="1" applyAlignment="1">
      <alignment/>
    </xf>
    <xf numFmtId="3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2" xfId="0" applyNumberFormat="1" applyFont="1" applyFill="1" applyBorder="1" applyAlignment="1">
      <alignment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5" fontId="2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174" fontId="0" fillId="0" borderId="0" xfId="86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21" fillId="36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3" fontId="4" fillId="36" borderId="22" xfId="0" applyNumberFormat="1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/>
    </xf>
    <xf numFmtId="175" fontId="4" fillId="0" borderId="22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175" fontId="4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/>
    </xf>
    <xf numFmtId="175" fontId="4" fillId="0" borderId="22" xfId="0" applyNumberFormat="1" applyFont="1" applyFill="1" applyBorder="1" applyAlignment="1" applyProtection="1">
      <alignment horizontal="center"/>
      <protection locked="0"/>
    </xf>
    <xf numFmtId="175" fontId="4" fillId="0" borderId="22" xfId="86" applyNumberFormat="1" applyFont="1" applyFill="1" applyBorder="1" applyAlignment="1">
      <alignment horizontal="right"/>
    </xf>
    <xf numFmtId="0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22" xfId="0" applyNumberFormat="1" applyFont="1" applyFill="1" applyBorder="1" applyAlignment="1">
      <alignment horizontal="center"/>
    </xf>
    <xf numFmtId="15" fontId="5" fillId="0" borderId="22" xfId="0" applyNumberFormat="1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 wrapText="1"/>
    </xf>
    <xf numFmtId="0" fontId="4" fillId="36" borderId="24" xfId="0" applyFont="1" applyFill="1" applyBorder="1" applyAlignment="1">
      <alignment horizontal="center" wrapText="1"/>
    </xf>
    <xf numFmtId="10" fontId="4" fillId="36" borderId="23" xfId="0" applyNumberFormat="1" applyFont="1" applyFill="1" applyBorder="1" applyAlignment="1">
      <alignment horizontal="center" wrapText="1"/>
    </xf>
    <xf numFmtId="10" fontId="4" fillId="36" borderId="25" xfId="0" applyNumberFormat="1" applyFont="1" applyFill="1" applyBorder="1" applyAlignment="1">
      <alignment horizontal="center" wrapText="1"/>
    </xf>
    <xf numFmtId="9" fontId="4" fillId="36" borderId="26" xfId="0" applyNumberFormat="1" applyFont="1" applyFill="1" applyBorder="1" applyAlignment="1">
      <alignment horizontal="center" wrapText="1"/>
    </xf>
    <xf numFmtId="10" fontId="4" fillId="36" borderId="27" xfId="0" applyNumberFormat="1" applyFont="1" applyFill="1" applyBorder="1" applyAlignment="1">
      <alignment horizontal="center" wrapText="1"/>
    </xf>
    <xf numFmtId="10" fontId="4" fillId="36" borderId="28" xfId="0" applyNumberFormat="1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/>
    </xf>
    <xf numFmtId="0" fontId="4" fillId="36" borderId="23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9" fontId="0" fillId="0" borderId="0" xfId="153" applyFont="1" applyAlignment="1">
      <alignment/>
    </xf>
    <xf numFmtId="0" fontId="22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74" fontId="0" fillId="0" borderId="0" xfId="86" applyFont="1" applyFill="1" applyAlignment="1">
      <alignment/>
    </xf>
    <xf numFmtId="174" fontId="0" fillId="0" borderId="0" xfId="86" applyFont="1" applyFill="1" applyBorder="1" applyAlignment="1">
      <alignment/>
    </xf>
    <xf numFmtId="175" fontId="0" fillId="0" borderId="0" xfId="86" applyNumberFormat="1" applyFont="1" applyAlignment="1">
      <alignment/>
    </xf>
    <xf numFmtId="0" fontId="16" fillId="0" borderId="29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175" fontId="5" fillId="0" borderId="31" xfId="0" applyNumberFormat="1" applyFont="1" applyFill="1" applyBorder="1" applyAlignment="1">
      <alignment/>
    </xf>
    <xf numFmtId="175" fontId="5" fillId="0" borderId="31" xfId="86" applyNumberFormat="1" applyFont="1" applyFill="1" applyBorder="1" applyAlignment="1">
      <alignment/>
    </xf>
    <xf numFmtId="174" fontId="5" fillId="0" borderId="31" xfId="0" applyNumberFormat="1" applyFont="1" applyFill="1" applyBorder="1" applyAlignment="1">
      <alignment/>
    </xf>
    <xf numFmtId="175" fontId="4" fillId="36" borderId="23" xfId="0" applyNumberFormat="1" applyFont="1" applyFill="1" applyBorder="1" applyAlignment="1">
      <alignment/>
    </xf>
    <xf numFmtId="173" fontId="4" fillId="0" borderId="25" xfId="128" applyFont="1" applyFill="1" applyBorder="1" applyAlignment="1">
      <alignment/>
    </xf>
    <xf numFmtId="174" fontId="0" fillId="0" borderId="0" xfId="86" applyFont="1" applyFill="1" applyAlignment="1">
      <alignment/>
    </xf>
    <xf numFmtId="0" fontId="4" fillId="0" borderId="32" xfId="0" applyFont="1" applyBorder="1" applyAlignment="1">
      <alignment/>
    </xf>
    <xf numFmtId="171" fontId="0" fillId="0" borderId="0" xfId="0" applyNumberFormat="1" applyFill="1" applyAlignment="1">
      <alignment/>
    </xf>
    <xf numFmtId="0" fontId="5" fillId="0" borderId="33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indent="1"/>
    </xf>
    <xf numFmtId="3" fontId="5" fillId="0" borderId="21" xfId="0" applyNumberFormat="1" applyFont="1" applyFill="1" applyBorder="1" applyAlignment="1">
      <alignment/>
    </xf>
    <xf numFmtId="37" fontId="5" fillId="0" borderId="19" xfId="0" applyNumberFormat="1" applyFont="1" applyFill="1" applyBorder="1" applyAlignment="1">
      <alignment/>
    </xf>
    <xf numFmtId="173" fontId="6" fillId="0" borderId="0" xfId="128" applyFont="1" applyAlignment="1">
      <alignment/>
    </xf>
    <xf numFmtId="173" fontId="4" fillId="55" borderId="25" xfId="128" applyFont="1" applyFill="1" applyBorder="1" applyAlignment="1">
      <alignment/>
    </xf>
    <xf numFmtId="173" fontId="4" fillId="0" borderId="23" xfId="128" applyFont="1" applyFill="1" applyBorder="1" applyAlignment="1">
      <alignment/>
    </xf>
    <xf numFmtId="3" fontId="0" fillId="0" borderId="22" xfId="0" applyNumberFormat="1" applyFont="1" applyFill="1" applyBorder="1" applyAlignment="1">
      <alignment horizontal="left"/>
    </xf>
    <xf numFmtId="175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3" fontId="4" fillId="36" borderId="27" xfId="0" applyNumberFormat="1" applyFont="1" applyFill="1" applyBorder="1" applyAlignment="1">
      <alignment horizontal="right"/>
    </xf>
    <xf numFmtId="0" fontId="4" fillId="36" borderId="35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27" xfId="0" applyFont="1" applyFill="1" applyBorder="1" applyAlignment="1">
      <alignment horizontal="center"/>
    </xf>
    <xf numFmtId="0" fontId="0" fillId="55" borderId="22" xfId="0" applyFont="1" applyFill="1" applyBorder="1" applyAlignment="1">
      <alignment horizontal="left"/>
    </xf>
    <xf numFmtId="175" fontId="0" fillId="0" borderId="0" xfId="8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4" fontId="0" fillId="0" borderId="0" xfId="86" applyFont="1" applyBorder="1" applyAlignment="1">
      <alignment/>
    </xf>
    <xf numFmtId="0" fontId="0" fillId="55" borderId="0" xfId="0" applyFill="1" applyAlignment="1">
      <alignment/>
    </xf>
    <xf numFmtId="0" fontId="0" fillId="55" borderId="22" xfId="0" applyFont="1" applyFill="1" applyBorder="1" applyAlignment="1">
      <alignment horizontal="left"/>
    </xf>
    <xf numFmtId="0" fontId="0" fillId="55" borderId="3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4" fillId="36" borderId="22" xfId="0" applyNumberFormat="1" applyFont="1" applyFill="1" applyBorder="1" applyAlignment="1">
      <alignment horizontal="left" vertical="center"/>
    </xf>
    <xf numFmtId="15" fontId="5" fillId="36" borderId="22" xfId="0" applyNumberFormat="1" applyFont="1" applyFill="1" applyBorder="1" applyAlignment="1">
      <alignment horizontal="center"/>
    </xf>
    <xf numFmtId="0" fontId="5" fillId="36" borderId="22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 vertical="center"/>
    </xf>
    <xf numFmtId="175" fontId="4" fillId="36" borderId="22" xfId="0" applyNumberFormat="1" applyFont="1" applyFill="1" applyBorder="1" applyAlignment="1">
      <alignment horizontal="center" vertical="center"/>
    </xf>
    <xf numFmtId="3" fontId="4" fillId="36" borderId="22" xfId="0" applyNumberFormat="1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horizontal="left"/>
    </xf>
    <xf numFmtId="0" fontId="0" fillId="55" borderId="0" xfId="0" applyFill="1" applyBorder="1" applyAlignment="1">
      <alignment/>
    </xf>
    <xf numFmtId="174" fontId="0" fillId="0" borderId="0" xfId="86" applyFont="1" applyFill="1" applyBorder="1" applyAlignment="1">
      <alignment/>
    </xf>
    <xf numFmtId="175" fontId="0" fillId="0" borderId="0" xfId="86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36" borderId="31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 wrapText="1"/>
    </xf>
    <xf numFmtId="0" fontId="27" fillId="23" borderId="22" xfId="0" applyFont="1" applyFill="1" applyBorder="1" applyAlignment="1">
      <alignment/>
    </xf>
    <xf numFmtId="10" fontId="27" fillId="23" borderId="22" xfId="0" applyNumberFormat="1" applyFont="1" applyFill="1" applyBorder="1" applyAlignment="1">
      <alignment horizontal="center"/>
    </xf>
    <xf numFmtId="175" fontId="27" fillId="23" borderId="22" xfId="86" applyNumberFormat="1" applyFont="1" applyFill="1" applyBorder="1" applyAlignment="1">
      <alignment/>
    </xf>
    <xf numFmtId="10" fontId="27" fillId="23" borderId="22" xfId="0" applyNumberFormat="1" applyFont="1" applyFill="1" applyBorder="1" applyAlignment="1">
      <alignment/>
    </xf>
    <xf numFmtId="179" fontId="4" fillId="36" borderId="25" xfId="128" applyNumberFormat="1" applyFont="1" applyFill="1" applyBorder="1" applyAlignment="1">
      <alignment/>
    </xf>
    <xf numFmtId="0" fontId="16" fillId="55" borderId="30" xfId="0" applyFont="1" applyFill="1" applyBorder="1" applyAlignment="1">
      <alignment horizontal="center"/>
    </xf>
    <xf numFmtId="0" fontId="5" fillId="55" borderId="31" xfId="0" applyFont="1" applyFill="1" applyBorder="1" applyAlignment="1">
      <alignment/>
    </xf>
    <xf numFmtId="0" fontId="5" fillId="55" borderId="30" xfId="0" applyFont="1" applyFill="1" applyBorder="1" applyAlignment="1">
      <alignment/>
    </xf>
    <xf numFmtId="0" fontId="5" fillId="55" borderId="36" xfId="0" applyFont="1" applyFill="1" applyBorder="1" applyAlignment="1">
      <alignment/>
    </xf>
    <xf numFmtId="0" fontId="5" fillId="55" borderId="37" xfId="0" applyFont="1" applyFill="1" applyBorder="1" applyAlignment="1">
      <alignment/>
    </xf>
    <xf numFmtId="10" fontId="5" fillId="55" borderId="31" xfId="153" applyNumberFormat="1" applyFont="1" applyFill="1" applyBorder="1" applyAlignment="1">
      <alignment/>
    </xf>
    <xf numFmtId="9" fontId="5" fillId="55" borderId="30" xfId="153" applyNumberFormat="1" applyFont="1" applyFill="1" applyBorder="1" applyAlignment="1">
      <alignment/>
    </xf>
    <xf numFmtId="0" fontId="5" fillId="55" borderId="0" xfId="0" applyFont="1" applyFill="1" applyAlignment="1">
      <alignment/>
    </xf>
    <xf numFmtId="0" fontId="16" fillId="55" borderId="0" xfId="0" applyFont="1" applyFill="1" applyBorder="1" applyAlignment="1">
      <alignment horizontal="center"/>
    </xf>
    <xf numFmtId="180" fontId="16" fillId="56" borderId="22" xfId="0" applyNumberFormat="1" applyFont="1" applyFill="1" applyBorder="1" applyAlignment="1">
      <alignment horizontal="center"/>
    </xf>
    <xf numFmtId="0" fontId="16" fillId="56" borderId="22" xfId="0" applyFont="1" applyFill="1" applyBorder="1" applyAlignment="1">
      <alignment/>
    </xf>
    <xf numFmtId="0" fontId="11" fillId="55" borderId="0" xfId="0" applyFont="1" applyFill="1" applyAlignment="1">
      <alignment/>
    </xf>
    <xf numFmtId="3" fontId="5" fillId="55" borderId="0" xfId="0" applyNumberFormat="1" applyFont="1" applyFill="1" applyBorder="1" applyAlignment="1">
      <alignment/>
    </xf>
    <xf numFmtId="175" fontId="11" fillId="55" borderId="0" xfId="86" applyNumberFormat="1" applyFont="1" applyFill="1" applyBorder="1" applyAlignment="1">
      <alignment/>
    </xf>
    <xf numFmtId="0" fontId="11" fillId="55" borderId="0" xfId="0" applyFont="1" applyFill="1" applyBorder="1" applyAlignment="1">
      <alignment/>
    </xf>
    <xf numFmtId="175" fontId="11" fillId="55" borderId="0" xfId="0" applyNumberFormat="1" applyFont="1" applyFill="1" applyBorder="1" applyAlignment="1">
      <alignment/>
    </xf>
    <xf numFmtId="173" fontId="4" fillId="38" borderId="25" xfId="128" applyFont="1" applyFill="1" applyBorder="1" applyAlignment="1">
      <alignment/>
    </xf>
    <xf numFmtId="3" fontId="24" fillId="0" borderId="38" xfId="0" applyNumberFormat="1" applyFont="1" applyFill="1" applyBorder="1" applyAlignment="1">
      <alignment horizontal="centerContinuous"/>
    </xf>
    <xf numFmtId="0" fontId="16" fillId="0" borderId="38" xfId="0" applyFont="1" applyFill="1" applyBorder="1" applyAlignment="1">
      <alignment horizontal="centerContinuous"/>
    </xf>
    <xf numFmtId="0" fontId="24" fillId="0" borderId="38" xfId="0" applyFont="1" applyFill="1" applyBorder="1" applyAlignment="1">
      <alignment horizontal="centerContinuous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18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4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175" fontId="0" fillId="55" borderId="0" xfId="0" applyNumberFormat="1" applyFill="1" applyAlignment="1">
      <alignment/>
    </xf>
    <xf numFmtId="0" fontId="4" fillId="55" borderId="0" xfId="0" applyFont="1" applyFill="1" applyBorder="1" applyAlignment="1">
      <alignment horizontal="center" wrapText="1"/>
    </xf>
    <xf numFmtId="0" fontId="0" fillId="55" borderId="22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 wrapText="1"/>
    </xf>
    <xf numFmtId="176" fontId="28" fillId="0" borderId="0" xfId="153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175" fontId="20" fillId="0" borderId="0" xfId="86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75" fontId="28" fillId="0" borderId="0" xfId="86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3" fontId="4" fillId="55" borderId="22" xfId="0" applyNumberFormat="1" applyFont="1" applyFill="1" applyBorder="1" applyAlignment="1">
      <alignment horizontal="right" vertical="center"/>
    </xf>
    <xf numFmtId="3" fontId="4" fillId="55" borderId="22" xfId="0" applyNumberFormat="1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5" fontId="0" fillId="0" borderId="0" xfId="86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86" applyFont="1" applyFill="1" applyBorder="1" applyAlignment="1">
      <alignment horizontal="right" wrapText="1"/>
    </xf>
    <xf numFmtId="174" fontId="22" fillId="0" borderId="0" xfId="86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175" fontId="0" fillId="0" borderId="0" xfId="0" applyNumberFormat="1" applyFont="1" applyFill="1" applyBorder="1" applyAlignment="1">
      <alignment horizontal="right" wrapText="1"/>
    </xf>
    <xf numFmtId="175" fontId="11" fillId="55" borderId="0" xfId="86" applyNumberFormat="1" applyFont="1" applyFill="1" applyAlignment="1">
      <alignment/>
    </xf>
    <xf numFmtId="175" fontId="5" fillId="55" borderId="0" xfId="86" applyNumberFormat="1" applyFont="1" applyFill="1" applyBorder="1" applyAlignment="1">
      <alignment/>
    </xf>
    <xf numFmtId="175" fontId="0" fillId="55" borderId="0" xfId="86" applyNumberFormat="1" applyFont="1" applyFill="1" applyAlignment="1">
      <alignment/>
    </xf>
    <xf numFmtId="0" fontId="5" fillId="55" borderId="22" xfId="0" applyNumberFormat="1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7" fontId="5" fillId="0" borderId="19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 vertical="center" wrapText="1"/>
    </xf>
    <xf numFmtId="175" fontId="5" fillId="0" borderId="31" xfId="86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175" fontId="5" fillId="0" borderId="30" xfId="86" applyNumberFormat="1" applyFont="1" applyFill="1" applyBorder="1" applyAlignment="1">
      <alignment horizontal="center"/>
    </xf>
    <xf numFmtId="175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5" fontId="0" fillId="55" borderId="0" xfId="86" applyNumberFormat="1" applyFont="1" applyFill="1" applyBorder="1" applyAlignment="1">
      <alignment horizontal="right"/>
    </xf>
    <xf numFmtId="10" fontId="16" fillId="38" borderId="31" xfId="153" applyNumberFormat="1" applyFont="1" applyFill="1" applyBorder="1" applyAlignment="1">
      <alignment/>
    </xf>
    <xf numFmtId="3" fontId="16" fillId="55" borderId="21" xfId="0" applyNumberFormat="1" applyFont="1" applyFill="1" applyBorder="1" applyAlignment="1">
      <alignment/>
    </xf>
    <xf numFmtId="0" fontId="16" fillId="55" borderId="0" xfId="0" applyFont="1" applyFill="1" applyAlignment="1">
      <alignment/>
    </xf>
    <xf numFmtId="0" fontId="4" fillId="36" borderId="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9" fontId="80" fillId="57" borderId="30" xfId="153" applyNumberFormat="1" applyFont="1" applyFill="1" applyBorder="1" applyAlignment="1">
      <alignment/>
    </xf>
    <xf numFmtId="10" fontId="80" fillId="57" borderId="31" xfId="153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175" fontId="5" fillId="0" borderId="45" xfId="86" applyNumberFormat="1" applyFont="1" applyFill="1" applyBorder="1" applyAlignment="1">
      <alignment/>
    </xf>
    <xf numFmtId="175" fontId="5" fillId="0" borderId="30" xfId="86" applyNumberFormat="1" applyFont="1" applyFill="1" applyBorder="1" applyAlignment="1">
      <alignment/>
    </xf>
    <xf numFmtId="0" fontId="5" fillId="0" borderId="46" xfId="0" applyFont="1" applyFill="1" applyBorder="1" applyAlignment="1">
      <alignment/>
    </xf>
    <xf numFmtId="175" fontId="16" fillId="0" borderId="30" xfId="86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/>
    </xf>
    <xf numFmtId="175" fontId="5" fillId="0" borderId="46" xfId="86" applyNumberFormat="1" applyFont="1" applyFill="1" applyBorder="1" applyAlignment="1">
      <alignment/>
    </xf>
    <xf numFmtId="0" fontId="16" fillId="0" borderId="47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175" fontId="5" fillId="0" borderId="30" xfId="0" applyNumberFormat="1" applyFont="1" applyFill="1" applyBorder="1" applyAlignment="1">
      <alignment/>
    </xf>
    <xf numFmtId="0" fontId="23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37" fontId="16" fillId="0" borderId="19" xfId="0" applyNumberFormat="1" applyFont="1" applyFill="1" applyBorder="1" applyAlignment="1">
      <alignment/>
    </xf>
    <xf numFmtId="175" fontId="0" fillId="0" borderId="22" xfId="86" applyNumberFormat="1" applyFont="1" applyFill="1" applyBorder="1" applyAlignment="1">
      <alignment horizontal="right"/>
    </xf>
    <xf numFmtId="175" fontId="0" fillId="0" borderId="22" xfId="86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6" fillId="14" borderId="19" xfId="0" applyFont="1" applyFill="1" applyBorder="1" applyAlignment="1">
      <alignment wrapText="1"/>
    </xf>
    <xf numFmtId="3" fontId="16" fillId="14" borderId="21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172" fontId="4" fillId="0" borderId="22" xfId="0" applyNumberFormat="1" applyFont="1" applyBorder="1" applyAlignment="1">
      <alignment/>
    </xf>
    <xf numFmtId="0" fontId="5" fillId="57" borderId="19" xfId="0" applyFont="1" applyFill="1" applyBorder="1" applyAlignment="1">
      <alignment horizontal="left" indent="1"/>
    </xf>
    <xf numFmtId="37" fontId="16" fillId="57" borderId="19" xfId="0" applyNumberFormat="1" applyFont="1" applyFill="1" applyBorder="1" applyAlignment="1">
      <alignment/>
    </xf>
    <xf numFmtId="176" fontId="2" fillId="57" borderId="0" xfId="0" applyNumberFormat="1" applyFont="1" applyFill="1" applyAlignment="1">
      <alignment/>
    </xf>
    <xf numFmtId="3" fontId="0" fillId="57" borderId="0" xfId="0" applyNumberFormat="1" applyFill="1" applyAlignment="1">
      <alignment/>
    </xf>
    <xf numFmtId="0" fontId="0" fillId="57" borderId="0" xfId="0" applyFill="1" applyAlignment="1">
      <alignment/>
    </xf>
    <xf numFmtId="0" fontId="0" fillId="57" borderId="22" xfId="0" applyFont="1" applyFill="1" applyBorder="1" applyAlignment="1">
      <alignment horizontal="left"/>
    </xf>
    <xf numFmtId="0" fontId="0" fillId="57" borderId="22" xfId="0" applyFont="1" applyFill="1" applyBorder="1" applyAlignment="1">
      <alignment horizontal="left"/>
    </xf>
    <xf numFmtId="0" fontId="0" fillId="57" borderId="34" xfId="0" applyFont="1" applyFill="1" applyBorder="1" applyAlignment="1">
      <alignment horizontal="left"/>
    </xf>
    <xf numFmtId="0" fontId="0" fillId="57" borderId="0" xfId="0" applyFont="1" applyFill="1" applyBorder="1" applyAlignment="1">
      <alignment horizontal="left"/>
    </xf>
    <xf numFmtId="3" fontId="4" fillId="57" borderId="22" xfId="0" applyNumberFormat="1" applyFont="1" applyFill="1" applyBorder="1" applyAlignment="1">
      <alignment horizontal="right"/>
    </xf>
    <xf numFmtId="174" fontId="20" fillId="0" borderId="0" xfId="86" applyFont="1" applyFill="1" applyBorder="1" applyAlignment="1">
      <alignment horizontal="right" wrapText="1"/>
    </xf>
    <xf numFmtId="175" fontId="0" fillId="57" borderId="22" xfId="86" applyNumberFormat="1" applyFont="1" applyFill="1" applyBorder="1" applyAlignment="1">
      <alignment horizontal="right"/>
    </xf>
    <xf numFmtId="175" fontId="0" fillId="57" borderId="22" xfId="86" applyNumberFormat="1" applyFont="1" applyFill="1" applyBorder="1" applyAlignment="1">
      <alignment horizontal="right"/>
    </xf>
    <xf numFmtId="0" fontId="4" fillId="57" borderId="0" xfId="0" applyFont="1" applyFill="1" applyBorder="1" applyAlignment="1">
      <alignment horizontal="center" wrapText="1"/>
    </xf>
    <xf numFmtId="175" fontId="4" fillId="57" borderId="22" xfId="86" applyNumberFormat="1" applyFont="1" applyFill="1" applyBorder="1" applyAlignment="1">
      <alignment horizontal="right"/>
    </xf>
    <xf numFmtId="0" fontId="5" fillId="57" borderId="48" xfId="0" applyFont="1" applyFill="1" applyBorder="1" applyAlignment="1">
      <alignment horizontal="left" indent="1"/>
    </xf>
    <xf numFmtId="0" fontId="6" fillId="0" borderId="0" xfId="0" applyFont="1" applyBorder="1" applyAlignment="1">
      <alignment/>
    </xf>
    <xf numFmtId="175" fontId="5" fillId="55" borderId="0" xfId="126" applyNumberFormat="1" applyFont="1" applyFill="1" applyBorder="1" applyAlignment="1">
      <alignment/>
    </xf>
    <xf numFmtId="175" fontId="5" fillId="55" borderId="0" xfId="126" applyNumberFormat="1" applyFont="1" applyFill="1" applyBorder="1" applyAlignment="1">
      <alignment/>
    </xf>
    <xf numFmtId="175" fontId="5" fillId="55" borderId="49" xfId="126" applyNumberFormat="1" applyFont="1" applyFill="1" applyBorder="1" applyAlignment="1">
      <alignment/>
    </xf>
    <xf numFmtId="175" fontId="5" fillId="0" borderId="45" xfId="98" applyNumberFormat="1" applyFont="1" applyFill="1" applyBorder="1" applyAlignment="1">
      <alignment/>
    </xf>
    <xf numFmtId="37" fontId="5" fillId="57" borderId="19" xfId="0" applyNumberFormat="1" applyFont="1" applyFill="1" applyBorder="1" applyAlignment="1">
      <alignment horizontal="left"/>
    </xf>
    <xf numFmtId="37" fontId="16" fillId="57" borderId="19" xfId="0" applyNumberFormat="1" applyFont="1" applyFill="1" applyBorder="1" applyAlignment="1">
      <alignment horizontal="left"/>
    </xf>
    <xf numFmtId="37" fontId="5" fillId="57" borderId="19" xfId="0" applyNumberFormat="1" applyFont="1" applyFill="1" applyBorder="1" applyAlignment="1">
      <alignment/>
    </xf>
    <xf numFmtId="37" fontId="5" fillId="57" borderId="19" xfId="0" applyNumberFormat="1" applyFont="1" applyFill="1" applyBorder="1" applyAlignment="1">
      <alignment horizontal="left"/>
    </xf>
    <xf numFmtId="3" fontId="16" fillId="57" borderId="21" xfId="0" applyNumberFormat="1" applyFont="1" applyFill="1" applyBorder="1" applyAlignment="1">
      <alignment/>
    </xf>
    <xf numFmtId="3" fontId="5" fillId="57" borderId="21" xfId="0" applyNumberFormat="1" applyFont="1" applyFill="1" applyBorder="1" applyAlignment="1">
      <alignment/>
    </xf>
    <xf numFmtId="3" fontId="16" fillId="57" borderId="21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left" indent="1"/>
    </xf>
    <xf numFmtId="0" fontId="5" fillId="57" borderId="50" xfId="0" applyFont="1" applyFill="1" applyBorder="1" applyAlignment="1">
      <alignment horizontal="left" indent="1"/>
    </xf>
    <xf numFmtId="0" fontId="5" fillId="57" borderId="50" xfId="0" applyFont="1" applyFill="1" applyBorder="1" applyAlignment="1">
      <alignment horizontal="left" indent="1"/>
    </xf>
    <xf numFmtId="3" fontId="5" fillId="57" borderId="21" xfId="0" applyNumberFormat="1" applyFont="1" applyFill="1" applyBorder="1" applyAlignment="1">
      <alignment/>
    </xf>
    <xf numFmtId="0" fontId="5" fillId="57" borderId="21" xfId="0" applyFont="1" applyFill="1" applyBorder="1" applyAlignment="1">
      <alignment/>
    </xf>
    <xf numFmtId="174" fontId="6" fillId="0" borderId="0" xfId="86" applyFont="1" applyAlignment="1">
      <alignment/>
    </xf>
    <xf numFmtId="0" fontId="0" fillId="0" borderId="22" xfId="0" applyFont="1" applyFill="1" applyBorder="1" applyAlignment="1" applyProtection="1">
      <alignment horizontal="center"/>
      <protection locked="0"/>
    </xf>
    <xf numFmtId="15" fontId="5" fillId="0" borderId="2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3" fontId="4" fillId="58" borderId="22" xfId="0" applyNumberFormat="1" applyFont="1" applyFill="1" applyBorder="1" applyAlignment="1" applyProtection="1">
      <alignment horizontal="right"/>
      <protection locked="0"/>
    </xf>
    <xf numFmtId="175" fontId="0" fillId="58" borderId="22" xfId="86" applyNumberFormat="1" applyFont="1" applyFill="1" applyBorder="1" applyAlignment="1">
      <alignment horizontal="right"/>
    </xf>
    <xf numFmtId="3" fontId="4" fillId="58" borderId="22" xfId="0" applyNumberFormat="1" applyFont="1" applyFill="1" applyBorder="1" applyAlignment="1">
      <alignment horizontal="right" vertical="center"/>
    </xf>
    <xf numFmtId="175" fontId="4" fillId="58" borderId="22" xfId="86" applyNumberFormat="1" applyFont="1" applyFill="1" applyBorder="1" applyAlignment="1">
      <alignment horizontal="right"/>
    </xf>
    <xf numFmtId="3" fontId="4" fillId="58" borderId="22" xfId="0" applyNumberFormat="1" applyFont="1" applyFill="1" applyBorder="1" applyAlignment="1">
      <alignment horizontal="right"/>
    </xf>
    <xf numFmtId="175" fontId="0" fillId="58" borderId="22" xfId="86" applyNumberFormat="1" applyFont="1" applyFill="1" applyBorder="1" applyAlignment="1">
      <alignment horizontal="right"/>
    </xf>
    <xf numFmtId="0" fontId="0" fillId="57" borderId="22" xfId="0" applyFont="1" applyFill="1" applyBorder="1" applyAlignment="1" applyProtection="1">
      <alignment horizontal="center"/>
      <protection locked="0"/>
    </xf>
    <xf numFmtId="3" fontId="0" fillId="57" borderId="22" xfId="0" applyNumberFormat="1" applyFont="1" applyFill="1" applyBorder="1" applyAlignment="1">
      <alignment horizontal="left"/>
    </xf>
    <xf numFmtId="0" fontId="0" fillId="57" borderId="22" xfId="0" applyFont="1" applyFill="1" applyBorder="1" applyAlignment="1" applyProtection="1">
      <alignment horizontal="center"/>
      <protection locked="0"/>
    </xf>
    <xf numFmtId="0" fontId="5" fillId="57" borderId="22" xfId="0" applyNumberFormat="1" applyFont="1" applyFill="1" applyBorder="1" applyAlignment="1">
      <alignment horizontal="center"/>
    </xf>
    <xf numFmtId="0" fontId="4" fillId="57" borderId="22" xfId="0" applyNumberFormat="1" applyFont="1" applyFill="1" applyBorder="1" applyAlignment="1">
      <alignment/>
    </xf>
    <xf numFmtId="0" fontId="0" fillId="57" borderId="22" xfId="0" applyNumberFormat="1" applyFont="1" applyFill="1" applyBorder="1" applyAlignment="1">
      <alignment/>
    </xf>
    <xf numFmtId="0" fontId="0" fillId="57" borderId="22" xfId="0" applyNumberFormat="1" applyFont="1" applyFill="1" applyBorder="1" applyAlignment="1">
      <alignment/>
    </xf>
    <xf numFmtId="3" fontId="0" fillId="57" borderId="22" xfId="0" applyNumberFormat="1" applyFont="1" applyFill="1" applyBorder="1" applyAlignment="1" applyProtection="1">
      <alignment horizontal="right"/>
      <protection locked="0"/>
    </xf>
    <xf numFmtId="3" fontId="0" fillId="57" borderId="22" xfId="0" applyNumberFormat="1" applyFont="1" applyFill="1" applyBorder="1" applyAlignment="1" applyProtection="1">
      <alignment horizontal="left"/>
      <protection locked="0"/>
    </xf>
    <xf numFmtId="0" fontId="0" fillId="57" borderId="22" xfId="0" applyFont="1" applyFill="1" applyBorder="1" applyAlignment="1">
      <alignment/>
    </xf>
    <xf numFmtId="0" fontId="0" fillId="57" borderId="51" xfId="0" applyFont="1" applyFill="1" applyBorder="1" applyAlignment="1">
      <alignment/>
    </xf>
    <xf numFmtId="175" fontId="4" fillId="57" borderId="22" xfId="86" applyNumberFormat="1" applyFont="1" applyFill="1" applyBorder="1" applyAlignment="1">
      <alignment/>
    </xf>
    <xf numFmtId="0" fontId="4" fillId="57" borderId="22" xfId="0" applyFont="1" applyFill="1" applyBorder="1" applyAlignment="1">
      <alignment/>
    </xf>
    <xf numFmtId="175" fontId="4" fillId="57" borderId="51" xfId="86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10" fontId="5" fillId="55" borderId="53" xfId="153" applyNumberFormat="1" applyFont="1" applyFill="1" applyBorder="1" applyAlignment="1">
      <alignment horizontal="right"/>
    </xf>
    <xf numFmtId="0" fontId="16" fillId="0" borderId="54" xfId="0" applyFont="1" applyFill="1" applyBorder="1" applyAlignment="1">
      <alignment/>
    </xf>
    <xf numFmtId="10" fontId="16" fillId="55" borderId="55" xfId="153" applyNumberFormat="1" applyFont="1" applyFill="1" applyBorder="1" applyAlignment="1">
      <alignment horizontal="right"/>
    </xf>
    <xf numFmtId="0" fontId="16" fillId="0" borderId="52" xfId="0" applyFont="1" applyFill="1" applyBorder="1" applyAlignment="1">
      <alignment/>
    </xf>
    <xf numFmtId="10" fontId="16" fillId="55" borderId="53" xfId="153" applyNumberFormat="1" applyFont="1" applyFill="1" applyBorder="1" applyAlignment="1">
      <alignment horizontal="right"/>
    </xf>
    <xf numFmtId="0" fontId="5" fillId="0" borderId="56" xfId="0" applyFont="1" applyFill="1" applyBorder="1" applyAlignment="1">
      <alignment/>
    </xf>
    <xf numFmtId="10" fontId="5" fillId="55" borderId="57" xfId="153" applyNumberFormat="1" applyFont="1" applyFill="1" applyBorder="1" applyAlignment="1">
      <alignment horizontal="right"/>
    </xf>
    <xf numFmtId="0" fontId="16" fillId="0" borderId="58" xfId="0" applyFont="1" applyFill="1" applyBorder="1" applyAlignment="1">
      <alignment/>
    </xf>
    <xf numFmtId="10" fontId="16" fillId="55" borderId="59" xfId="153" applyNumberFormat="1" applyFont="1" applyFill="1" applyBorder="1" applyAlignment="1">
      <alignment horizontal="right"/>
    </xf>
    <xf numFmtId="175" fontId="5" fillId="0" borderId="60" xfId="126" applyNumberFormat="1" applyFont="1" applyFill="1" applyBorder="1" applyAlignment="1">
      <alignment/>
    </xf>
    <xf numFmtId="177" fontId="16" fillId="0" borderId="61" xfId="127" applyNumberFormat="1" applyFont="1" applyFill="1" applyBorder="1" applyAlignment="1">
      <alignment/>
    </xf>
    <xf numFmtId="175" fontId="16" fillId="0" borderId="60" xfId="126" applyNumberFormat="1" applyFont="1" applyFill="1" applyBorder="1" applyAlignment="1">
      <alignment/>
    </xf>
    <xf numFmtId="175" fontId="5" fillId="0" borderId="60" xfId="153" applyNumberFormat="1" applyFont="1" applyFill="1" applyBorder="1" applyAlignment="1">
      <alignment/>
    </xf>
    <xf numFmtId="175" fontId="5" fillId="0" borderId="62" xfId="126" applyNumberFormat="1" applyFont="1" applyFill="1" applyBorder="1" applyAlignment="1">
      <alignment/>
    </xf>
    <xf numFmtId="175" fontId="16" fillId="0" borderId="63" xfId="0" applyNumberFormat="1" applyFont="1" applyFill="1" applyBorder="1" applyAlignment="1">
      <alignment/>
    </xf>
    <xf numFmtId="175" fontId="5" fillId="0" borderId="64" xfId="126" applyNumberFormat="1" applyFont="1" applyFill="1" applyBorder="1" applyAlignment="1">
      <alignment/>
    </xf>
    <xf numFmtId="175" fontId="5" fillId="0" borderId="64" xfId="153" applyNumberFormat="1" applyFont="1" applyFill="1" applyBorder="1" applyAlignment="1">
      <alignment/>
    </xf>
    <xf numFmtId="175" fontId="16" fillId="0" borderId="64" xfId="126" applyNumberFormat="1" applyFont="1" applyFill="1" applyBorder="1" applyAlignment="1">
      <alignment/>
    </xf>
    <xf numFmtId="175" fontId="5" fillId="0" borderId="65" xfId="126" applyNumberFormat="1" applyFont="1" applyFill="1" applyBorder="1" applyAlignment="1">
      <alignment/>
    </xf>
    <xf numFmtId="175" fontId="16" fillId="0" borderId="66" xfId="0" applyNumberFormat="1" applyFont="1" applyFill="1" applyBorder="1" applyAlignment="1">
      <alignment/>
    </xf>
    <xf numFmtId="0" fontId="16" fillId="57" borderId="67" xfId="0" applyFont="1" applyFill="1" applyBorder="1" applyAlignment="1">
      <alignment horizontal="center" vertical="center"/>
    </xf>
    <xf numFmtId="0" fontId="16" fillId="57" borderId="6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16" fillId="0" borderId="38" xfId="0" applyNumberFormat="1" applyFont="1" applyFill="1" applyBorder="1" applyAlignment="1">
      <alignment horizontal="centerContinuous"/>
    </xf>
    <xf numFmtId="0" fontId="81" fillId="0" borderId="38" xfId="0" applyFont="1" applyFill="1" applyBorder="1" applyAlignment="1">
      <alignment horizontal="centerContinuous"/>
    </xf>
    <xf numFmtId="10" fontId="16" fillId="0" borderId="33" xfId="158" applyNumberFormat="1" applyFont="1" applyFill="1" applyBorder="1" applyAlignment="1">
      <alignment/>
    </xf>
    <xf numFmtId="10" fontId="5" fillId="0" borderId="33" xfId="158" applyNumberFormat="1" applyFont="1" applyFill="1" applyBorder="1" applyAlignment="1">
      <alignment/>
    </xf>
    <xf numFmtId="10" fontId="0" fillId="0" borderId="0" xfId="158" applyNumberFormat="1" applyFont="1" applyFill="1" applyAlignment="1">
      <alignment/>
    </xf>
    <xf numFmtId="175" fontId="10" fillId="0" borderId="0" xfId="90" applyNumberFormat="1" applyFont="1" applyFill="1" applyAlignment="1">
      <alignment horizontal="right"/>
    </xf>
    <xf numFmtId="175" fontId="5" fillId="57" borderId="21" xfId="90" applyNumberFormat="1" applyFont="1" applyFill="1" applyBorder="1" applyAlignment="1">
      <alignment/>
    </xf>
    <xf numFmtId="0" fontId="5" fillId="57" borderId="19" xfId="0" applyFont="1" applyFill="1" applyBorder="1" applyAlignment="1">
      <alignment/>
    </xf>
    <xf numFmtId="175" fontId="16" fillId="0" borderId="21" xfId="90" applyNumberFormat="1" applyFont="1" applyFill="1" applyBorder="1" applyAlignment="1">
      <alignment/>
    </xf>
    <xf numFmtId="174" fontId="2" fillId="0" borderId="0" xfId="90" applyFont="1" applyFill="1" applyAlignment="1">
      <alignment/>
    </xf>
    <xf numFmtId="173" fontId="2" fillId="0" borderId="0" xfId="139" applyFont="1" applyFill="1" applyAlignment="1">
      <alignment/>
    </xf>
    <xf numFmtId="10" fontId="16" fillId="14" borderId="33" xfId="158" applyNumberFormat="1" applyFont="1" applyFill="1" applyBorder="1" applyAlignment="1">
      <alignment/>
    </xf>
    <xf numFmtId="0" fontId="16" fillId="57" borderId="21" xfId="0" applyFont="1" applyFill="1" applyBorder="1" applyAlignment="1">
      <alignment/>
    </xf>
    <xf numFmtId="10" fontId="16" fillId="57" borderId="33" xfId="158" applyNumberFormat="1" applyFont="1" applyFill="1" applyBorder="1" applyAlignment="1">
      <alignment/>
    </xf>
    <xf numFmtId="10" fontId="5" fillId="57" borderId="33" xfId="158" applyNumberFormat="1" applyFont="1" applyFill="1" applyBorder="1" applyAlignment="1">
      <alignment/>
    </xf>
    <xf numFmtId="175" fontId="16" fillId="57" borderId="21" xfId="90" applyNumberFormat="1" applyFont="1" applyFill="1" applyBorder="1" applyAlignment="1">
      <alignment/>
    </xf>
    <xf numFmtId="37" fontId="16" fillId="57" borderId="19" xfId="0" applyNumberFormat="1" applyFont="1" applyFill="1" applyBorder="1" applyAlignment="1">
      <alignment horizontal="left" wrapText="1"/>
    </xf>
    <xf numFmtId="37" fontId="16" fillId="57" borderId="19" xfId="0" applyNumberFormat="1" applyFont="1" applyFill="1" applyBorder="1" applyAlignment="1">
      <alignment horizontal="left"/>
    </xf>
    <xf numFmtId="3" fontId="16" fillId="57" borderId="19" xfId="0" applyNumberFormat="1" applyFont="1" applyFill="1" applyBorder="1" applyAlignment="1">
      <alignment/>
    </xf>
    <xf numFmtId="0" fontId="16" fillId="57" borderId="19" xfId="0" applyFont="1" applyFill="1" applyBorder="1" applyAlignment="1">
      <alignment/>
    </xf>
    <xf numFmtId="0" fontId="5" fillId="57" borderId="19" xfId="0" applyFont="1" applyFill="1" applyBorder="1" applyAlignment="1">
      <alignment/>
    </xf>
    <xf numFmtId="0" fontId="5" fillId="57" borderId="21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6" fillId="57" borderId="21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75" fontId="16" fillId="57" borderId="21" xfId="0" applyNumberFormat="1" applyFont="1" applyFill="1" applyBorder="1" applyAlignment="1">
      <alignment/>
    </xf>
    <xf numFmtId="0" fontId="16" fillId="57" borderId="19" xfId="0" applyFont="1" applyFill="1" applyBorder="1" applyAlignment="1">
      <alignment horizontal="left" indent="1"/>
    </xf>
    <xf numFmtId="175" fontId="5" fillId="0" borderId="21" xfId="90" applyNumberFormat="1" applyFont="1" applyFill="1" applyBorder="1" applyAlignment="1">
      <alignment/>
    </xf>
    <xf numFmtId="175" fontId="5" fillId="57" borderId="21" xfId="0" applyNumberFormat="1" applyFont="1" applyFill="1" applyBorder="1" applyAlignment="1">
      <alignment/>
    </xf>
    <xf numFmtId="0" fontId="5" fillId="0" borderId="50" xfId="0" applyFont="1" applyFill="1" applyBorder="1" applyAlignment="1">
      <alignment horizontal="left" indent="1"/>
    </xf>
    <xf numFmtId="3" fontId="5" fillId="0" borderId="69" xfId="0" applyNumberFormat="1" applyFont="1" applyFill="1" applyBorder="1" applyAlignment="1">
      <alignment/>
    </xf>
    <xf numFmtId="175" fontId="16" fillId="57" borderId="21" xfId="99" applyNumberFormat="1" applyFont="1" applyFill="1" applyBorder="1" applyAlignment="1">
      <alignment/>
    </xf>
    <xf numFmtId="175" fontId="16" fillId="57" borderId="21" xfId="99" applyNumberFormat="1" applyFont="1" applyFill="1" applyBorder="1" applyAlignment="1">
      <alignment/>
    </xf>
    <xf numFmtId="175" fontId="5" fillId="57" borderId="21" xfId="99" applyNumberFormat="1" applyFont="1" applyFill="1" applyBorder="1" applyAlignment="1">
      <alignment/>
    </xf>
    <xf numFmtId="3" fontId="16" fillId="57" borderId="19" xfId="0" applyNumberFormat="1" applyFont="1" applyFill="1" applyBorder="1" applyAlignment="1">
      <alignment/>
    </xf>
    <xf numFmtId="37" fontId="16" fillId="57" borderId="19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174" fontId="17" fillId="0" borderId="0" xfId="90" applyFont="1" applyFill="1" applyAlignment="1">
      <alignment/>
    </xf>
    <xf numFmtId="10" fontId="2" fillId="0" borderId="0" xfId="158" applyNumberFormat="1" applyFont="1" applyFill="1" applyAlignment="1">
      <alignment/>
    </xf>
    <xf numFmtId="0" fontId="5" fillId="0" borderId="70" xfId="0" applyFont="1" applyFill="1" applyBorder="1" applyAlignment="1">
      <alignment/>
    </xf>
    <xf numFmtId="10" fontId="16" fillId="0" borderId="71" xfId="153" applyNumberFormat="1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10" fontId="16" fillId="0" borderId="68" xfId="153" applyNumberFormat="1" applyFont="1" applyFill="1" applyBorder="1" applyAlignment="1">
      <alignment horizontal="center"/>
    </xf>
    <xf numFmtId="10" fontId="16" fillId="0" borderId="67" xfId="153" applyNumberFormat="1" applyFont="1" applyFill="1" applyBorder="1" applyAlignment="1">
      <alignment horizontal="center"/>
    </xf>
    <xf numFmtId="10" fontId="16" fillId="55" borderId="72" xfId="153" applyNumberFormat="1" applyFont="1" applyFill="1" applyBorder="1" applyAlignment="1">
      <alignment horizontal="right"/>
    </xf>
    <xf numFmtId="175" fontId="16" fillId="0" borderId="73" xfId="126" applyNumberFormat="1" applyFont="1" applyFill="1" applyBorder="1" applyAlignment="1">
      <alignment/>
    </xf>
    <xf numFmtId="0" fontId="16" fillId="0" borderId="74" xfId="0" applyFont="1" applyFill="1" applyBorder="1" applyAlignment="1">
      <alignment horizontal="left"/>
    </xf>
    <xf numFmtId="177" fontId="16" fillId="0" borderId="44" xfId="127" applyNumberFormat="1" applyFont="1" applyFill="1" applyBorder="1" applyAlignment="1">
      <alignment horizontal="center"/>
    </xf>
    <xf numFmtId="175" fontId="5" fillId="0" borderId="62" xfId="126" applyNumberFormat="1" applyFont="1" applyFill="1" applyBorder="1" applyAlignment="1">
      <alignment/>
    </xf>
    <xf numFmtId="0" fontId="0" fillId="0" borderId="0" xfId="148">
      <alignment/>
      <protection/>
    </xf>
    <xf numFmtId="0" fontId="0" fillId="0" borderId="0" xfId="148" applyFont="1">
      <alignment/>
      <protection/>
    </xf>
    <xf numFmtId="175" fontId="4" fillId="36" borderId="22" xfId="148" applyNumberFormat="1" applyFont="1" applyFill="1" applyBorder="1">
      <alignment/>
      <protection/>
    </xf>
    <xf numFmtId="0" fontId="16" fillId="36" borderId="22" xfId="148" applyFont="1" applyFill="1" applyBorder="1" applyAlignment="1">
      <alignment horizontal="center"/>
      <protection/>
    </xf>
    <xf numFmtId="0" fontId="16" fillId="55" borderId="0" xfId="148" applyFont="1" applyFill="1" applyBorder="1" applyAlignment="1">
      <alignment horizontal="right"/>
      <protection/>
    </xf>
    <xf numFmtId="175" fontId="0" fillId="0" borderId="22" xfId="93" applyNumberFormat="1" applyFont="1" applyFill="1" applyBorder="1" applyAlignment="1">
      <alignment/>
    </xf>
    <xf numFmtId="175" fontId="0" fillId="55" borderId="22" xfId="93" applyNumberFormat="1" applyFont="1" applyFill="1" applyBorder="1" applyAlignment="1">
      <alignment/>
    </xf>
    <xf numFmtId="176" fontId="3" fillId="0" borderId="0" xfId="146" applyNumberFormat="1" applyFont="1" applyFill="1">
      <alignment/>
      <protection/>
    </xf>
    <xf numFmtId="0" fontId="2" fillId="0" borderId="0" xfId="146" applyFont="1" applyFill="1">
      <alignment/>
      <protection/>
    </xf>
    <xf numFmtId="0" fontId="3" fillId="0" borderId="0" xfId="146" applyFont="1" applyFill="1">
      <alignment/>
      <protection/>
    </xf>
    <xf numFmtId="0" fontId="16" fillId="0" borderId="75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0" fillId="0" borderId="51" xfId="148" applyFont="1" applyFill="1" applyBorder="1" applyAlignment="1">
      <alignment horizontal="left" wrapText="1"/>
      <protection/>
    </xf>
    <xf numFmtId="0" fontId="0" fillId="0" borderId="76" xfId="148" applyFont="1" applyFill="1" applyBorder="1" applyAlignment="1">
      <alignment horizontal="left" wrapText="1"/>
      <protection/>
    </xf>
    <xf numFmtId="0" fontId="16" fillId="0" borderId="0" xfId="148" applyFont="1" applyFill="1" applyAlignment="1">
      <alignment horizontal="center"/>
      <protection/>
    </xf>
    <xf numFmtId="0" fontId="4" fillId="23" borderId="51" xfId="148" applyFont="1" applyFill="1" applyBorder="1" applyAlignment="1">
      <alignment horizontal="center" vertical="center" wrapText="1"/>
      <protection/>
    </xf>
    <xf numFmtId="0" fontId="4" fillId="23" borderId="76" xfId="148" applyFont="1" applyFill="1" applyBorder="1" applyAlignment="1">
      <alignment horizontal="center" vertical="center" wrapText="1"/>
      <protection/>
    </xf>
    <xf numFmtId="0" fontId="0" fillId="0" borderId="22" xfId="148" applyFont="1" applyFill="1" applyBorder="1" applyAlignment="1">
      <alignment horizontal="left" wrapText="1"/>
      <protection/>
    </xf>
    <xf numFmtId="0" fontId="4" fillId="36" borderId="22" xfId="148" applyFont="1" applyFill="1" applyBorder="1" applyAlignment="1">
      <alignment horizontal="center" vertical="center" wrapText="1"/>
      <protection/>
    </xf>
    <xf numFmtId="0" fontId="4" fillId="36" borderId="51" xfId="148" applyFont="1" applyFill="1" applyBorder="1" applyAlignment="1">
      <alignment horizontal="center" vertical="center" wrapText="1"/>
      <protection/>
    </xf>
    <xf numFmtId="0" fontId="4" fillId="36" borderId="76" xfId="148" applyFont="1" applyFill="1" applyBorder="1" applyAlignment="1">
      <alignment horizontal="center" vertical="center" wrapText="1"/>
      <protection/>
    </xf>
    <xf numFmtId="0" fontId="4" fillId="23" borderId="22" xfId="148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21" fillId="55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36" borderId="36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6" fillId="36" borderId="43" xfId="0" applyFont="1" applyFill="1" applyBorder="1" applyAlignment="1">
      <alignment horizontal="center"/>
    </xf>
    <xf numFmtId="0" fontId="16" fillId="36" borderId="37" xfId="0" applyFont="1" applyFill="1" applyBorder="1" applyAlignment="1">
      <alignment horizontal="center"/>
    </xf>
    <xf numFmtId="0" fontId="16" fillId="36" borderId="46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 wrapText="1"/>
    </xf>
    <xf numFmtId="0" fontId="16" fillId="36" borderId="31" xfId="0" applyFont="1" applyFill="1" applyBorder="1" applyAlignment="1">
      <alignment horizontal="center" wrapText="1"/>
    </xf>
    <xf numFmtId="0" fontId="16" fillId="36" borderId="30" xfId="0" applyFont="1" applyFill="1" applyBorder="1" applyAlignment="1">
      <alignment horizontal="center"/>
    </xf>
    <xf numFmtId="0" fontId="16" fillId="36" borderId="31" xfId="0" applyFont="1" applyFill="1" applyBorder="1" applyAlignment="1">
      <alignment horizontal="center"/>
    </xf>
    <xf numFmtId="173" fontId="4" fillId="36" borderId="36" xfId="128" applyFont="1" applyFill="1" applyBorder="1" applyAlignment="1">
      <alignment horizontal="center"/>
    </xf>
    <xf numFmtId="173" fontId="4" fillId="36" borderId="47" xfId="128" applyFont="1" applyFill="1" applyBorder="1" applyAlignment="1">
      <alignment horizontal="center"/>
    </xf>
    <xf numFmtId="173" fontId="4" fillId="36" borderId="37" xfId="128" applyFont="1" applyFill="1" applyBorder="1" applyAlignment="1">
      <alignment horizontal="center"/>
    </xf>
    <xf numFmtId="173" fontId="4" fillId="36" borderId="45" xfId="128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 vertical="justify" wrapText="1"/>
    </xf>
    <xf numFmtId="0" fontId="4" fillId="36" borderId="31" xfId="0" applyFont="1" applyFill="1" applyBorder="1" applyAlignment="1">
      <alignment horizontal="center" vertical="justify" wrapText="1"/>
    </xf>
    <xf numFmtId="0" fontId="4" fillId="36" borderId="25" xfId="0" applyFont="1" applyFill="1" applyBorder="1" applyAlignment="1">
      <alignment horizontal="center"/>
    </xf>
    <xf numFmtId="175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6" borderId="77" xfId="0" applyFont="1" applyFill="1" applyBorder="1" applyAlignment="1">
      <alignment horizontal="center" vertical="justify" wrapText="1"/>
    </xf>
    <xf numFmtId="0" fontId="4" fillId="36" borderId="78" xfId="0" applyFont="1" applyFill="1" applyBorder="1" applyAlignment="1">
      <alignment horizontal="center" vertical="justify" wrapText="1"/>
    </xf>
    <xf numFmtId="0" fontId="19" fillId="0" borderId="0" xfId="0" applyFont="1" applyAlignment="1">
      <alignment horizontal="center"/>
    </xf>
  </cellXfs>
  <cellStyles count="18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40% - Énfšsis3" xfId="39"/>
    <cellStyle name="40% - Énfšsis3 2" xfId="40"/>
    <cellStyle name="60% - Énfasis1" xfId="41"/>
    <cellStyle name="60% - Énfasis1 2" xfId="42"/>
    <cellStyle name="60% - Énfasis2" xfId="43"/>
    <cellStyle name="60% - Énfasis2 2" xfId="44"/>
    <cellStyle name="60% - Énfasis3" xfId="45"/>
    <cellStyle name="60% - Énfasis3 2" xfId="46"/>
    <cellStyle name="60% - Énfasis4" xfId="47"/>
    <cellStyle name="60% - Énfasis4 2" xfId="48"/>
    <cellStyle name="60% - Énfasis5" xfId="49"/>
    <cellStyle name="60% - Énfasis5 2" xfId="50"/>
    <cellStyle name="60% - Énfasis6" xfId="51"/>
    <cellStyle name="60% - Énfasis6 2" xfId="52"/>
    <cellStyle name="Buena" xfId="53"/>
    <cellStyle name="Buena 2" xfId="54"/>
    <cellStyle name="Cálculo" xfId="55"/>
    <cellStyle name="Cálculo 2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Euro 2" xfId="79"/>
    <cellStyle name="Euro 2 2" xfId="80"/>
    <cellStyle name="Euro 3" xfId="81"/>
    <cellStyle name="Hyperlink" xfId="82"/>
    <cellStyle name="Followed Hyperlink" xfId="83"/>
    <cellStyle name="Incorrecto" xfId="84"/>
    <cellStyle name="Incorrecto 2" xfId="85"/>
    <cellStyle name="Comma" xfId="86"/>
    <cellStyle name="Comma [0]" xfId="87"/>
    <cellStyle name="Millares 10" xfId="88"/>
    <cellStyle name="Millares 10 2" xfId="89"/>
    <cellStyle name="Millares 11" xfId="90"/>
    <cellStyle name="Millares 11 2" xfId="91"/>
    <cellStyle name="Millares 12" xfId="92"/>
    <cellStyle name="Millares 13" xfId="93"/>
    <cellStyle name="Millares 13 2" xfId="94"/>
    <cellStyle name="Millares 14" xfId="95"/>
    <cellStyle name="Millares 2" xfId="97"/>
    <cellStyle name="Millares 2 2" xfId="98"/>
    <cellStyle name="Millares 2 2 2" xfId="99"/>
    <cellStyle name="Millares 3" xfId="100"/>
    <cellStyle name="Millares 3 2" xfId="101"/>
    <cellStyle name="Millares 3 2 2" xfId="102"/>
    <cellStyle name="Millares 3 3" xfId="103"/>
    <cellStyle name="Millares 4" xfId="104"/>
    <cellStyle name="Millares 4 2" xfId="105"/>
    <cellStyle name="Millares 4 2 2" xfId="106"/>
    <cellStyle name="Millares 4 2 2 2" xfId="107"/>
    <cellStyle name="Millares 4 2 3" xfId="108"/>
    <cellStyle name="Millares 4 3" xfId="109"/>
    <cellStyle name="Millares 5" xfId="110"/>
    <cellStyle name="Millares 5 2" xfId="111"/>
    <cellStyle name="Millares 6" xfId="112"/>
    <cellStyle name="Millares 6 2" xfId="113"/>
    <cellStyle name="Millares 6 2 2" xfId="114"/>
    <cellStyle name="Millares 6 3" xfId="115"/>
    <cellStyle name="Millares 7" xfId="116"/>
    <cellStyle name="Millares 7 2" xfId="117"/>
    <cellStyle name="Millares 7 2 2" xfId="118"/>
    <cellStyle name="Millares 7 3" xfId="119"/>
    <cellStyle name="Millares 8" xfId="120"/>
    <cellStyle name="Millares 8 2" xfId="121"/>
    <cellStyle name="Millares 9" xfId="122"/>
    <cellStyle name="Millares 9 2" xfId="123"/>
    <cellStyle name="Millares 9 2 2" xfId="124"/>
    <cellStyle name="Millares 9 3" xfId="125"/>
    <cellStyle name="Millares_Formato Presupuesto Minagricultura" xfId="126"/>
    <cellStyle name="Millares_INGRESOS 2005" xfId="127"/>
    <cellStyle name="Currency" xfId="128"/>
    <cellStyle name="Currency [0]" xfId="129"/>
    <cellStyle name="Moneda 2" xfId="131"/>
    <cellStyle name="Moneda 2 2" xfId="132"/>
    <cellStyle name="Moneda 2 2 2" xfId="133"/>
    <cellStyle name="Moneda 2 3" xfId="134"/>
    <cellStyle name="Moneda 3" xfId="135"/>
    <cellStyle name="Moneda 3 2" xfId="136"/>
    <cellStyle name="Moneda 4" xfId="137"/>
    <cellStyle name="Moneda 4 2" xfId="138"/>
    <cellStyle name="Moneda 5" xfId="139"/>
    <cellStyle name="Moneda 5 2" xfId="140"/>
    <cellStyle name="Moneda 6" xfId="141"/>
    <cellStyle name="Neutral" xfId="143"/>
    <cellStyle name="Neutral 2" xfId="144"/>
    <cellStyle name="Normal 2" xfId="145"/>
    <cellStyle name="Normal 2 2" xfId="146"/>
    <cellStyle name="Normal 3" xfId="147"/>
    <cellStyle name="Normal 4" xfId="148"/>
    <cellStyle name="Normal 4 2" xfId="149"/>
    <cellStyle name="Normal 5" xfId="150"/>
    <cellStyle name="Notas" xfId="151"/>
    <cellStyle name="Notas 2" xfId="152"/>
    <cellStyle name="Percent" xfId="153"/>
    <cellStyle name="Porcentaje 2" xfId="154"/>
    <cellStyle name="Porcentaje 2 2" xfId="155"/>
    <cellStyle name="Porcentaje 3" xfId="156"/>
    <cellStyle name="Porcentaje 3 2" xfId="157"/>
    <cellStyle name="Porcentaje 4" xfId="158"/>
    <cellStyle name="Porcentaje 4 2" xfId="159"/>
    <cellStyle name="Porcentaje 5" xfId="160"/>
    <cellStyle name="Porcentaje 6" xfId="161"/>
    <cellStyle name="Porcentaje 7" xfId="162"/>
    <cellStyle name="Porcentaje 8" xfId="163"/>
    <cellStyle name="Porcentual 2" xfId="164"/>
    <cellStyle name="Porcentual 2 2" xfId="165"/>
    <cellStyle name="Porcentual 2 2 2" xfId="166"/>
    <cellStyle name="Porcentual 2 3" xfId="167"/>
    <cellStyle name="Porcentual 3" xfId="168"/>
    <cellStyle name="Porcentual 3 2" xfId="169"/>
    <cellStyle name="Porcentual 3 2 2" xfId="170"/>
    <cellStyle name="Porcentual 3 3" xfId="171"/>
    <cellStyle name="Porcentual 4" xfId="172"/>
    <cellStyle name="Porcentual 4 2" xfId="173"/>
    <cellStyle name="Porcentual 5" xfId="174"/>
    <cellStyle name="Porcentual 5 2" xfId="175"/>
    <cellStyle name="Porcentual 5 2 2" xfId="176"/>
    <cellStyle name="Porcentual 5 3" xfId="177"/>
    <cellStyle name="Porcentual 6" xfId="178"/>
    <cellStyle name="Porcentual 6 2" xfId="179"/>
    <cellStyle name="Porcentual 6 2 2" xfId="180"/>
    <cellStyle name="Porcentual 6 3" xfId="181"/>
    <cellStyle name="Porcentual 7" xfId="182"/>
    <cellStyle name="Porcentual 7 2" xfId="183"/>
    <cellStyle name="Porcentual 7 2 2" xfId="184"/>
    <cellStyle name="Porcentual 7 3" xfId="185"/>
    <cellStyle name="Porcentual 8" xfId="186"/>
    <cellStyle name="Porcentual 8 2" xfId="187"/>
    <cellStyle name="Salida" xfId="188"/>
    <cellStyle name="Salida 2" xfId="189"/>
    <cellStyle name="Texto de advertencia" xfId="190"/>
    <cellStyle name="Texto de advertencia 2" xfId="191"/>
    <cellStyle name="Texto explicativo" xfId="192"/>
    <cellStyle name="Texto explicativo 2" xfId="193"/>
    <cellStyle name="Título" xfId="194"/>
    <cellStyle name="Título 1 2" xfId="195"/>
    <cellStyle name="Título 2" xfId="196"/>
    <cellStyle name="Título 2 2" xfId="197"/>
    <cellStyle name="Título 3" xfId="198"/>
    <cellStyle name="Título 3 2" xfId="199"/>
    <cellStyle name="Título 4" xfId="200"/>
    <cellStyle name="Total" xfId="201"/>
    <cellStyle name="Total 2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1\Presentaciones\COMITES%20PPC\DESPACHOS%20BIOLOGICO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Informe%20gesti&#243;n%20definitivo%20I%20semestre%202012\gastos%20enero%20junio%20de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A&#241;o%202010\MANEJO%20PTO%202010\PRESUPUESTO%20INGRESOS%20ESTIMADO%2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ppc%2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JefeControlRegional\Presupuesto%202008\Presupuesto%20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carRubio\AppData\Local\Microsoft\Windows\Temporary%20Internet%20Files\Content.Outlook\INBWVVAW\ANEXO%20ACUERDO%204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PTO%20FONDO%202010\Presupuesto%202010%20versi&#243;n%203\PRESUPUESTO%2010%203a%20%20versi&#243;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ntrol%20Previo\A&#241;o2007\MANEJO%20PPTO%202007\PRESUPUESTO%202007%20ESTIMAD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2\ACUERDOS%202012\ANEXO%20ACUERDO%2015-12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2013\PRESUPUESTO%20FNP%202013%20III%20VERSION%20DEFINITIVA\PRESUPUESTO%20I%20TRIMESTRE%202013\Solicitud%201er%20trimestre%20Econ&#243;mi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2013\PRESUPUESTO%20FNP%202013%20III%20VERSION%20DEFINITIVA\PRESUPUESTO%20I%20TRIMESTRE%202013\Solicitud%20presupuesto%20I%20Tri%202013%20tecnica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ABILIDAD\ANEXO%20CIERRE%20DE%20INGRES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Anexo 2 X Areas"/>
      <sheetName val="#¡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4">
        <row r="86">
          <cell r="B86">
            <v>117000000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FUN"/>
      <sheetName val="PPC"/>
      <sheetName val="ECO"/>
      <sheetName val="TEC"/>
      <sheetName val="MER"/>
    </sheetNames>
    <sheetDataSet>
      <sheetData sheetId="0">
        <row r="27">
          <cell r="J27">
            <v>49600000</v>
          </cell>
        </row>
        <row r="34">
          <cell r="J34">
            <v>62130000</v>
          </cell>
        </row>
        <row r="35">
          <cell r="J35">
            <v>84000000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ANEXO INGRESOS"/>
      <sheetName val="Otros ingresos"/>
      <sheetName val="Presupuesto general"/>
      <sheetName val="2004VS2005"/>
      <sheetName val="Anexo 2 "/>
      <sheetName val="Funcionamiento"/>
      <sheetName val="Nómina y honorarios 2013"/>
      <sheetName val="Inversión total en programas"/>
      <sheetName val="MODELO CONTRATISTAS"/>
      <sheetName val="Servicios personal 2005"/>
      <sheetName val="Nómina 2004"/>
    </sheetNames>
    <sheetDataSet>
      <sheetData sheetId="0">
        <row r="14">
          <cell r="C14">
            <v>2723906580</v>
          </cell>
        </row>
        <row r="15">
          <cell r="B15">
            <v>7397690863.9536</v>
          </cell>
          <cell r="C15">
            <v>1634343948</v>
          </cell>
        </row>
        <row r="18">
          <cell r="C18">
            <v>82905855</v>
          </cell>
        </row>
        <row r="19">
          <cell r="C19">
            <v>49743513</v>
          </cell>
        </row>
        <row r="32">
          <cell r="B32">
            <v>2062421440</v>
          </cell>
        </row>
      </sheetData>
      <sheetData sheetId="6">
        <row r="8">
          <cell r="F8">
            <v>39061574.9577</v>
          </cell>
          <cell r="G8">
            <v>4000000</v>
          </cell>
          <cell r="H8">
            <v>5600000</v>
          </cell>
          <cell r="I8">
            <v>0</v>
          </cell>
          <cell r="J8">
            <v>3500000</v>
          </cell>
          <cell r="K8">
            <v>6000000</v>
          </cell>
        </row>
        <row r="10">
          <cell r="F10">
            <v>3766122</v>
          </cell>
        </row>
        <row r="12">
          <cell r="F12">
            <v>4525390.9766</v>
          </cell>
          <cell r="G12">
            <v>2100000</v>
          </cell>
        </row>
        <row r="14">
          <cell r="F14">
            <v>5188985.516</v>
          </cell>
          <cell r="G14">
            <v>1464407.4588</v>
          </cell>
          <cell r="H14">
            <v>1464407.4588</v>
          </cell>
          <cell r="I14">
            <v>1464407.4588</v>
          </cell>
          <cell r="J14">
            <v>1464407.4588</v>
          </cell>
          <cell r="K14">
            <v>1464407.4588</v>
          </cell>
        </row>
        <row r="16">
          <cell r="F16">
            <v>6530550</v>
          </cell>
          <cell r="G16">
            <v>1814750</v>
          </cell>
          <cell r="H16">
            <v>2333250</v>
          </cell>
          <cell r="I16">
            <v>907375</v>
          </cell>
          <cell r="J16">
            <v>388875</v>
          </cell>
          <cell r="K16">
            <v>2333250</v>
          </cell>
        </row>
        <row r="18">
          <cell r="F18">
            <v>10936246.4952</v>
          </cell>
          <cell r="G18">
            <v>9000000</v>
          </cell>
          <cell r="H18">
            <v>3800000</v>
          </cell>
        </row>
        <row r="20">
          <cell r="F20">
            <v>4500000</v>
          </cell>
          <cell r="G20">
            <v>45000000</v>
          </cell>
          <cell r="H20">
            <v>3073200</v>
          </cell>
          <cell r="I20">
            <v>5000000</v>
          </cell>
          <cell r="J20">
            <v>2000000</v>
          </cell>
          <cell r="K20">
            <v>6000000</v>
          </cell>
        </row>
        <row r="22">
          <cell r="F22">
            <v>1992393.9749999999</v>
          </cell>
          <cell r="G22">
            <v>3000000</v>
          </cell>
          <cell r="H22">
            <v>8623990.12768</v>
          </cell>
          <cell r="I22">
            <v>800000</v>
          </cell>
        </row>
        <row r="24">
          <cell r="F24">
            <v>6250000</v>
          </cell>
          <cell r="G24">
            <v>20000000</v>
          </cell>
          <cell r="H24">
            <v>9221081.7085504</v>
          </cell>
          <cell r="I24">
            <v>3000000</v>
          </cell>
          <cell r="J24">
            <v>1500000</v>
          </cell>
          <cell r="K24">
            <v>2500000</v>
          </cell>
        </row>
        <row r="26">
          <cell r="F26">
            <v>1073236.2212</v>
          </cell>
          <cell r="G26">
            <v>540000</v>
          </cell>
          <cell r="H26">
            <v>563420</v>
          </cell>
          <cell r="I26">
            <v>400000</v>
          </cell>
          <cell r="J26">
            <v>500000</v>
          </cell>
          <cell r="K26">
            <v>570000</v>
          </cell>
        </row>
        <row r="28">
          <cell r="F28">
            <v>8150000</v>
          </cell>
          <cell r="G28">
            <v>9000000</v>
          </cell>
          <cell r="H28">
            <v>15747413.46</v>
          </cell>
          <cell r="I28">
            <v>500000</v>
          </cell>
          <cell r="J28">
            <v>6000000</v>
          </cell>
        </row>
        <row r="30">
          <cell r="F30">
            <v>4954419.6845</v>
          </cell>
        </row>
        <row r="32">
          <cell r="F32">
            <v>26000000</v>
          </cell>
          <cell r="G32">
            <v>14400000</v>
          </cell>
        </row>
        <row r="34">
          <cell r="F34">
            <v>0</v>
          </cell>
        </row>
      </sheetData>
      <sheetData sheetId="7">
        <row r="12">
          <cell r="K12">
            <v>49306066.57946666</v>
          </cell>
          <cell r="L12">
            <v>3661801.3816222223</v>
          </cell>
          <cell r="M12">
            <v>439416.1657946666</v>
          </cell>
          <cell r="N12">
            <v>3661801.3816222223</v>
          </cell>
          <cell r="O12">
            <v>1830900.6908111111</v>
          </cell>
          <cell r="S12">
            <v>9988996.02133548</v>
          </cell>
          <cell r="U12">
            <v>1723448.6631786665</v>
          </cell>
          <cell r="X12">
            <v>2154310.828973333</v>
          </cell>
        </row>
        <row r="27">
          <cell r="K27">
            <v>143216987.14353335</v>
          </cell>
          <cell r="L27">
            <v>9997586.428627776</v>
          </cell>
          <cell r="M27">
            <v>1199710.371435333</v>
          </cell>
          <cell r="N27">
            <v>9997586.428627776</v>
          </cell>
          <cell r="O27">
            <v>5967374.464313888</v>
          </cell>
          <cell r="S27">
            <v>28932638.671916515</v>
          </cell>
          <cell r="U27">
            <v>5441174.085741334</v>
          </cell>
          <cell r="X27">
            <v>6801467.607176665</v>
          </cell>
        </row>
        <row r="41">
          <cell r="K41">
            <v>52998600.972893335</v>
          </cell>
          <cell r="L41">
            <v>2479387.581074444</v>
          </cell>
          <cell r="M41">
            <v>297526.5097289333</v>
          </cell>
          <cell r="N41">
            <v>2479387.581074444</v>
          </cell>
          <cell r="O41">
            <v>2208275.0405372223</v>
          </cell>
          <cell r="S41">
            <v>9630381.266821636</v>
          </cell>
          <cell r="U41">
            <v>1832438.6389157332</v>
          </cell>
          <cell r="X41">
            <v>2290548.298644666</v>
          </cell>
        </row>
        <row r="50">
          <cell r="K50">
            <v>56487489.41472001</v>
          </cell>
          <cell r="L50">
            <v>2770128.2845599996</v>
          </cell>
          <cell r="M50">
            <v>332415.3941472</v>
          </cell>
          <cell r="N50">
            <v>2770128.2845599996</v>
          </cell>
          <cell r="O50">
            <v>2353645.3922800003</v>
          </cell>
          <cell r="S50">
            <v>10363815.395062437</v>
          </cell>
          <cell r="U50">
            <v>1971994.1765887996</v>
          </cell>
          <cell r="X50">
            <v>2464992.7207359998</v>
          </cell>
        </row>
        <row r="60">
          <cell r="K60">
            <v>35672284.54729333</v>
          </cell>
          <cell r="L60">
            <v>1035527.878941111</v>
          </cell>
          <cell r="M60">
            <v>124263.34547293333</v>
          </cell>
          <cell r="N60">
            <v>1035527.878941111</v>
          </cell>
          <cell r="O60">
            <v>1486345.1894705554</v>
          </cell>
          <cell r="S60">
            <v>5988043.027832003</v>
          </cell>
          <cell r="U60">
            <v>1139385.9818917334</v>
          </cell>
          <cell r="X60">
            <v>1424232.4773646668</v>
          </cell>
        </row>
        <row r="68">
          <cell r="K68">
            <v>159865794.93612003</v>
          </cell>
          <cell r="L68">
            <v>11384987.078010002</v>
          </cell>
          <cell r="M68">
            <v>1366198.4493611997</v>
          </cell>
          <cell r="N68">
            <v>11384987.078010002</v>
          </cell>
          <cell r="O68">
            <v>6661074.789005001</v>
          </cell>
          <cell r="S68">
            <v>32623835.300146054</v>
          </cell>
          <cell r="U68">
            <v>6090018.3974448</v>
          </cell>
          <cell r="X68">
            <v>7612522.9968059985</v>
          </cell>
        </row>
        <row r="94">
          <cell r="I94">
            <v>1920000</v>
          </cell>
          <cell r="K94">
            <v>480000</v>
          </cell>
          <cell r="M94">
            <v>480000</v>
          </cell>
          <cell r="O94">
            <v>480000</v>
          </cell>
          <cell r="Q94">
            <v>480000</v>
          </cell>
          <cell r="S94">
            <v>1440000</v>
          </cell>
        </row>
        <row r="105">
          <cell r="I105">
            <v>21489416.088</v>
          </cell>
        </row>
      </sheetData>
      <sheetData sheetId="8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11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gregados"/>
      <sheetName val="Generales"/>
      <sheetName val="Inversión"/>
      <sheetName val="Supuestos"/>
      <sheetName val="Cundinamarca"/>
      <sheetName val="Antioquia"/>
      <sheetName val="Valle"/>
      <sheetName val="Meta"/>
      <sheetName val="Sucre"/>
      <sheetName val="Córdoba"/>
      <sheetName val="IAT"/>
      <sheetName val="Regional"/>
    </sheetNames>
    <sheetDataSet>
      <sheetData sheetId="0">
        <row r="7">
          <cell r="G7">
            <v>11976780.3216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3 I Trimestre"/>
    </sheetNames>
    <sheetDataSet>
      <sheetData sheetId="0">
        <row r="94">
          <cell r="G94">
            <v>16000000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0"/>
  <sheetViews>
    <sheetView tabSelected="1" view="pageBreakPreview" zoomScale="6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4" sqref="A14"/>
    </sheetView>
  </sheetViews>
  <sheetFormatPr defaultColWidth="11.421875" defaultRowHeight="12.75"/>
  <cols>
    <col min="1" max="1" width="53.28125" style="1" customWidth="1"/>
    <col min="2" max="2" width="38.140625" style="1" customWidth="1"/>
    <col min="3" max="3" width="32.140625" style="1" customWidth="1"/>
    <col min="4" max="4" width="24.140625" style="1" customWidth="1"/>
    <col min="5" max="5" width="18.140625" style="1" customWidth="1"/>
    <col min="6" max="6" width="18.00390625" style="1" hidden="1" customWidth="1"/>
    <col min="7" max="7" width="15.8515625" style="1" bestFit="1" customWidth="1"/>
    <col min="8" max="8" width="16.140625" style="1" bestFit="1" customWidth="1"/>
    <col min="9" max="9" width="12.00390625" style="1" bestFit="1" customWidth="1"/>
    <col min="10" max="10" width="11.8515625" style="1" bestFit="1" customWidth="1"/>
    <col min="11" max="11" width="12.00390625" style="1" bestFit="1" customWidth="1"/>
    <col min="12" max="16384" width="11.421875" style="1" customWidth="1"/>
  </cols>
  <sheetData>
    <row r="1" spans="1:4" ht="15.75">
      <c r="A1" s="36"/>
      <c r="B1" s="36"/>
      <c r="C1" s="36"/>
      <c r="D1" s="36"/>
    </row>
    <row r="2" spans="1:5" ht="15.75">
      <c r="A2" s="430" t="s">
        <v>40</v>
      </c>
      <c r="B2" s="430"/>
      <c r="C2" s="430"/>
      <c r="D2" s="430"/>
      <c r="E2" s="430"/>
    </row>
    <row r="3" spans="1:5" ht="15.75">
      <c r="A3" s="430" t="s">
        <v>39</v>
      </c>
      <c r="B3" s="430"/>
      <c r="C3" s="430"/>
      <c r="D3" s="430"/>
      <c r="E3" s="430"/>
    </row>
    <row r="4" spans="1:6" ht="15.75">
      <c r="A4" s="430" t="s">
        <v>438</v>
      </c>
      <c r="B4" s="430"/>
      <c r="C4" s="430"/>
      <c r="D4" s="430"/>
      <c r="E4" s="430"/>
      <c r="F4" s="139"/>
    </row>
    <row r="5" spans="1:5" ht="15.75">
      <c r="A5" s="430" t="s">
        <v>449</v>
      </c>
      <c r="B5" s="430"/>
      <c r="C5" s="430"/>
      <c r="D5" s="430"/>
      <c r="E5" s="430"/>
    </row>
    <row r="6" spans="1:5" ht="15.75">
      <c r="A6" s="431" t="s">
        <v>16</v>
      </c>
      <c r="B6" s="431"/>
      <c r="C6" s="431"/>
      <c r="D6" s="431"/>
      <c r="E6" s="431"/>
    </row>
    <row r="7" spans="1:5" ht="16.5" thickBot="1">
      <c r="A7" s="34"/>
      <c r="B7" s="34"/>
      <c r="C7" s="34"/>
      <c r="D7" s="34"/>
      <c r="E7" s="243"/>
    </row>
    <row r="8" spans="1:5" ht="16.5" thickTop="1">
      <c r="A8" s="427" t="s">
        <v>29</v>
      </c>
      <c r="B8" s="361" t="s">
        <v>100</v>
      </c>
      <c r="C8" s="361" t="s">
        <v>100</v>
      </c>
      <c r="D8" s="432" t="s">
        <v>345</v>
      </c>
      <c r="E8" s="410" t="s">
        <v>324</v>
      </c>
    </row>
    <row r="9" spans="1:5" ht="15.75">
      <c r="A9" s="428"/>
      <c r="B9" s="362" t="s">
        <v>315</v>
      </c>
      <c r="C9" s="362" t="s">
        <v>342</v>
      </c>
      <c r="D9" s="433"/>
      <c r="E9" s="409" t="s">
        <v>343</v>
      </c>
    </row>
    <row r="10" spans="1:5" ht="16.5" thickBot="1">
      <c r="A10" s="429"/>
      <c r="B10" s="408" t="s">
        <v>344</v>
      </c>
      <c r="C10" s="408" t="s">
        <v>344</v>
      </c>
      <c r="D10" s="434"/>
      <c r="E10" s="407"/>
    </row>
    <row r="11" spans="1:5" ht="16.5" thickTop="1">
      <c r="A11" s="413" t="s">
        <v>102</v>
      </c>
      <c r="B11" s="414">
        <f>+B13+B17+B21</f>
        <v>4812806023</v>
      </c>
      <c r="C11" s="414">
        <f>+C13+C17+C21</f>
        <v>4364758673</v>
      </c>
      <c r="D11" s="412">
        <f>+C11-B11</f>
        <v>-448047350</v>
      </c>
      <c r="E11" s="411">
        <f>+C11/B11</f>
        <v>0.9069051717732194</v>
      </c>
    </row>
    <row r="12" spans="1:5" ht="13.5" customHeight="1">
      <c r="A12" s="340"/>
      <c r="B12" s="356"/>
      <c r="C12" s="356"/>
      <c r="D12" s="356"/>
      <c r="E12" s="341"/>
    </row>
    <row r="13" spans="1:9" ht="15.75">
      <c r="A13" s="342" t="s">
        <v>159</v>
      </c>
      <c r="B13" s="351">
        <f>+B14+B15</f>
        <v>4358250528</v>
      </c>
      <c r="C13" s="351">
        <f>+C14+C15</f>
        <v>4240872850</v>
      </c>
      <c r="D13" s="352">
        <f aca="true" t="shared" si="0" ref="D13:D39">+C13-B13</f>
        <v>-117377678</v>
      </c>
      <c r="E13" s="343">
        <f aca="true" t="shared" si="1" ref="E13:E39">+C13/B13</f>
        <v>0.9730677075019217</v>
      </c>
      <c r="I13" s="6"/>
    </row>
    <row r="14" spans="1:11" ht="15.75">
      <c r="A14" s="340" t="s">
        <v>103</v>
      </c>
      <c r="B14" s="350">
        <v>2723906580</v>
      </c>
      <c r="C14" s="350">
        <v>2650545531</v>
      </c>
      <c r="D14" s="356">
        <f t="shared" si="0"/>
        <v>-73361049</v>
      </c>
      <c r="E14" s="341">
        <f>+C14/B14</f>
        <v>0.9730677074101418</v>
      </c>
      <c r="H14" s="37"/>
      <c r="K14" s="6"/>
    </row>
    <row r="15" spans="1:11" ht="15.75">
      <c r="A15" s="340" t="s">
        <v>104</v>
      </c>
      <c r="B15" s="353">
        <v>1634343948</v>
      </c>
      <c r="C15" s="353">
        <v>1590327319</v>
      </c>
      <c r="D15" s="357">
        <f t="shared" si="0"/>
        <v>-44016629</v>
      </c>
      <c r="E15" s="341">
        <f t="shared" si="1"/>
        <v>0.9730677076548884</v>
      </c>
      <c r="F15" s="316"/>
      <c r="H15" s="6"/>
      <c r="K15" s="6"/>
    </row>
    <row r="16" spans="1:11" ht="15.75">
      <c r="A16" s="340"/>
      <c r="B16" s="356"/>
      <c r="C16" s="356"/>
      <c r="D16" s="356"/>
      <c r="E16" s="341"/>
      <c r="H16" s="33"/>
      <c r="K16" s="6"/>
    </row>
    <row r="17" spans="1:8" ht="15.75">
      <c r="A17" s="344" t="s">
        <v>47</v>
      </c>
      <c r="B17" s="352">
        <f>+B18+B19</f>
        <v>132649368</v>
      </c>
      <c r="C17" s="352">
        <f>+C18+C19</f>
        <v>123885823</v>
      </c>
      <c r="D17" s="352">
        <f t="shared" si="0"/>
        <v>-8763545</v>
      </c>
      <c r="E17" s="345">
        <f>+C17/B17</f>
        <v>0.933934513732474</v>
      </c>
      <c r="H17" s="6"/>
    </row>
    <row r="18" spans="1:8" ht="15.75">
      <c r="A18" s="340" t="s">
        <v>103</v>
      </c>
      <c r="B18" s="356">
        <v>82905855</v>
      </c>
      <c r="C18" s="356">
        <v>77425116</v>
      </c>
      <c r="D18" s="356">
        <f t="shared" si="0"/>
        <v>-5480739</v>
      </c>
      <c r="E18" s="341">
        <f>+C18/B18</f>
        <v>0.9338920152261864</v>
      </c>
      <c r="F18" s="37"/>
      <c r="G18" s="37"/>
      <c r="H18" s="6"/>
    </row>
    <row r="19" spans="1:8" ht="15.75">
      <c r="A19" s="340" t="s">
        <v>104</v>
      </c>
      <c r="B19" s="356">
        <v>49743513</v>
      </c>
      <c r="C19" s="356">
        <v>46460707</v>
      </c>
      <c r="D19" s="356">
        <f t="shared" si="0"/>
        <v>-3282806</v>
      </c>
      <c r="E19" s="341">
        <f>+C19/B19</f>
        <v>0.9340053445762868</v>
      </c>
      <c r="H19" s="6"/>
    </row>
    <row r="20" spans="1:9" ht="15.75">
      <c r="A20" s="340"/>
      <c r="B20" s="356"/>
      <c r="C20" s="356"/>
      <c r="D20" s="356"/>
      <c r="E20" s="341"/>
      <c r="H20" s="8"/>
      <c r="I20" s="6"/>
    </row>
    <row r="21" spans="1:8" ht="15.75">
      <c r="A21" s="344" t="s">
        <v>13</v>
      </c>
      <c r="B21" s="352">
        <f>+B22+B23</f>
        <v>321906127</v>
      </c>
      <c r="C21" s="352">
        <f>+C22</f>
        <v>0</v>
      </c>
      <c r="D21" s="358">
        <f t="shared" si="0"/>
        <v>-321906127</v>
      </c>
      <c r="E21" s="345">
        <f t="shared" si="1"/>
        <v>0</v>
      </c>
      <c r="H21" s="3"/>
    </row>
    <row r="22" spans="1:8" ht="15.75">
      <c r="A22" s="340" t="s">
        <v>103</v>
      </c>
      <c r="B22" s="353">
        <v>321906127</v>
      </c>
      <c r="C22" s="353">
        <v>0</v>
      </c>
      <c r="D22" s="357">
        <f t="shared" si="0"/>
        <v>-321906127</v>
      </c>
      <c r="E22" s="341">
        <f t="shared" si="1"/>
        <v>0</v>
      </c>
      <c r="H22" s="31"/>
    </row>
    <row r="23" spans="1:8" ht="15.75">
      <c r="A23" s="340" t="s">
        <v>104</v>
      </c>
      <c r="B23" s="356">
        <v>0</v>
      </c>
      <c r="C23" s="356">
        <v>0</v>
      </c>
      <c r="D23" s="356">
        <f t="shared" si="0"/>
        <v>0</v>
      </c>
      <c r="E23" s="341">
        <v>0</v>
      </c>
      <c r="H23" s="9"/>
    </row>
    <row r="24" spans="1:8" ht="15.75">
      <c r="A24" s="340"/>
      <c r="B24" s="356"/>
      <c r="C24" s="356"/>
      <c r="D24" s="356"/>
      <c r="E24" s="341"/>
      <c r="H24" s="9"/>
    </row>
    <row r="25" spans="1:8" ht="15.75">
      <c r="A25" s="344" t="s">
        <v>105</v>
      </c>
      <c r="B25" s="352">
        <f>+B27+B31</f>
        <v>676698069.525</v>
      </c>
      <c r="C25" s="352">
        <f>+C27+C31</f>
        <v>841050845.125</v>
      </c>
      <c r="D25" s="358">
        <f t="shared" si="0"/>
        <v>164352775.60000002</v>
      </c>
      <c r="E25" s="345">
        <f t="shared" si="1"/>
        <v>1.2428746039062377</v>
      </c>
      <c r="H25" s="3"/>
    </row>
    <row r="26" spans="1:8" ht="15.75">
      <c r="A26" s="340"/>
      <c r="B26" s="356"/>
      <c r="C26" s="356"/>
      <c r="D26" s="356"/>
      <c r="E26" s="341"/>
      <c r="H26" s="6"/>
    </row>
    <row r="27" spans="1:5" ht="15.75">
      <c r="A27" s="344" t="s">
        <v>106</v>
      </c>
      <c r="B27" s="352">
        <f>+B28+B29</f>
        <v>38745206</v>
      </c>
      <c r="C27" s="352">
        <f>+C28+C29</f>
        <v>80877127</v>
      </c>
      <c r="D27" s="358">
        <f t="shared" si="0"/>
        <v>42131921</v>
      </c>
      <c r="E27" s="345">
        <f t="shared" si="1"/>
        <v>2.0874099107899955</v>
      </c>
    </row>
    <row r="28" spans="1:8" ht="15.75">
      <c r="A28" s="340" t="s">
        <v>66</v>
      </c>
      <c r="B28" s="350">
        <v>27417100</v>
      </c>
      <c r="C28" s="350">
        <v>38599318</v>
      </c>
      <c r="D28" s="356">
        <f t="shared" si="0"/>
        <v>11182218</v>
      </c>
      <c r="E28" s="341">
        <f t="shared" si="1"/>
        <v>1.4078556083612053</v>
      </c>
      <c r="H28" s="6"/>
    </row>
    <row r="29" spans="1:8" ht="15.75">
      <c r="A29" s="340" t="s">
        <v>67</v>
      </c>
      <c r="B29" s="350">
        <v>11328106</v>
      </c>
      <c r="C29" s="350">
        <v>42277809</v>
      </c>
      <c r="D29" s="356">
        <f t="shared" si="0"/>
        <v>30949703</v>
      </c>
      <c r="E29" s="341">
        <f t="shared" si="1"/>
        <v>3.7321162955219522</v>
      </c>
      <c r="H29" s="6"/>
    </row>
    <row r="30" spans="1:5" ht="15.75">
      <c r="A30" s="340"/>
      <c r="B30" s="356"/>
      <c r="C30" s="356"/>
      <c r="D30" s="356"/>
      <c r="E30" s="341"/>
    </row>
    <row r="31" spans="1:5" ht="15.75">
      <c r="A31" s="344" t="s">
        <v>107</v>
      </c>
      <c r="B31" s="352">
        <f>SUM(B32:B37)</f>
        <v>637952863.525</v>
      </c>
      <c r="C31" s="352">
        <f>SUM(C32:C37)</f>
        <v>760173718.125</v>
      </c>
      <c r="D31" s="358">
        <f t="shared" si="0"/>
        <v>122220854.60000002</v>
      </c>
      <c r="E31" s="345">
        <f t="shared" si="1"/>
        <v>1.1915828920724179</v>
      </c>
    </row>
    <row r="32" spans="1:5" ht="15.75">
      <c r="A32" s="340" t="s">
        <v>108</v>
      </c>
      <c r="B32" s="350">
        <v>365667925.4</v>
      </c>
      <c r="C32" s="350">
        <v>708175056</v>
      </c>
      <c r="D32" s="356">
        <f t="shared" si="0"/>
        <v>342507130.6</v>
      </c>
      <c r="E32" s="341">
        <f t="shared" si="1"/>
        <v>1.9366616725416521</v>
      </c>
    </row>
    <row r="33" spans="1:5" ht="15.75">
      <c r="A33" s="346" t="s">
        <v>69</v>
      </c>
      <c r="B33" s="354">
        <v>3132857.625</v>
      </c>
      <c r="C33" s="354">
        <v>2328776.625</v>
      </c>
      <c r="D33" s="359">
        <f t="shared" si="0"/>
        <v>-804081</v>
      </c>
      <c r="E33" s="347">
        <f t="shared" si="1"/>
        <v>0.7433394375845599</v>
      </c>
    </row>
    <row r="34" spans="1:5" ht="15.75">
      <c r="A34" s="346" t="s">
        <v>70</v>
      </c>
      <c r="B34" s="354">
        <v>5139621.75</v>
      </c>
      <c r="C34" s="354">
        <v>562102.75</v>
      </c>
      <c r="D34" s="359">
        <f t="shared" si="0"/>
        <v>-4577519</v>
      </c>
      <c r="E34" s="347">
        <f t="shared" si="1"/>
        <v>0.1093665599029734</v>
      </c>
    </row>
    <row r="35" spans="1:5" ht="15.75">
      <c r="A35" s="346" t="s">
        <v>68</v>
      </c>
      <c r="B35" s="354">
        <v>15633793.75</v>
      </c>
      <c r="C35" s="354">
        <v>19998786.75</v>
      </c>
      <c r="D35" s="359">
        <f t="shared" si="0"/>
        <v>4364993</v>
      </c>
      <c r="E35" s="347">
        <f t="shared" si="1"/>
        <v>1.27920241687978</v>
      </c>
    </row>
    <row r="36" spans="1:6" ht="15.75">
      <c r="A36" s="346" t="s">
        <v>132</v>
      </c>
      <c r="B36" s="415">
        <v>248378665</v>
      </c>
      <c r="C36" s="415">
        <v>29108996</v>
      </c>
      <c r="D36" s="359">
        <f t="shared" si="0"/>
        <v>-219269669</v>
      </c>
      <c r="E36" s="347">
        <f t="shared" si="1"/>
        <v>0.11719604016713754</v>
      </c>
      <c r="F36" s="1" t="s">
        <v>422</v>
      </c>
    </row>
    <row r="37" spans="1:5" ht="15.75">
      <c r="A37" s="346" t="s">
        <v>160</v>
      </c>
      <c r="B37" s="354">
        <v>0</v>
      </c>
      <c r="C37" s="354">
        <v>0</v>
      </c>
      <c r="D37" s="359">
        <f t="shared" si="0"/>
        <v>0</v>
      </c>
      <c r="E37" s="347">
        <v>0</v>
      </c>
    </row>
    <row r="38" spans="1:5" ht="16.5" thickBot="1">
      <c r="A38" s="346"/>
      <c r="B38" s="359"/>
      <c r="C38" s="359"/>
      <c r="D38" s="359"/>
      <c r="E38" s="347"/>
    </row>
    <row r="39" spans="1:5" ht="16.5" thickBot="1">
      <c r="A39" s="348" t="s">
        <v>109</v>
      </c>
      <c r="B39" s="355">
        <f>+B25+B11</f>
        <v>5489504092.525</v>
      </c>
      <c r="C39" s="355">
        <f>+C25+C11</f>
        <v>5205809518.125</v>
      </c>
      <c r="D39" s="360">
        <f t="shared" si="0"/>
        <v>-283694574.3999996</v>
      </c>
      <c r="E39" s="349">
        <f t="shared" si="1"/>
        <v>0.9483205459694796</v>
      </c>
    </row>
    <row r="40" spans="1:6" ht="15.75" thickTop="1">
      <c r="A40"/>
      <c r="F40" s="6"/>
    </row>
    <row r="41" spans="1:6" ht="15">
      <c r="A41"/>
      <c r="F41" s="6"/>
    </row>
    <row r="42" spans="1:4" ht="15">
      <c r="A42"/>
      <c r="B42" s="299"/>
      <c r="C42" s="299"/>
      <c r="D42" s="299"/>
    </row>
    <row r="43" spans="1:4" ht="15.75" hidden="1">
      <c r="A43"/>
      <c r="B43" s="300"/>
      <c r="C43" s="300"/>
      <c r="D43" s="300"/>
    </row>
    <row r="44" spans="1:4" ht="16.5" hidden="1">
      <c r="A44" s="214" t="s">
        <v>334</v>
      </c>
      <c r="B44" s="301">
        <f>+B14+B18+B28+B33+B35+B36+B22</f>
        <v>3423280978.375</v>
      </c>
      <c r="C44" s="301">
        <f>+C14+C18+C28+C33+C35+C36+C22</f>
        <v>2818006524.375</v>
      </c>
      <c r="D44" s="301"/>
    </row>
    <row r="45" spans="1:5" ht="16.5" hidden="1">
      <c r="A45" s="214" t="s">
        <v>333</v>
      </c>
      <c r="B45" s="302">
        <f>+B199+C199+D199+F199+H199-H193</f>
        <v>0</v>
      </c>
      <c r="C45" s="302">
        <f>+'Anexo 2'!J37+'Anexo 2'!J39+'Anexo 2'!J233-'Anexo 2'!E37-'Anexo 2'!E39</f>
        <v>2059698835.5362968</v>
      </c>
      <c r="D45" s="301"/>
      <c r="E45" s="3"/>
    </row>
    <row r="46" spans="1:4" ht="16.5" hidden="1">
      <c r="A46" s="214"/>
      <c r="B46" s="301">
        <f>+B44-B45</f>
        <v>3423280978.375</v>
      </c>
      <c r="C46" s="301">
        <f>+C44-C45</f>
        <v>758307688.8387032</v>
      </c>
      <c r="D46" s="301"/>
    </row>
    <row r="47" spans="1:4" ht="16.5" hidden="1">
      <c r="A47" s="214"/>
      <c r="B47" s="301"/>
      <c r="C47" s="301"/>
      <c r="D47" s="301"/>
    </row>
    <row r="48" spans="1:5" ht="15.75" hidden="1">
      <c r="A48" t="s">
        <v>335</v>
      </c>
      <c r="B48" s="301">
        <f>+B15+B19+B29+B32+B34+B37+B23</f>
        <v>2066223114.15</v>
      </c>
      <c r="C48" s="301">
        <f>+C15+C19+C29+C32+C34+C37+C23</f>
        <v>2387802993.75</v>
      </c>
      <c r="D48" s="301"/>
      <c r="E48" s="6"/>
    </row>
    <row r="49" spans="1:5" ht="16.5" hidden="1">
      <c r="A49" s="214" t="s">
        <v>336</v>
      </c>
      <c r="B49" s="302">
        <f>+E199+H193</f>
        <v>0</v>
      </c>
      <c r="C49" s="302">
        <f>+'Anexo 2'!E39+'Anexo 2'!E37+'Anexo 2'!J234</f>
        <v>1903830823.4837031</v>
      </c>
      <c r="D49" s="301"/>
      <c r="E49" s="3"/>
    </row>
    <row r="50" spans="1:4" ht="15.75" hidden="1">
      <c r="A50"/>
      <c r="B50" s="301">
        <f>+B48-B49</f>
        <v>2066223114.15</v>
      </c>
      <c r="C50" s="301">
        <f>+C48-C49</f>
        <v>483972170.26629686</v>
      </c>
      <c r="D50" s="301"/>
    </row>
    <row r="51" spans="1:4" ht="15.75" hidden="1">
      <c r="A51"/>
      <c r="B51" s="301"/>
      <c r="C51" s="301"/>
      <c r="D51" s="301"/>
    </row>
    <row r="52" spans="1:4" ht="15" hidden="1">
      <c r="A52"/>
      <c r="B52" s="299"/>
      <c r="C52" s="299"/>
      <c r="D52" s="299"/>
    </row>
    <row r="53" spans="1:4" ht="15">
      <c r="A53"/>
      <c r="B53" s="299"/>
      <c r="C53" s="299"/>
      <c r="D53" s="299"/>
    </row>
    <row r="54" spans="1:4" ht="15">
      <c r="A54"/>
      <c r="B54" s="299"/>
      <c r="C54" s="299"/>
      <c r="D54" s="299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</sheetData>
  <sheetProtection/>
  <mergeCells count="7">
    <mergeCell ref="A8:A10"/>
    <mergeCell ref="A2:E2"/>
    <mergeCell ref="A3:E3"/>
    <mergeCell ref="A4:E4"/>
    <mergeCell ref="A5:E5"/>
    <mergeCell ref="A6:E6"/>
    <mergeCell ref="D8:D1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zoomScale="75" zoomScaleNormal="75" zoomScalePageLayoutView="0" workbookViewId="0" topLeftCell="A1">
      <selection activeCell="E11" activeCellId="1" sqref="E25 E11"/>
    </sheetView>
  </sheetViews>
  <sheetFormatPr defaultColWidth="11.421875" defaultRowHeight="12.75"/>
  <cols>
    <col min="1" max="1" width="35.421875" style="0" customWidth="1"/>
    <col min="2" max="2" width="30.57421875" style="0" customWidth="1"/>
    <col min="3" max="4" width="14.140625" style="0" bestFit="1" customWidth="1"/>
    <col min="5" max="5" width="13.8515625" style="0" bestFit="1" customWidth="1"/>
    <col min="6" max="6" width="14.8515625" style="0" bestFit="1" customWidth="1"/>
    <col min="7" max="7" width="12.28125" style="0" bestFit="1" customWidth="1"/>
  </cols>
  <sheetData>
    <row r="1" spans="1:3" ht="12.75">
      <c r="A1" s="15"/>
      <c r="B1" s="15"/>
      <c r="C1" s="15"/>
    </row>
    <row r="2" spans="1:5" ht="15">
      <c r="A2" s="437" t="s">
        <v>40</v>
      </c>
      <c r="B2" s="437"/>
      <c r="C2" s="437"/>
      <c r="D2" s="416"/>
      <c r="E2" s="416"/>
    </row>
    <row r="3" spans="1:5" ht="15">
      <c r="A3" s="437" t="s">
        <v>39</v>
      </c>
      <c r="B3" s="437"/>
      <c r="C3" s="437"/>
      <c r="D3" s="416"/>
      <c r="E3" s="416"/>
    </row>
    <row r="4" spans="1:5" ht="15">
      <c r="A4" s="437" t="s">
        <v>423</v>
      </c>
      <c r="B4" s="437"/>
      <c r="C4" s="437"/>
      <c r="D4" s="416"/>
      <c r="E4" s="416"/>
    </row>
    <row r="5" spans="1:5" ht="12.75">
      <c r="A5" s="417"/>
      <c r="B5" s="417"/>
      <c r="C5" s="417"/>
      <c r="D5" s="417"/>
      <c r="E5" s="417"/>
    </row>
    <row r="6" spans="1:5" ht="38.25" customHeight="1">
      <c r="A6" s="438" t="s">
        <v>198</v>
      </c>
      <c r="B6" s="439"/>
      <c r="C6" s="419" t="s">
        <v>315</v>
      </c>
      <c r="D6" s="419" t="s">
        <v>342</v>
      </c>
      <c r="E6" s="419" t="s">
        <v>424</v>
      </c>
    </row>
    <row r="7" spans="1:5" ht="38.25" customHeight="1">
      <c r="A7" s="435" t="s">
        <v>246</v>
      </c>
      <c r="B7" s="436"/>
      <c r="C7" s="421">
        <v>3883793.75</v>
      </c>
      <c r="D7" s="421">
        <v>3883793.75</v>
      </c>
      <c r="E7" s="421">
        <v>0</v>
      </c>
    </row>
    <row r="8" spans="1:5" ht="36" customHeight="1">
      <c r="A8" s="435" t="s">
        <v>161</v>
      </c>
      <c r="B8" s="436"/>
      <c r="C8" s="422">
        <v>8750000</v>
      </c>
      <c r="D8" s="422">
        <v>4550000</v>
      </c>
      <c r="E8" s="422">
        <v>4200000</v>
      </c>
    </row>
    <row r="9" spans="1:5" ht="36" customHeight="1">
      <c r="A9" s="435" t="s">
        <v>425</v>
      </c>
      <c r="B9" s="436"/>
      <c r="C9" s="422">
        <v>0</v>
      </c>
      <c r="D9" s="422">
        <v>0</v>
      </c>
      <c r="E9" s="422">
        <v>0</v>
      </c>
    </row>
    <row r="10" spans="1:5" ht="36" customHeight="1">
      <c r="A10" s="435" t="s">
        <v>73</v>
      </c>
      <c r="B10" s="436"/>
      <c r="C10" s="421">
        <v>3000000</v>
      </c>
      <c r="D10" s="421">
        <v>3000000</v>
      </c>
      <c r="E10" s="421">
        <v>0</v>
      </c>
    </row>
    <row r="11" spans="1:5" ht="36" customHeight="1">
      <c r="A11" s="442" t="s">
        <v>219</v>
      </c>
      <c r="B11" s="443"/>
      <c r="C11" s="418">
        <v>15633793.75</v>
      </c>
      <c r="D11" s="418">
        <v>11433793.75</v>
      </c>
      <c r="E11" s="418">
        <v>4200000</v>
      </c>
    </row>
    <row r="12" spans="1:5" ht="33.75" customHeight="1">
      <c r="A12" s="420"/>
      <c r="B12" s="420"/>
      <c r="C12" s="420"/>
      <c r="D12" s="420"/>
      <c r="E12" s="420"/>
    </row>
    <row r="13" spans="1:5" ht="33.75" customHeight="1">
      <c r="A13" s="444" t="s">
        <v>218</v>
      </c>
      <c r="B13" s="444"/>
      <c r="C13" s="419" t="s">
        <v>42</v>
      </c>
      <c r="D13" s="419" t="s">
        <v>42</v>
      </c>
      <c r="E13" s="419" t="s">
        <v>42</v>
      </c>
    </row>
    <row r="14" spans="1:5" ht="12.75">
      <c r="A14" s="435" t="s">
        <v>426</v>
      </c>
      <c r="B14" s="436"/>
      <c r="C14" s="422">
        <v>30000000</v>
      </c>
      <c r="D14" s="422">
        <v>30000000</v>
      </c>
      <c r="E14" s="422">
        <v>0</v>
      </c>
    </row>
    <row r="15" spans="1:5" ht="12.75">
      <c r="A15" s="435" t="s">
        <v>427</v>
      </c>
      <c r="B15" s="436"/>
      <c r="C15" s="422">
        <v>29865600</v>
      </c>
      <c r="D15" s="422">
        <v>29865600</v>
      </c>
      <c r="E15" s="422">
        <v>0</v>
      </c>
    </row>
    <row r="16" spans="1:5" s="166" customFormat="1" ht="12.75">
      <c r="A16" s="435" t="s">
        <v>428</v>
      </c>
      <c r="B16" s="436"/>
      <c r="C16" s="422">
        <v>0</v>
      </c>
      <c r="D16" s="422">
        <v>0</v>
      </c>
      <c r="E16" s="422">
        <v>0</v>
      </c>
    </row>
    <row r="17" spans="1:5" s="166" customFormat="1" ht="12.75">
      <c r="A17" s="435" t="s">
        <v>429</v>
      </c>
      <c r="B17" s="436"/>
      <c r="C17" s="422">
        <v>6710355</v>
      </c>
      <c r="D17" s="422">
        <v>6710355</v>
      </c>
      <c r="E17" s="422">
        <v>0</v>
      </c>
    </row>
    <row r="18" spans="1:43" ht="12.75">
      <c r="A18" s="435" t="s">
        <v>430</v>
      </c>
      <c r="B18" s="436"/>
      <c r="C18" s="422">
        <v>19005500</v>
      </c>
      <c r="D18" s="422">
        <v>19005500</v>
      </c>
      <c r="E18" s="422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5" ht="12.75">
      <c r="A19" s="435" t="s">
        <v>431</v>
      </c>
      <c r="B19" s="436"/>
      <c r="C19" s="421">
        <v>0</v>
      </c>
      <c r="D19" s="421">
        <v>0</v>
      </c>
      <c r="E19" s="421">
        <v>0</v>
      </c>
    </row>
    <row r="20" spans="1:5" ht="12.75">
      <c r="A20" s="435" t="s">
        <v>432</v>
      </c>
      <c r="B20" s="436"/>
      <c r="C20" s="421">
        <v>0</v>
      </c>
      <c r="D20" s="421">
        <v>0</v>
      </c>
      <c r="E20" s="421">
        <v>0</v>
      </c>
    </row>
    <row r="21" spans="1:11" ht="12.75">
      <c r="A21" s="440" t="s">
        <v>433</v>
      </c>
      <c r="B21" s="440"/>
      <c r="C21" s="422">
        <v>0</v>
      </c>
      <c r="D21" s="422">
        <v>0</v>
      </c>
      <c r="E21" s="422">
        <v>0</v>
      </c>
      <c r="F21" s="2"/>
      <c r="G21" s="2"/>
      <c r="H21" s="2"/>
      <c r="I21" s="2"/>
      <c r="J21" s="2"/>
      <c r="K21" s="2"/>
    </row>
    <row r="22" spans="1:11" ht="12.75">
      <c r="A22" s="440" t="s">
        <v>434</v>
      </c>
      <c r="B22" s="440"/>
      <c r="C22" s="422">
        <v>0</v>
      </c>
      <c r="D22" s="422">
        <v>0</v>
      </c>
      <c r="E22" s="422">
        <v>0</v>
      </c>
      <c r="F22" s="2"/>
      <c r="G22" s="2"/>
      <c r="H22" s="2"/>
      <c r="I22" s="2"/>
      <c r="J22" s="2"/>
      <c r="K22" s="2"/>
    </row>
    <row r="23" spans="1:11" ht="12.75">
      <c r="A23" s="440" t="s">
        <v>435</v>
      </c>
      <c r="B23" s="440"/>
      <c r="C23" s="422">
        <v>79597210</v>
      </c>
      <c r="D23" s="422">
        <v>15000000</v>
      </c>
      <c r="E23" s="422">
        <v>64597210</v>
      </c>
      <c r="F23" s="2"/>
      <c r="G23" s="2"/>
      <c r="H23" s="2"/>
      <c r="I23" s="2"/>
      <c r="J23" s="2"/>
      <c r="K23" s="2"/>
    </row>
    <row r="24" spans="1:11" ht="12.75">
      <c r="A24" s="440" t="s">
        <v>436</v>
      </c>
      <c r="B24" s="440"/>
      <c r="C24" s="422">
        <v>83200000</v>
      </c>
      <c r="D24" s="422">
        <v>0</v>
      </c>
      <c r="E24" s="422">
        <v>83200000</v>
      </c>
      <c r="F24" s="2"/>
      <c r="G24" s="2"/>
      <c r="H24" s="2"/>
      <c r="I24" s="2"/>
      <c r="J24" s="2"/>
      <c r="K24" s="2"/>
    </row>
    <row r="25" spans="1:11" ht="12.75">
      <c r="A25" s="441" t="s">
        <v>220</v>
      </c>
      <c r="B25" s="441"/>
      <c r="C25" s="418">
        <v>248378665</v>
      </c>
      <c r="D25" s="418">
        <v>100581455</v>
      </c>
      <c r="E25" s="418">
        <v>147797210</v>
      </c>
      <c r="F25" s="240"/>
      <c r="G25" s="2"/>
      <c r="H25" s="2"/>
      <c r="I25" s="2"/>
      <c r="J25" s="2"/>
      <c r="K25" s="2"/>
    </row>
    <row r="26" spans="1:3" ht="16.5">
      <c r="A26" s="5"/>
      <c r="B26" s="5"/>
      <c r="C26" s="5"/>
    </row>
    <row r="27" spans="1:3" ht="16.5">
      <c r="A27" s="5"/>
      <c r="B27" s="5"/>
      <c r="C27" s="5"/>
    </row>
    <row r="28" spans="1:3" ht="16.5">
      <c r="A28" s="5"/>
      <c r="B28" s="5"/>
      <c r="C28" s="5"/>
    </row>
    <row r="29" spans="1:3" ht="16.5">
      <c r="A29" s="5"/>
      <c r="B29" s="5"/>
      <c r="C29" s="5"/>
    </row>
    <row r="30" spans="1:3" ht="16.5">
      <c r="A30" s="5"/>
      <c r="B30" s="5"/>
      <c r="C30" s="5"/>
    </row>
    <row r="31" spans="1:3" ht="16.5">
      <c r="A31" s="5"/>
      <c r="B31" s="5"/>
      <c r="C31" s="5"/>
    </row>
  </sheetData>
  <sheetProtection/>
  <mergeCells count="22">
    <mergeCell ref="A25:B25"/>
    <mergeCell ref="A9:B9"/>
    <mergeCell ref="A10:B10"/>
    <mergeCell ref="A11:B11"/>
    <mergeCell ref="A13:B13"/>
    <mergeCell ref="A14:B14"/>
    <mergeCell ref="A21:B21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8:B8"/>
    <mergeCell ref="A2:C2"/>
    <mergeCell ref="A3:C3"/>
    <mergeCell ref="A4:C4"/>
    <mergeCell ref="A6:B6"/>
    <mergeCell ref="A7:B7"/>
  </mergeCells>
  <printOptions horizontalCentered="1" verticalCentered="1"/>
  <pageMargins left="1.49" right="0.1968503937007874" top="0.984251968503937" bottom="0.984251968503937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4"/>
  <sheetViews>
    <sheetView view="pageBreakPreview" zoomScale="75" zoomScaleNormal="85" zoomScaleSheetLayoutView="75" zoomScalePageLayoutView="0" workbookViewId="0" topLeftCell="A1">
      <pane xSplit="1" ySplit="6" topLeftCell="B42" activePane="bottomRight" state="frozen"/>
      <selection pane="topLeft" activeCell="X27" sqref="X27"/>
      <selection pane="topRight" activeCell="X27" sqref="X27"/>
      <selection pane="bottomLeft" activeCell="X27" sqref="X27"/>
      <selection pane="bottomRight" activeCell="L72" sqref="L72"/>
    </sheetView>
  </sheetViews>
  <sheetFormatPr defaultColWidth="11.421875" defaultRowHeight="12.75" outlineLevelRow="4"/>
  <cols>
    <col min="1" max="1" width="53.28125" style="2" customWidth="1"/>
    <col min="2" max="2" width="16.7109375" style="2" customWidth="1"/>
    <col min="3" max="3" width="15.00390625" style="2" customWidth="1"/>
    <col min="4" max="5" width="17.57421875" style="2" customWidth="1"/>
    <col min="6" max="6" width="18.7109375" style="2" customWidth="1"/>
    <col min="7" max="7" width="18.421875" style="2" customWidth="1"/>
    <col min="8" max="8" width="19.28125" style="2" customWidth="1"/>
    <col min="9" max="9" width="17.140625" style="2" customWidth="1"/>
    <col min="10" max="10" width="16.421875" style="2" customWidth="1"/>
    <col min="11" max="11" width="15.7109375" style="2" customWidth="1"/>
    <col min="12" max="12" width="12.8515625" style="2" customWidth="1"/>
    <col min="13" max="13" width="17.28125" style="2" hidden="1" customWidth="1"/>
    <col min="14" max="14" width="13.421875" style="2" hidden="1" customWidth="1"/>
    <col min="15" max="18" width="14.57421875" style="2" customWidth="1"/>
    <col min="19" max="16384" width="11.421875" style="2" customWidth="1"/>
  </cols>
  <sheetData>
    <row r="1" spans="1:12" ht="15">
      <c r="A1" s="445" t="s">
        <v>22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5">
      <c r="A2" s="445" t="s">
        <v>39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ht="15">
      <c r="A3" s="445" t="s">
        <v>450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2" ht="15">
      <c r="A4" s="445" t="s">
        <v>215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</row>
    <row r="5" spans="1:13" ht="15.75" thickBot="1">
      <c r="A5" s="194"/>
      <c r="B5" s="364"/>
      <c r="C5" s="196"/>
      <c r="D5" s="196"/>
      <c r="E5" s="195"/>
      <c r="F5" s="195"/>
      <c r="G5" s="365"/>
      <c r="H5" s="195"/>
      <c r="M5" s="4"/>
    </row>
    <row r="6" spans="1:14" ht="90.75" thickTop="1">
      <c r="A6" s="197" t="s">
        <v>29</v>
      </c>
      <c r="B6" s="198" t="s">
        <v>122</v>
      </c>
      <c r="C6" s="198" t="s">
        <v>123</v>
      </c>
      <c r="D6" s="198" t="s">
        <v>310</v>
      </c>
      <c r="E6" s="198" t="s">
        <v>128</v>
      </c>
      <c r="F6" s="198" t="s">
        <v>124</v>
      </c>
      <c r="G6" s="198" t="s">
        <v>125</v>
      </c>
      <c r="H6" s="198" t="s">
        <v>14</v>
      </c>
      <c r="I6" s="198" t="s">
        <v>28</v>
      </c>
      <c r="J6" s="198" t="s">
        <v>341</v>
      </c>
      <c r="K6" s="198" t="s">
        <v>421</v>
      </c>
      <c r="L6" s="426" t="s">
        <v>448</v>
      </c>
      <c r="M6" s="4"/>
      <c r="N6" s="254"/>
    </row>
    <row r="7" spans="1:13" ht="15">
      <c r="A7" s="16" t="s">
        <v>126</v>
      </c>
      <c r="B7" s="20"/>
      <c r="C7" s="20"/>
      <c r="D7" s="20"/>
      <c r="E7" s="20"/>
      <c r="F7" s="20"/>
      <c r="G7" s="20"/>
      <c r="H7" s="20"/>
      <c r="I7" s="20"/>
      <c r="J7" s="406"/>
      <c r="K7" s="406"/>
      <c r="L7" s="133"/>
      <c r="M7" s="199"/>
    </row>
    <row r="8" spans="1:15" ht="15">
      <c r="A8" s="35" t="s">
        <v>116</v>
      </c>
      <c r="B8" s="28">
        <f>SUM(B9:B18)</f>
        <v>224011305.52297267</v>
      </c>
      <c r="C8" s="28">
        <f>SUM(C9:C18)</f>
        <v>79994609.06265445</v>
      </c>
      <c r="D8" s="28">
        <f>SUM(D9:D18)</f>
        <v>48385610.32720744</v>
      </c>
      <c r="E8" s="28">
        <f>SUM(E9:E18)</f>
        <v>238429419.0249031</v>
      </c>
      <c r="F8" s="28">
        <f>SUM(F9:F18)</f>
        <v>74696545.88969041</v>
      </c>
      <c r="G8" s="28">
        <f aca="true" t="shared" si="0" ref="G8:G19">+B8+C8+E8+F8+D8</f>
        <v>665517489.8274281</v>
      </c>
      <c r="H8" s="28">
        <f>SUM(H9:H18)</f>
        <v>96176157.80080438</v>
      </c>
      <c r="I8" s="28">
        <f>+G8+H8</f>
        <v>761693647.6282325</v>
      </c>
      <c r="J8" s="28">
        <f>SUM(J9:J18)</f>
        <v>625892671</v>
      </c>
      <c r="K8" s="28">
        <f>+J8-I8</f>
        <v>-135800976.62823248</v>
      </c>
      <c r="L8" s="366">
        <f>_xlfn.IFERROR(J8/I8,0)</f>
        <v>0.821711816750618</v>
      </c>
      <c r="M8" s="4"/>
      <c r="N8" s="200"/>
      <c r="O8" s="200"/>
    </row>
    <row r="9" spans="1:17" ht="14.25">
      <c r="A9" s="22" t="s">
        <v>129</v>
      </c>
      <c r="B9" s="314">
        <f>+'[6]Nómina y honorarios 2013'!K27</f>
        <v>143216987.14353335</v>
      </c>
      <c r="C9" s="314">
        <f>+'[6]Nómina y honorarios 2013'!K50</f>
        <v>56487489.41472001</v>
      </c>
      <c r="D9" s="314">
        <f>+'[6]Nómina y honorarios 2013'!K60</f>
        <v>35672284.54729333</v>
      </c>
      <c r="E9" s="314">
        <f>+'[6]Nómina y honorarios 2013'!K68</f>
        <v>159865794.93612003</v>
      </c>
      <c r="F9" s="314">
        <f>+'[6]Nómina y honorarios 2013'!K41</f>
        <v>52998600.972893335</v>
      </c>
      <c r="G9" s="314">
        <f t="shared" si="0"/>
        <v>448241157.01456004</v>
      </c>
      <c r="H9" s="314">
        <f>+'[6]Nómina y honorarios 2013'!K12</f>
        <v>49306066.57946666</v>
      </c>
      <c r="I9" s="314">
        <f aca="true" t="shared" si="1" ref="I9:I18">+G9+H9</f>
        <v>497547223.5940267</v>
      </c>
      <c r="J9" s="314">
        <v>463066850</v>
      </c>
      <c r="K9" s="314">
        <f aca="true" t="shared" si="2" ref="K9:K72">+J9-I9</f>
        <v>-34480373.594026685</v>
      </c>
      <c r="L9" s="367">
        <f aca="true" t="shared" si="3" ref="L9:L71">_xlfn.IFERROR(J9/I9,0)</f>
        <v>0.9306992945414144</v>
      </c>
      <c r="M9" s="201"/>
      <c r="Q9" s="202"/>
    </row>
    <row r="10" spans="1:15" ht="14.25">
      <c r="A10" s="22" t="s">
        <v>1</v>
      </c>
      <c r="B10" s="314">
        <f>+'[6]Nómina y honorarios 2013'!O27</f>
        <v>5967374.464313888</v>
      </c>
      <c r="C10" s="314">
        <f>+'[6]Nómina y honorarios 2013'!O50</f>
        <v>2353645.3922800003</v>
      </c>
      <c r="D10" s="314">
        <f>+'[6]Nómina y honorarios 2013'!O60</f>
        <v>1486345.1894705554</v>
      </c>
      <c r="E10" s="314">
        <f>+'[6]Nómina y honorarios 2013'!O68</f>
        <v>6661074.789005001</v>
      </c>
      <c r="F10" s="314">
        <f>+'[6]Nómina y honorarios 2013'!O41</f>
        <v>2208275.0405372223</v>
      </c>
      <c r="G10" s="314">
        <f>+B10+C10+E10+F10+D10</f>
        <v>18676714.875606667</v>
      </c>
      <c r="H10" s="314">
        <f>+'[6]Nómina y honorarios 2013'!O12</f>
        <v>1830900.6908111111</v>
      </c>
      <c r="I10" s="314">
        <f t="shared" si="1"/>
        <v>20507615.56641778</v>
      </c>
      <c r="J10" s="314">
        <v>959039</v>
      </c>
      <c r="K10" s="314">
        <f t="shared" si="2"/>
        <v>-19548576.56641778</v>
      </c>
      <c r="L10" s="367">
        <f t="shared" si="3"/>
        <v>0.04676501745870803</v>
      </c>
      <c r="M10" s="201"/>
      <c r="N10" s="201"/>
      <c r="O10" s="368"/>
    </row>
    <row r="11" spans="1:15" ht="14.25">
      <c r="A11" s="22" t="s">
        <v>0</v>
      </c>
      <c r="B11" s="314">
        <f>+'[6]Nómina y honorarios 2013'!N27</f>
        <v>9997586.428627776</v>
      </c>
      <c r="C11" s="314">
        <f>+'[6]Nómina y honorarios 2013'!N50</f>
        <v>2770128.2845599996</v>
      </c>
      <c r="D11" s="314">
        <f>+'[6]Nómina y honorarios 2013'!N60</f>
        <v>1035527.878941111</v>
      </c>
      <c r="E11" s="314">
        <f>+'[6]Nómina y honorarios 2013'!N68</f>
        <v>11384987.078010002</v>
      </c>
      <c r="F11" s="314">
        <f>+'[6]Nómina y honorarios 2013'!N41</f>
        <v>2479387.581074444</v>
      </c>
      <c r="G11" s="314">
        <f t="shared" si="0"/>
        <v>27667617.25121333</v>
      </c>
      <c r="H11" s="314">
        <f>+'[6]Nómina y honorarios 2013'!N12</f>
        <v>3661801.3816222223</v>
      </c>
      <c r="I11" s="314">
        <f t="shared" si="1"/>
        <v>31329418.632835552</v>
      </c>
      <c r="J11" s="314">
        <v>421048</v>
      </c>
      <c r="K11" s="314">
        <f t="shared" si="2"/>
        <v>-30908370.632835552</v>
      </c>
      <c r="L11" s="367">
        <f t="shared" si="3"/>
        <v>0.013439381206988326</v>
      </c>
      <c r="M11" s="201"/>
      <c r="N11" s="201"/>
      <c r="O11" s="368"/>
    </row>
    <row r="12" spans="1:15" ht="14.25">
      <c r="A12" s="22" t="s">
        <v>23</v>
      </c>
      <c r="B12" s="314">
        <f>+'[7]Agregados'!$G$7</f>
        <v>11976780.3216</v>
      </c>
      <c r="C12" s="314"/>
      <c r="D12" s="314"/>
      <c r="E12" s="314"/>
      <c r="F12" s="314"/>
      <c r="G12" s="314">
        <f>+B12+C12+E12+F12+D12</f>
        <v>11976780.3216</v>
      </c>
      <c r="H12" s="314">
        <f>+'[6]Nómina y honorarios 2013'!I105</f>
        <v>21489416.088</v>
      </c>
      <c r="I12" s="314">
        <f t="shared" si="1"/>
        <v>33466196.409599997</v>
      </c>
      <c r="J12" s="314">
        <v>27761597</v>
      </c>
      <c r="K12" s="314">
        <f t="shared" si="2"/>
        <v>-5704599.409599997</v>
      </c>
      <c r="L12" s="367">
        <f t="shared" si="3"/>
        <v>0.8295414471432554</v>
      </c>
      <c r="M12" s="201"/>
      <c r="N12" s="369"/>
      <c r="O12" s="368"/>
    </row>
    <row r="13" spans="1:15" ht="14.25">
      <c r="A13" s="22" t="s">
        <v>127</v>
      </c>
      <c r="B13" s="314">
        <f>+'[6]Nómina y honorarios 2013'!K94</f>
        <v>480000</v>
      </c>
      <c r="C13" s="314">
        <f>+'[6]Nómina y honorarios 2013'!O94</f>
        <v>480000</v>
      </c>
      <c r="D13" s="314">
        <f>+'[6]Nómina y honorarios 2013'!Q94</f>
        <v>480000</v>
      </c>
      <c r="E13" s="314">
        <f>+'[6]Nómina y honorarios 2013'!S94</f>
        <v>1440000</v>
      </c>
      <c r="F13" s="314">
        <f>+'[6]Nómina y honorarios 2013'!M94</f>
        <v>480000</v>
      </c>
      <c r="G13" s="314">
        <f>+B13+C13+E13+F13+D13</f>
        <v>3360000</v>
      </c>
      <c r="H13" s="314">
        <f>+'[6]Nómina y honorarios 2013'!I94</f>
        <v>1920000</v>
      </c>
      <c r="I13" s="314">
        <f t="shared" si="1"/>
        <v>5280000</v>
      </c>
      <c r="J13" s="314">
        <v>0</v>
      </c>
      <c r="K13" s="314">
        <f t="shared" si="2"/>
        <v>-5280000</v>
      </c>
      <c r="L13" s="367">
        <f t="shared" si="3"/>
        <v>0</v>
      </c>
      <c r="M13" s="201"/>
      <c r="N13" s="201"/>
      <c r="O13" s="368"/>
    </row>
    <row r="14" spans="1:17" ht="14.25">
      <c r="A14" s="22" t="s">
        <v>4</v>
      </c>
      <c r="B14" s="314">
        <f>+'[6]Nómina y honorarios 2013'!L27</f>
        <v>9997586.428627776</v>
      </c>
      <c r="C14" s="314">
        <f>+'[6]Nómina y honorarios 2013'!L50</f>
        <v>2770128.2845599996</v>
      </c>
      <c r="D14" s="314">
        <f>+'[6]Nómina y honorarios 2013'!L60</f>
        <v>1035527.878941111</v>
      </c>
      <c r="E14" s="314">
        <f>+'[6]Nómina y honorarios 2013'!L68</f>
        <v>11384987.078010002</v>
      </c>
      <c r="F14" s="314">
        <f>+'[6]Nómina y honorarios 2013'!L41</f>
        <v>2479387.581074444</v>
      </c>
      <c r="G14" s="314">
        <f>+B14+C14+E14+F14+D14</f>
        <v>27667617.25121333</v>
      </c>
      <c r="H14" s="314">
        <f>+'[6]Nómina y honorarios 2013'!L12</f>
        <v>3661801.3816222223</v>
      </c>
      <c r="I14" s="314">
        <f t="shared" si="1"/>
        <v>31329418.632835552</v>
      </c>
      <c r="J14" s="314">
        <v>421048</v>
      </c>
      <c r="K14" s="314">
        <f t="shared" si="2"/>
        <v>-30908370.632835552</v>
      </c>
      <c r="L14" s="367">
        <f t="shared" si="3"/>
        <v>0.013439381206988326</v>
      </c>
      <c r="M14" s="201"/>
      <c r="N14" s="201"/>
      <c r="O14" s="368"/>
      <c r="P14" s="203"/>
      <c r="Q14" s="203"/>
    </row>
    <row r="15" spans="1:17" ht="14.25">
      <c r="A15" s="22" t="s">
        <v>5</v>
      </c>
      <c r="B15" s="314">
        <f>+'[6]Nómina y honorarios 2013'!M27</f>
        <v>1199710.371435333</v>
      </c>
      <c r="C15" s="314">
        <f>+'[6]Nómina y honorarios 2013'!M50</f>
        <v>332415.3941472</v>
      </c>
      <c r="D15" s="314">
        <f>+'[6]Nómina y honorarios 2013'!M60</f>
        <v>124263.34547293333</v>
      </c>
      <c r="E15" s="314">
        <f>+'[6]Nómina y honorarios 2013'!M68</f>
        <v>1366198.4493611997</v>
      </c>
      <c r="F15" s="314">
        <f>+'[6]Nómina y honorarios 2013'!M41</f>
        <v>297526.5097289333</v>
      </c>
      <c r="G15" s="314">
        <f>+B15+C15+E15+F15+D15</f>
        <v>3320114.0701455995</v>
      </c>
      <c r="H15" s="314">
        <f>+'[6]Nómina y honorarios 2013'!M12</f>
        <v>439416.1657946666</v>
      </c>
      <c r="I15" s="314">
        <f t="shared" si="1"/>
        <v>3759530.2359402664</v>
      </c>
      <c r="J15" s="314">
        <v>9569</v>
      </c>
      <c r="K15" s="314">
        <f t="shared" si="2"/>
        <v>-3749961.2359402664</v>
      </c>
      <c r="L15" s="367">
        <f t="shared" si="3"/>
        <v>0.0025452648068959535</v>
      </c>
      <c r="M15" s="201"/>
      <c r="N15" s="201"/>
      <c r="O15" s="368"/>
      <c r="P15" s="203"/>
      <c r="Q15" s="203"/>
    </row>
    <row r="16" spans="1:15" ht="14.25">
      <c r="A16" s="22" t="s">
        <v>2</v>
      </c>
      <c r="B16" s="314">
        <f>+'[6]Nómina y honorarios 2013'!S27</f>
        <v>28932638.671916515</v>
      </c>
      <c r="C16" s="314">
        <f>+'[6]Nómina y honorarios 2013'!S50</f>
        <v>10363815.395062437</v>
      </c>
      <c r="D16" s="314">
        <f>+'[6]Nómina y honorarios 2013'!S60</f>
        <v>5988043.027832003</v>
      </c>
      <c r="E16" s="314">
        <f>+'[6]Nómina y honorarios 2013'!S68</f>
        <v>32623835.300146054</v>
      </c>
      <c r="F16" s="314">
        <f>+'[6]Nómina y honorarios 2013'!S41</f>
        <v>9630381.266821636</v>
      </c>
      <c r="G16" s="314">
        <f t="shared" si="0"/>
        <v>87538713.66177864</v>
      </c>
      <c r="H16" s="314">
        <f>+'[6]Nómina y honorarios 2013'!S12</f>
        <v>9988996.02133548</v>
      </c>
      <c r="I16" s="314">
        <f t="shared" si="1"/>
        <v>97527709.68311413</v>
      </c>
      <c r="J16" s="314">
        <v>93747500</v>
      </c>
      <c r="K16" s="314">
        <f t="shared" si="2"/>
        <v>-3780209.6831141263</v>
      </c>
      <c r="L16" s="367">
        <f t="shared" si="3"/>
        <v>0.9612396344034251</v>
      </c>
      <c r="M16" s="201"/>
      <c r="N16" s="201"/>
      <c r="O16" s="368"/>
    </row>
    <row r="17" spans="1:15" ht="14.25">
      <c r="A17" s="22" t="s">
        <v>6</v>
      </c>
      <c r="B17" s="314">
        <f>+'[6]Nómina y honorarios 2013'!U27</f>
        <v>5441174.085741334</v>
      </c>
      <c r="C17" s="314">
        <f>+'[6]Nómina y honorarios 2013'!U50</f>
        <v>1971994.1765887996</v>
      </c>
      <c r="D17" s="314">
        <f>+'[6]Nómina y honorarios 2013'!U60</f>
        <v>1139385.9818917334</v>
      </c>
      <c r="E17" s="314">
        <f>+'[6]Nómina y honorarios 2013'!U68</f>
        <v>6090018.3974448</v>
      </c>
      <c r="F17" s="314">
        <f>+'[6]Nómina y honorarios 2013'!U41</f>
        <v>1832438.6389157332</v>
      </c>
      <c r="G17" s="314">
        <f t="shared" si="0"/>
        <v>16475011.280582398</v>
      </c>
      <c r="H17" s="314">
        <f>+'[6]Nómina y honorarios 2013'!U12</f>
        <v>1723448.6631786665</v>
      </c>
      <c r="I17" s="314">
        <f t="shared" si="1"/>
        <v>18198459.943761066</v>
      </c>
      <c r="J17" s="314">
        <v>17557000</v>
      </c>
      <c r="K17" s="314">
        <f t="shared" si="2"/>
        <v>-641459.9437610656</v>
      </c>
      <c r="L17" s="367">
        <f t="shared" si="3"/>
        <v>0.9647519655100829</v>
      </c>
      <c r="M17" s="201"/>
      <c r="N17" s="201"/>
      <c r="O17" s="368"/>
    </row>
    <row r="18" spans="1:15" ht="14.25">
      <c r="A18" s="22" t="s">
        <v>3</v>
      </c>
      <c r="B18" s="314">
        <f>+'[6]Nómina y honorarios 2013'!X27</f>
        <v>6801467.607176665</v>
      </c>
      <c r="C18" s="314">
        <f>+'[6]Nómina y honorarios 2013'!X50</f>
        <v>2464992.7207359998</v>
      </c>
      <c r="D18" s="314">
        <f>+'[6]Nómina y honorarios 2013'!X60</f>
        <v>1424232.4773646668</v>
      </c>
      <c r="E18" s="314">
        <f>+'[6]Nómina y honorarios 2013'!X68</f>
        <v>7612522.9968059985</v>
      </c>
      <c r="F18" s="314">
        <f>+'[6]Nómina y honorarios 2013'!X41</f>
        <v>2290548.298644666</v>
      </c>
      <c r="G18" s="314">
        <f t="shared" si="0"/>
        <v>20593764.100727998</v>
      </c>
      <c r="H18" s="314">
        <f>+'[6]Nómina y honorarios 2013'!X12</f>
        <v>2154310.828973333</v>
      </c>
      <c r="I18" s="314">
        <f t="shared" si="1"/>
        <v>22748074.929701332</v>
      </c>
      <c r="J18" s="314">
        <v>21949020</v>
      </c>
      <c r="K18" s="314">
        <f t="shared" si="2"/>
        <v>-799054.929701332</v>
      </c>
      <c r="L18" s="367">
        <f t="shared" si="3"/>
        <v>0.9648737340557096</v>
      </c>
      <c r="M18" s="201"/>
      <c r="N18" s="201"/>
      <c r="O18" s="368"/>
    </row>
    <row r="19" spans="1:15" ht="15">
      <c r="A19" s="30" t="s">
        <v>118</v>
      </c>
      <c r="B19" s="257">
        <f>SUM(B9:B18)</f>
        <v>224011305.52297267</v>
      </c>
      <c r="C19" s="257">
        <f>SUM(C9:C18)</f>
        <v>79994609.06265445</v>
      </c>
      <c r="D19" s="257">
        <f>SUM(D9:D18)</f>
        <v>48385610.32720744</v>
      </c>
      <c r="E19" s="257">
        <f>SUM(E9:E18)</f>
        <v>238429419.0249031</v>
      </c>
      <c r="F19" s="257">
        <f>SUM(F9:F18)</f>
        <v>74696545.88969041</v>
      </c>
      <c r="G19" s="257">
        <f t="shared" si="0"/>
        <v>665517489.8274281</v>
      </c>
      <c r="H19" s="257">
        <f>SUM(H9:H18)</f>
        <v>96176157.80080438</v>
      </c>
      <c r="I19" s="257">
        <f>SUM(I9:I18)</f>
        <v>761693647.6282324</v>
      </c>
      <c r="J19" s="257">
        <f>SUM(J9:J18)</f>
        <v>625892671</v>
      </c>
      <c r="K19" s="257">
        <f>+J19-I19</f>
        <v>-135800976.62823236</v>
      </c>
      <c r="L19" s="366">
        <f t="shared" si="3"/>
        <v>0.8217118167506182</v>
      </c>
      <c r="M19" s="201"/>
      <c r="N19" s="201"/>
      <c r="O19" s="368"/>
    </row>
    <row r="20" spans="1:15" ht="15">
      <c r="A20" s="16" t="s">
        <v>24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66"/>
      <c r="M20" s="201"/>
      <c r="N20" s="201"/>
      <c r="O20" s="368"/>
    </row>
    <row r="21" spans="1:15" ht="14.25">
      <c r="A21" s="24" t="s">
        <v>31</v>
      </c>
      <c r="B21" s="314">
        <f>+'[6]Funcionamiento'!H8</f>
        <v>5600000</v>
      </c>
      <c r="C21" s="314">
        <f>+'[6]Funcionamiento'!I8</f>
        <v>0</v>
      </c>
      <c r="D21" s="314">
        <f>+'[6]Funcionamiento'!J8</f>
        <v>3500000</v>
      </c>
      <c r="E21" s="314">
        <f>+'[6]Funcionamiento'!G8</f>
        <v>4000000</v>
      </c>
      <c r="F21" s="314">
        <f>+'[6]Funcionamiento'!K8</f>
        <v>6000000</v>
      </c>
      <c r="G21" s="314">
        <f aca="true" t="shared" si="4" ref="G21:G37">+B21+C21+E21+F21+D21</f>
        <v>19100000</v>
      </c>
      <c r="H21" s="314">
        <f>+'[6]Funcionamiento'!F8</f>
        <v>39061574.9577</v>
      </c>
      <c r="I21" s="314">
        <f>+H21+G21</f>
        <v>58161574.9577</v>
      </c>
      <c r="J21" s="314">
        <v>16648693</v>
      </c>
      <c r="K21" s="314">
        <f t="shared" si="2"/>
        <v>-41512881.9577</v>
      </c>
      <c r="L21" s="367">
        <f t="shared" si="3"/>
        <v>0.28624900567270284</v>
      </c>
      <c r="N21" s="201"/>
      <c r="O21" s="368"/>
    </row>
    <row r="22" spans="1:13" ht="14.25">
      <c r="A22" s="24" t="s">
        <v>112</v>
      </c>
      <c r="B22" s="314">
        <f>+'[6]Funcionamiento'!H22</f>
        <v>8623990.12768</v>
      </c>
      <c r="C22" s="314">
        <f>+'[6]Funcionamiento'!I22</f>
        <v>800000</v>
      </c>
      <c r="D22" s="314">
        <f>+'[6]Funcionamiento'!J22</f>
        <v>0</v>
      </c>
      <c r="E22" s="314">
        <f>+'[6]Funcionamiento'!G22</f>
        <v>3000000</v>
      </c>
      <c r="F22" s="314">
        <v>0</v>
      </c>
      <c r="G22" s="314">
        <f>+B22+C22+E22+F22+D22</f>
        <v>12423990.12768</v>
      </c>
      <c r="H22" s="314">
        <f>+'[6]Funcionamiento'!F22</f>
        <v>1992393.9749999999</v>
      </c>
      <c r="I22" s="314">
        <f aca="true" t="shared" si="5" ref="I22:I35">+G22+H22</f>
        <v>14416384.10268</v>
      </c>
      <c r="J22" s="314">
        <v>11584525</v>
      </c>
      <c r="K22" s="314">
        <f t="shared" si="2"/>
        <v>-2831859.1026799995</v>
      </c>
      <c r="L22" s="367">
        <f t="shared" si="3"/>
        <v>0.8035666168083329</v>
      </c>
      <c r="M22" s="4"/>
    </row>
    <row r="23" spans="1:15" ht="14.25">
      <c r="A23" s="24" t="s">
        <v>33</v>
      </c>
      <c r="B23" s="314">
        <v>0</v>
      </c>
      <c r="C23" s="314">
        <v>0</v>
      </c>
      <c r="D23" s="314"/>
      <c r="E23" s="314">
        <f>+'[6]Funcionamiento'!G12</f>
        <v>2100000</v>
      </c>
      <c r="F23" s="314">
        <v>0</v>
      </c>
      <c r="G23" s="314">
        <f t="shared" si="4"/>
        <v>2100000</v>
      </c>
      <c r="H23" s="314">
        <f>+'[6]Funcionamiento'!F12</f>
        <v>4525390.9766</v>
      </c>
      <c r="I23" s="314">
        <f t="shared" si="5"/>
        <v>6625390.9766</v>
      </c>
      <c r="J23" s="314">
        <v>6597584</v>
      </c>
      <c r="K23" s="314">
        <f t="shared" si="2"/>
        <v>-27806.976599999703</v>
      </c>
      <c r="L23" s="367">
        <f t="shared" si="3"/>
        <v>0.9958029682024487</v>
      </c>
      <c r="M23" s="204"/>
      <c r="N23" s="204"/>
      <c r="O23" s="368"/>
    </row>
    <row r="24" spans="1:13" ht="14.25">
      <c r="A24" s="24" t="s">
        <v>27</v>
      </c>
      <c r="B24" s="314">
        <f>+'[6]Funcionamiento'!H24</f>
        <v>9221081.7085504</v>
      </c>
      <c r="C24" s="314">
        <f>+'[6]Funcionamiento'!I24</f>
        <v>3000000</v>
      </c>
      <c r="D24" s="314">
        <f>+'[6]Funcionamiento'!J24</f>
        <v>1500000</v>
      </c>
      <c r="E24" s="314">
        <f>+'[6]Funcionamiento'!G24</f>
        <v>20000000</v>
      </c>
      <c r="F24" s="314">
        <f>+'[6]Funcionamiento'!K24</f>
        <v>2500000</v>
      </c>
      <c r="G24" s="314">
        <f>+B24+C24+E24+F24+D24</f>
        <v>36221081.7085504</v>
      </c>
      <c r="H24" s="314">
        <f>+'[6]Funcionamiento'!F24</f>
        <v>6250000</v>
      </c>
      <c r="I24" s="314">
        <f t="shared" si="5"/>
        <v>42471081.7085504</v>
      </c>
      <c r="J24" s="314">
        <v>34262930</v>
      </c>
      <c r="K24" s="314">
        <f t="shared" si="2"/>
        <v>-8208151.708550401</v>
      </c>
      <c r="L24" s="367">
        <f t="shared" si="3"/>
        <v>0.8067355155944165</v>
      </c>
      <c r="M24" s="4"/>
    </row>
    <row r="25" spans="1:13" ht="14.25">
      <c r="A25" s="24" t="s">
        <v>30</v>
      </c>
      <c r="B25" s="314">
        <f>+'[6]Funcionamiento'!H26</f>
        <v>563420</v>
      </c>
      <c r="C25" s="314">
        <f>+'[6]Funcionamiento'!I26</f>
        <v>400000</v>
      </c>
      <c r="D25" s="314">
        <f>+'[6]Funcionamiento'!J26</f>
        <v>500000</v>
      </c>
      <c r="E25" s="314">
        <f>+'[6]Funcionamiento'!G26</f>
        <v>540000</v>
      </c>
      <c r="F25" s="314">
        <f>+'[6]Funcionamiento'!K26</f>
        <v>570000</v>
      </c>
      <c r="G25" s="314">
        <f>+B25+C25+E25+F25+D25</f>
        <v>2573420</v>
      </c>
      <c r="H25" s="314">
        <f>+'[6]Funcionamiento'!F26</f>
        <v>1073236.2212</v>
      </c>
      <c r="I25" s="314">
        <f t="shared" si="5"/>
        <v>3646656.2212</v>
      </c>
      <c r="J25" s="314">
        <v>2174650</v>
      </c>
      <c r="K25" s="314">
        <f t="shared" si="2"/>
        <v>-1472006.2212</v>
      </c>
      <c r="L25" s="367">
        <f t="shared" si="3"/>
        <v>0.5963408306375507</v>
      </c>
      <c r="M25" s="4"/>
    </row>
    <row r="26" spans="1:15" ht="14.25">
      <c r="A26" s="22" t="s">
        <v>114</v>
      </c>
      <c r="B26" s="314"/>
      <c r="C26" s="314"/>
      <c r="D26" s="314"/>
      <c r="E26" s="314"/>
      <c r="F26" s="314"/>
      <c r="G26" s="314">
        <f>+B26+C26+E26+F26+D26</f>
        <v>0</v>
      </c>
      <c r="H26" s="314">
        <v>20000000</v>
      </c>
      <c r="I26" s="314">
        <f t="shared" si="5"/>
        <v>20000000</v>
      </c>
      <c r="J26" s="314">
        <v>9697188</v>
      </c>
      <c r="K26" s="314">
        <f t="shared" si="2"/>
        <v>-10302812</v>
      </c>
      <c r="L26" s="367">
        <f t="shared" si="3"/>
        <v>0.4848594</v>
      </c>
      <c r="M26" s="201"/>
      <c r="N26" s="201"/>
      <c r="O26" s="368"/>
    </row>
    <row r="27" spans="1:13" ht="14.25">
      <c r="A27" s="24" t="s">
        <v>25</v>
      </c>
      <c r="B27" s="314">
        <f>+'[6]Funcionamiento'!H14</f>
        <v>1464407.4588</v>
      </c>
      <c r="C27" s="314">
        <f>+'[6]Funcionamiento'!I14</f>
        <v>1464407.4588</v>
      </c>
      <c r="D27" s="314">
        <f>+'[6]Funcionamiento'!J14</f>
        <v>1464407.4588</v>
      </c>
      <c r="E27" s="314">
        <f>+'[6]Funcionamiento'!G14</f>
        <v>1464407.4588</v>
      </c>
      <c r="F27" s="314">
        <f>+'[6]Funcionamiento'!K14</f>
        <v>1464407.4588</v>
      </c>
      <c r="G27" s="314">
        <f t="shared" si="4"/>
        <v>7322037.294</v>
      </c>
      <c r="H27" s="314">
        <f>+'[6]Funcionamiento'!F14</f>
        <v>5188985.516</v>
      </c>
      <c r="I27" s="314">
        <f t="shared" si="5"/>
        <v>12511022.809999999</v>
      </c>
      <c r="J27" s="314">
        <v>9884457</v>
      </c>
      <c r="K27" s="314">
        <f t="shared" si="2"/>
        <v>-2626565.8099999987</v>
      </c>
      <c r="L27" s="367">
        <f t="shared" si="3"/>
        <v>0.7900598656170144</v>
      </c>
      <c r="M27" s="4"/>
    </row>
    <row r="28" spans="1:13" ht="14.25">
      <c r="A28" s="371" t="s">
        <v>35</v>
      </c>
      <c r="B28" s="314">
        <f>+'[6]Funcionamiento'!H28</f>
        <v>15747413.46</v>
      </c>
      <c r="C28" s="314">
        <f>'[6]Funcionamiento'!I28</f>
        <v>500000</v>
      </c>
      <c r="D28" s="314">
        <f>+'[6]Funcionamiento'!J28</f>
        <v>6000000</v>
      </c>
      <c r="E28" s="314">
        <f>+'[6]Funcionamiento'!G28</f>
        <v>9000000</v>
      </c>
      <c r="F28" s="314">
        <v>0</v>
      </c>
      <c r="G28" s="314">
        <f>+B28+C28+E28+F28+D28</f>
        <v>31247413.46</v>
      </c>
      <c r="H28" s="314">
        <f>+'[6]Funcionamiento'!F28</f>
        <v>8150000</v>
      </c>
      <c r="I28" s="314">
        <f t="shared" si="5"/>
        <v>39397413.46</v>
      </c>
      <c r="J28" s="314">
        <v>4407187</v>
      </c>
      <c r="K28" s="314">
        <f t="shared" si="2"/>
        <v>-34990226.46</v>
      </c>
      <c r="L28" s="367">
        <f t="shared" si="3"/>
        <v>0.11186488180181156</v>
      </c>
      <c r="M28" s="4"/>
    </row>
    <row r="29" spans="1:13" ht="14.25">
      <c r="A29" s="24" t="s">
        <v>37</v>
      </c>
      <c r="B29" s="314">
        <v>0</v>
      </c>
      <c r="C29" s="314">
        <v>0</v>
      </c>
      <c r="D29" s="314"/>
      <c r="E29" s="314">
        <f>+'[6]Funcionamiento'!G32</f>
        <v>14400000</v>
      </c>
      <c r="F29" s="314">
        <v>0</v>
      </c>
      <c r="G29" s="314">
        <f>+B29+C29+E29+F29+D29</f>
        <v>14400000</v>
      </c>
      <c r="H29" s="314">
        <f>+'[6]Funcionamiento'!F32</f>
        <v>26000000</v>
      </c>
      <c r="I29" s="314">
        <f>+G29+H29-596528</f>
        <v>39803472</v>
      </c>
      <c r="J29" s="314">
        <v>15337880.02</v>
      </c>
      <c r="K29" s="314">
        <f t="shared" si="2"/>
        <v>-24465591.98</v>
      </c>
      <c r="L29" s="367">
        <f t="shared" si="3"/>
        <v>0.3853402542371178</v>
      </c>
      <c r="M29" s="4"/>
    </row>
    <row r="30" spans="1:13" ht="14.25">
      <c r="A30" s="24" t="s">
        <v>133</v>
      </c>
      <c r="B30" s="314">
        <f>'[6]Funcionamiento'!H20</f>
        <v>3073200</v>
      </c>
      <c r="C30" s="314">
        <f>'[6]Funcionamiento'!I20</f>
        <v>5000000</v>
      </c>
      <c r="D30" s="314">
        <f>+'[6]Funcionamiento'!J20</f>
        <v>2000000</v>
      </c>
      <c r="E30" s="314">
        <f>+'[6]Funcionamiento'!G20</f>
        <v>45000000</v>
      </c>
      <c r="F30" s="314">
        <f>+'[6]Funcionamiento'!K20</f>
        <v>6000000</v>
      </c>
      <c r="G30" s="314">
        <f>+B30+C30+E30+F30+D30</f>
        <v>61073200</v>
      </c>
      <c r="H30" s="314">
        <f>+'[6]Funcionamiento'!F20</f>
        <v>4500000</v>
      </c>
      <c r="I30" s="314">
        <f t="shared" si="5"/>
        <v>65573200</v>
      </c>
      <c r="J30" s="314">
        <v>53415990</v>
      </c>
      <c r="K30" s="314">
        <f t="shared" si="2"/>
        <v>-12157210</v>
      </c>
      <c r="L30" s="367">
        <f t="shared" si="3"/>
        <v>0.8146009345281304</v>
      </c>
      <c r="M30" s="4"/>
    </row>
    <row r="31" spans="1:15" ht="14.25">
      <c r="A31" s="24" t="s">
        <v>32</v>
      </c>
      <c r="B31" s="314">
        <v>0</v>
      </c>
      <c r="C31" s="314">
        <v>0</v>
      </c>
      <c r="D31" s="314"/>
      <c r="E31" s="314">
        <v>0</v>
      </c>
      <c r="F31" s="314">
        <v>0</v>
      </c>
      <c r="G31" s="314">
        <f>+B31+C31+E31+F31+D31</f>
        <v>0</v>
      </c>
      <c r="H31" s="314">
        <f>+'[6]Funcionamiento'!F10</f>
        <v>3766122</v>
      </c>
      <c r="I31" s="314">
        <f t="shared" si="5"/>
        <v>3766122</v>
      </c>
      <c r="J31" s="314">
        <v>3765880</v>
      </c>
      <c r="K31" s="314">
        <f t="shared" si="2"/>
        <v>-242</v>
      </c>
      <c r="L31" s="367">
        <f t="shared" si="3"/>
        <v>0.999935742920702</v>
      </c>
      <c r="M31" s="201"/>
      <c r="N31" s="201"/>
      <c r="O31" s="368"/>
    </row>
    <row r="32" spans="1:13" ht="14.25">
      <c r="A32" s="24" t="s">
        <v>34</v>
      </c>
      <c r="B32" s="314">
        <f>+'[6]Funcionamiento'!H15+'[6]Funcionamiento'!H16</f>
        <v>2333250</v>
      </c>
      <c r="C32" s="314">
        <f>'[6]Funcionamiento'!I16</f>
        <v>907375</v>
      </c>
      <c r="D32" s="314">
        <f>+'[6]Funcionamiento'!J16</f>
        <v>388875</v>
      </c>
      <c r="E32" s="314">
        <f>+'[6]Funcionamiento'!G15+'[6]Funcionamiento'!G16</f>
        <v>1814750</v>
      </c>
      <c r="F32" s="314">
        <f>+'[6]Funcionamiento'!K15+'[6]Funcionamiento'!K16</f>
        <v>2333250</v>
      </c>
      <c r="G32" s="314">
        <f t="shared" si="4"/>
        <v>7777500</v>
      </c>
      <c r="H32" s="314">
        <f>+'[6]Funcionamiento'!F16</f>
        <v>6530550</v>
      </c>
      <c r="I32" s="314">
        <f t="shared" si="5"/>
        <v>14308050</v>
      </c>
      <c r="J32" s="314">
        <v>10464948</v>
      </c>
      <c r="K32" s="314">
        <f t="shared" si="2"/>
        <v>-3843102</v>
      </c>
      <c r="L32" s="367">
        <f t="shared" si="3"/>
        <v>0.731402811703901</v>
      </c>
      <c r="M32" s="4"/>
    </row>
    <row r="33" spans="1:13" ht="14.25">
      <c r="A33" s="24" t="s">
        <v>26</v>
      </c>
      <c r="B33" s="314">
        <f>+'[6]Funcionamiento'!H18</f>
        <v>3800000</v>
      </c>
      <c r="C33" s="314">
        <v>0</v>
      </c>
      <c r="D33" s="314"/>
      <c r="E33" s="314">
        <f>+'[6]Funcionamiento'!G18</f>
        <v>9000000</v>
      </c>
      <c r="F33" s="314">
        <v>0</v>
      </c>
      <c r="G33" s="314">
        <f t="shared" si="4"/>
        <v>12800000</v>
      </c>
      <c r="H33" s="314">
        <f>+'[6]Funcionamiento'!F18</f>
        <v>10936246.4952</v>
      </c>
      <c r="I33" s="314">
        <f>+G33+H33+596528</f>
        <v>24332774.4952</v>
      </c>
      <c r="J33" s="314">
        <v>12925494</v>
      </c>
      <c r="K33" s="314">
        <f t="shared" si="2"/>
        <v>-11407280.4952</v>
      </c>
      <c r="L33" s="367">
        <f t="shared" si="3"/>
        <v>0.5311968843729573</v>
      </c>
      <c r="M33" s="4"/>
    </row>
    <row r="34" spans="1:13" ht="14.25">
      <c r="A34" s="24" t="s">
        <v>38</v>
      </c>
      <c r="B34" s="314">
        <v>0</v>
      </c>
      <c r="C34" s="314">
        <v>0</v>
      </c>
      <c r="D34" s="314"/>
      <c r="E34" s="314">
        <v>0</v>
      </c>
      <c r="F34" s="314">
        <v>0</v>
      </c>
      <c r="G34" s="314">
        <f>+B34+C34+E34+F34+D34</f>
        <v>0</v>
      </c>
      <c r="H34" s="314">
        <f>+'[6]Funcionamiento'!F34</f>
        <v>0</v>
      </c>
      <c r="I34" s="314">
        <f t="shared" si="5"/>
        <v>0</v>
      </c>
      <c r="J34" s="314">
        <v>0</v>
      </c>
      <c r="K34" s="314">
        <f t="shared" si="2"/>
        <v>0</v>
      </c>
      <c r="L34" s="367">
        <f t="shared" si="3"/>
        <v>0</v>
      </c>
      <c r="M34" s="4"/>
    </row>
    <row r="35" spans="1:13" ht="14.25">
      <c r="A35" s="24" t="s">
        <v>36</v>
      </c>
      <c r="B35" s="314">
        <v>0</v>
      </c>
      <c r="C35" s="314">
        <v>0</v>
      </c>
      <c r="D35" s="314"/>
      <c r="E35" s="314">
        <v>0</v>
      </c>
      <c r="F35" s="314">
        <v>0</v>
      </c>
      <c r="G35" s="314">
        <f t="shared" si="4"/>
        <v>0</v>
      </c>
      <c r="H35" s="314">
        <f>+'[6]Funcionamiento'!F30</f>
        <v>4954419.6845</v>
      </c>
      <c r="I35" s="314">
        <f t="shared" si="5"/>
        <v>4954419.6845</v>
      </c>
      <c r="J35" s="314">
        <v>1016180</v>
      </c>
      <c r="K35" s="314">
        <f t="shared" si="2"/>
        <v>-3938239.6845000004</v>
      </c>
      <c r="L35" s="367">
        <f t="shared" si="3"/>
        <v>0.20510575702319672</v>
      </c>
      <c r="M35" s="4"/>
    </row>
    <row r="36" spans="1:14" ht="15">
      <c r="A36" s="30" t="s">
        <v>119</v>
      </c>
      <c r="B36" s="21">
        <f>SUM(B21:B35)</f>
        <v>50426762.75503039</v>
      </c>
      <c r="C36" s="21">
        <f>SUM(C21:C35)</f>
        <v>12071782.4588</v>
      </c>
      <c r="D36" s="21">
        <f>SUM(D21:D35)</f>
        <v>15353282.4588</v>
      </c>
      <c r="E36" s="21">
        <f>SUM(E21:E35)</f>
        <v>110319157.4588</v>
      </c>
      <c r="F36" s="21">
        <f>SUM(F21:F35)</f>
        <v>18867657.4588</v>
      </c>
      <c r="G36" s="372">
        <f t="shared" si="4"/>
        <v>207038642.59023038</v>
      </c>
      <c r="H36" s="21">
        <f>SUM(H21:H35)</f>
        <v>142928919.8262</v>
      </c>
      <c r="I36" s="21">
        <f>SUM(I21:I35)</f>
        <v>349967562.4164304</v>
      </c>
      <c r="J36" s="21">
        <f>SUM(J21:J35)</f>
        <v>192183586.01999998</v>
      </c>
      <c r="K36" s="21">
        <f>+J36-I36</f>
        <v>-157783976.39643043</v>
      </c>
      <c r="L36" s="366">
        <f t="shared" si="3"/>
        <v>0.5491468543342269</v>
      </c>
      <c r="M36" s="373"/>
      <c r="N36" s="203"/>
    </row>
    <row r="37" spans="1:15" ht="15">
      <c r="A37" s="30" t="s">
        <v>120</v>
      </c>
      <c r="B37" s="21">
        <f>+B36+B19</f>
        <v>274438068.2780031</v>
      </c>
      <c r="C37" s="21">
        <f>+C36+C19</f>
        <v>92066391.52145445</v>
      </c>
      <c r="D37" s="21">
        <f>+D36+D19</f>
        <v>63738892.786007434</v>
      </c>
      <c r="E37" s="21">
        <f>+E36+E19</f>
        <v>348748576.4837031</v>
      </c>
      <c r="F37" s="21">
        <f>+F36+F19</f>
        <v>93564203.34849042</v>
      </c>
      <c r="G37" s="372">
        <f t="shared" si="4"/>
        <v>872556132.4176586</v>
      </c>
      <c r="H37" s="21">
        <f>+H36+H19</f>
        <v>239105077.62700438</v>
      </c>
      <c r="I37" s="21">
        <f>+I36+I19</f>
        <v>1111661210.0446627</v>
      </c>
      <c r="J37" s="21">
        <f>+J36+J19</f>
        <v>818076257.02</v>
      </c>
      <c r="K37" s="21">
        <f>+J37-I37</f>
        <v>-293584953.02466273</v>
      </c>
      <c r="L37" s="366">
        <f t="shared" si="3"/>
        <v>0.7359042931678191</v>
      </c>
      <c r="M37" s="373"/>
      <c r="N37" s="203"/>
      <c r="O37" s="132"/>
    </row>
    <row r="38" spans="1:14" ht="15">
      <c r="A38" s="2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366"/>
      <c r="M38" s="374"/>
      <c r="N38" s="203"/>
    </row>
    <row r="39" spans="1:14" ht="15">
      <c r="A39" s="30" t="s">
        <v>15</v>
      </c>
      <c r="B39" s="21">
        <f>+B41+B140+B193+B201</f>
        <v>596696727</v>
      </c>
      <c r="C39" s="21">
        <f>+C41+C48+C84+C140+C166+C193+C201+C212</f>
        <v>440886842</v>
      </c>
      <c r="D39" s="21">
        <f>+D41+D48+D84+D140+D166+D193+D201+D212</f>
        <v>126600000</v>
      </c>
      <c r="E39" s="21">
        <f>+E41+E48+E84+E140+E166+E193+E201+E212</f>
        <v>1387731100</v>
      </c>
      <c r="F39" s="21">
        <f>+F41+F48+F84+F140+F166+F193+F201+F212</f>
        <v>1215503532</v>
      </c>
      <c r="G39" s="21">
        <f>+B39+C39+E39+F39+D39</f>
        <v>3767418201</v>
      </c>
      <c r="H39" s="21">
        <v>0</v>
      </c>
      <c r="I39" s="21">
        <f>+H39+G39</f>
        <v>3767418201</v>
      </c>
      <c r="J39" s="21">
        <f>+J41+J48+J84+J140+J166+J193+J201+J212</f>
        <v>2699183676</v>
      </c>
      <c r="K39" s="21">
        <f>+J39-I39</f>
        <v>-1068234525</v>
      </c>
      <c r="L39" s="366">
        <f t="shared" si="3"/>
        <v>0.7164544873949873</v>
      </c>
      <c r="M39" s="373"/>
      <c r="N39" s="203"/>
    </row>
    <row r="40" spans="1:14" ht="15">
      <c r="A40" s="3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366"/>
      <c r="M40" s="206"/>
      <c r="N40" s="203"/>
    </row>
    <row r="41" spans="1:14" s="287" customFormat="1" ht="31.5" customHeight="1">
      <c r="A41" s="279" t="s">
        <v>247</v>
      </c>
      <c r="B41" s="280">
        <f>+B42</f>
        <v>31168626</v>
      </c>
      <c r="C41" s="280"/>
      <c r="D41" s="280"/>
      <c r="E41" s="280"/>
      <c r="F41" s="280"/>
      <c r="G41" s="280">
        <f>SUM(B41:F41)</f>
        <v>31168626</v>
      </c>
      <c r="H41" s="280"/>
      <c r="I41" s="280">
        <f>+H41+G41</f>
        <v>31168626</v>
      </c>
      <c r="J41" s="280">
        <f>+J42</f>
        <v>21329524</v>
      </c>
      <c r="K41" s="280">
        <f t="shared" si="2"/>
        <v>-9839102</v>
      </c>
      <c r="L41" s="375">
        <f t="shared" si="3"/>
        <v>0.6843267329140528</v>
      </c>
      <c r="M41" s="285"/>
      <c r="N41" s="286"/>
    </row>
    <row r="42" spans="1:14" s="241" customFormat="1" ht="15">
      <c r="A42" s="284" t="s">
        <v>8</v>
      </c>
      <c r="B42" s="308">
        <f>+B43+B45+B46+B44</f>
        <v>31168626</v>
      </c>
      <c r="C42" s="376"/>
      <c r="D42" s="376"/>
      <c r="E42" s="376"/>
      <c r="F42" s="376"/>
      <c r="G42" s="308">
        <f>+B42+C42+D42+E42+F42</f>
        <v>31168626</v>
      </c>
      <c r="H42" s="376"/>
      <c r="I42" s="308">
        <f>+G42+H42</f>
        <v>31168626</v>
      </c>
      <c r="J42" s="308">
        <f>+J43+J45+J46+J44</f>
        <v>21329524</v>
      </c>
      <c r="K42" s="308">
        <f t="shared" si="2"/>
        <v>-9839102</v>
      </c>
      <c r="L42" s="377">
        <f t="shared" si="3"/>
        <v>0.6843267329140528</v>
      </c>
      <c r="M42" s="207" t="s">
        <v>422</v>
      </c>
      <c r="N42" s="203"/>
    </row>
    <row r="43" spans="1:14" s="241" customFormat="1" ht="15" hidden="1" outlineLevel="1">
      <c r="A43" s="283" t="s">
        <v>155</v>
      </c>
      <c r="B43" s="314">
        <v>9390710</v>
      </c>
      <c r="C43" s="376"/>
      <c r="D43" s="376"/>
      <c r="E43" s="376"/>
      <c r="F43" s="376"/>
      <c r="G43" s="314">
        <f>+B43+C43+D43+E43+F43</f>
        <v>9390710</v>
      </c>
      <c r="H43" s="376"/>
      <c r="I43" s="309">
        <f>+G43+H43</f>
        <v>9390710</v>
      </c>
      <c r="J43" s="309">
        <v>9390708</v>
      </c>
      <c r="K43" s="309">
        <f t="shared" si="2"/>
        <v>-2</v>
      </c>
      <c r="L43" s="378">
        <f t="shared" si="3"/>
        <v>0.9999997870235584</v>
      </c>
      <c r="M43" s="207"/>
      <c r="N43" s="203"/>
    </row>
    <row r="44" spans="1:14" s="241" customFormat="1" ht="15" hidden="1" outlineLevel="1">
      <c r="A44" s="283" t="s">
        <v>305</v>
      </c>
      <c r="B44" s="314">
        <v>3000000</v>
      </c>
      <c r="C44" s="376"/>
      <c r="D44" s="376"/>
      <c r="E44" s="376"/>
      <c r="F44" s="376"/>
      <c r="G44" s="314">
        <f>+B44+C44+D44+E44+F44</f>
        <v>3000000</v>
      </c>
      <c r="H44" s="376"/>
      <c r="I44" s="309">
        <f>+G44+H44</f>
        <v>3000000</v>
      </c>
      <c r="J44" s="309">
        <v>0</v>
      </c>
      <c r="K44" s="309">
        <f t="shared" si="2"/>
        <v>-3000000</v>
      </c>
      <c r="L44" s="378">
        <f t="shared" si="3"/>
        <v>0</v>
      </c>
      <c r="M44" s="207"/>
      <c r="N44" s="203"/>
    </row>
    <row r="45" spans="1:14" s="241" customFormat="1" ht="15" hidden="1" outlineLevel="1">
      <c r="A45" s="283" t="s">
        <v>156</v>
      </c>
      <c r="B45" s="314">
        <v>6000000</v>
      </c>
      <c r="C45" s="376"/>
      <c r="D45" s="376"/>
      <c r="E45" s="376"/>
      <c r="F45" s="376"/>
      <c r="G45" s="314">
        <f>+B45+C45+D45+E45+F45</f>
        <v>6000000</v>
      </c>
      <c r="H45" s="376"/>
      <c r="I45" s="309">
        <f>+G45+H45</f>
        <v>6000000</v>
      </c>
      <c r="J45" s="309">
        <v>0</v>
      </c>
      <c r="K45" s="309">
        <f t="shared" si="2"/>
        <v>-6000000</v>
      </c>
      <c r="L45" s="378">
        <f t="shared" si="3"/>
        <v>0</v>
      </c>
      <c r="M45" s="207"/>
      <c r="N45" s="203"/>
    </row>
    <row r="46" spans="1:14" s="241" customFormat="1" ht="15" hidden="1" outlineLevel="1">
      <c r="A46" s="283" t="s">
        <v>226</v>
      </c>
      <c r="B46" s="314">
        <v>12777916</v>
      </c>
      <c r="C46" s="376"/>
      <c r="D46" s="376"/>
      <c r="E46" s="376"/>
      <c r="F46" s="376"/>
      <c r="G46" s="314">
        <f>+B46+C46+D46+E46+F46</f>
        <v>12777916</v>
      </c>
      <c r="H46" s="376"/>
      <c r="I46" s="309">
        <f>+G46+H46</f>
        <v>12777916</v>
      </c>
      <c r="J46" s="309">
        <v>11938816</v>
      </c>
      <c r="K46" s="309">
        <f t="shared" si="2"/>
        <v>-839100</v>
      </c>
      <c r="L46" s="378">
        <f t="shared" si="3"/>
        <v>0.9343320147041192</v>
      </c>
      <c r="M46" s="207"/>
      <c r="N46" s="203"/>
    </row>
    <row r="47" spans="1:14" s="241" customFormat="1" ht="15" collapsed="1">
      <c r="A47" s="136"/>
      <c r="B47" s="23"/>
      <c r="C47" s="26"/>
      <c r="D47" s="26"/>
      <c r="E47" s="26"/>
      <c r="F47" s="26"/>
      <c r="G47" s="23"/>
      <c r="H47" s="26"/>
      <c r="I47" s="137"/>
      <c r="J47" s="137"/>
      <c r="K47" s="137"/>
      <c r="L47" s="366"/>
      <c r="M47" s="207"/>
      <c r="N47" s="203"/>
    </row>
    <row r="48" spans="1:14" s="287" customFormat="1" ht="35.25" customHeight="1">
      <c r="A48" s="279" t="s">
        <v>248</v>
      </c>
      <c r="B48" s="280"/>
      <c r="C48" s="280"/>
      <c r="D48" s="280"/>
      <c r="E48" s="280"/>
      <c r="F48" s="280">
        <f>+F49+F57+F64+F68+F74+F78</f>
        <v>1091110016</v>
      </c>
      <c r="G48" s="280">
        <f>SUM(B48:F48)</f>
        <v>1091110016</v>
      </c>
      <c r="H48" s="280"/>
      <c r="I48" s="280">
        <f>+H48+G48</f>
        <v>1091110016</v>
      </c>
      <c r="J48" s="280">
        <f>+J49+J57+J64+J68+J74+J78</f>
        <v>997213574</v>
      </c>
      <c r="K48" s="280">
        <f t="shared" si="2"/>
        <v>-93896442</v>
      </c>
      <c r="L48" s="375">
        <f t="shared" si="3"/>
        <v>0.9139441113883057</v>
      </c>
      <c r="M48" s="285"/>
      <c r="N48" s="286"/>
    </row>
    <row r="49" spans="1:14" ht="18.75" customHeight="1">
      <c r="A49" s="284" t="s">
        <v>309</v>
      </c>
      <c r="B49" s="379"/>
      <c r="C49" s="314"/>
      <c r="D49" s="314"/>
      <c r="E49" s="314"/>
      <c r="F49" s="28">
        <f>SUM(F50:F56)</f>
        <v>2493046</v>
      </c>
      <c r="G49" s="308">
        <f aca="true" t="shared" si="6" ref="G49:G62">+B49+C49+D49+E49+F49</f>
        <v>2493046</v>
      </c>
      <c r="H49" s="315"/>
      <c r="I49" s="308">
        <f>+I50+I51+I52+I53+I54+I55+I56</f>
        <v>2493046</v>
      </c>
      <c r="J49" s="28">
        <f>SUM(J50:J56)</f>
        <v>2056026</v>
      </c>
      <c r="K49" s="308">
        <f t="shared" si="2"/>
        <v>-437020</v>
      </c>
      <c r="L49" s="377">
        <f t="shared" si="3"/>
        <v>0.8247043977527891</v>
      </c>
      <c r="M49" s="206"/>
      <c r="N49" s="203"/>
    </row>
    <row r="50" spans="1:14" ht="16.5" customHeight="1" hidden="1" outlineLevel="1">
      <c r="A50" s="304" t="s">
        <v>249</v>
      </c>
      <c r="B50" s="379"/>
      <c r="C50" s="314"/>
      <c r="D50" s="314"/>
      <c r="E50" s="314"/>
      <c r="F50" s="137">
        <v>0</v>
      </c>
      <c r="G50" s="309">
        <f t="shared" si="6"/>
        <v>0</v>
      </c>
      <c r="H50" s="315"/>
      <c r="I50" s="309">
        <f aca="true" t="shared" si="7" ref="I50:I56">+H50+G50</f>
        <v>0</v>
      </c>
      <c r="J50" s="309"/>
      <c r="K50" s="309">
        <f t="shared" si="2"/>
        <v>0</v>
      </c>
      <c r="L50" s="378">
        <f t="shared" si="3"/>
        <v>0</v>
      </c>
      <c r="M50" s="206"/>
      <c r="N50" s="203"/>
    </row>
    <row r="51" spans="1:14" ht="15" customHeight="1" hidden="1" outlineLevel="1">
      <c r="A51" s="304" t="s">
        <v>250</v>
      </c>
      <c r="B51" s="379"/>
      <c r="C51" s="314"/>
      <c r="D51" s="314"/>
      <c r="E51" s="314"/>
      <c r="F51" s="137">
        <v>0</v>
      </c>
      <c r="G51" s="309">
        <f t="shared" si="6"/>
        <v>0</v>
      </c>
      <c r="H51" s="315"/>
      <c r="I51" s="309">
        <f t="shared" si="7"/>
        <v>0</v>
      </c>
      <c r="J51" s="309"/>
      <c r="K51" s="309">
        <f t="shared" si="2"/>
        <v>0</v>
      </c>
      <c r="L51" s="378">
        <f t="shared" si="3"/>
        <v>0</v>
      </c>
      <c r="M51" s="206"/>
      <c r="N51" s="203"/>
    </row>
    <row r="52" spans="1:14" ht="15.75" customHeight="1" hidden="1" outlineLevel="1">
      <c r="A52" s="304" t="s">
        <v>251</v>
      </c>
      <c r="B52" s="379"/>
      <c r="C52" s="314"/>
      <c r="D52" s="314"/>
      <c r="E52" s="314"/>
      <c r="F52" s="137">
        <v>0</v>
      </c>
      <c r="G52" s="309">
        <f t="shared" si="6"/>
        <v>0</v>
      </c>
      <c r="H52" s="315"/>
      <c r="I52" s="309">
        <f t="shared" si="7"/>
        <v>0</v>
      </c>
      <c r="J52" s="309"/>
      <c r="K52" s="309">
        <f t="shared" si="2"/>
        <v>0</v>
      </c>
      <c r="L52" s="378">
        <f t="shared" si="3"/>
        <v>0</v>
      </c>
      <c r="M52" s="206"/>
      <c r="N52" s="203"/>
    </row>
    <row r="53" spans="1:14" ht="15" customHeight="1" hidden="1" outlineLevel="1">
      <c r="A53" s="304" t="s">
        <v>224</v>
      </c>
      <c r="B53" s="379"/>
      <c r="C53" s="314"/>
      <c r="D53" s="314"/>
      <c r="E53" s="314"/>
      <c r="F53" s="309">
        <v>2493046</v>
      </c>
      <c r="G53" s="309">
        <f t="shared" si="6"/>
        <v>2493046</v>
      </c>
      <c r="H53" s="315"/>
      <c r="I53" s="309">
        <f t="shared" si="7"/>
        <v>2493046</v>
      </c>
      <c r="J53" s="309">
        <v>2056026</v>
      </c>
      <c r="K53" s="309">
        <f t="shared" si="2"/>
        <v>-437020</v>
      </c>
      <c r="L53" s="378">
        <f t="shared" si="3"/>
        <v>0.8247043977527891</v>
      </c>
      <c r="M53" s="206"/>
      <c r="N53" s="203"/>
    </row>
    <row r="54" spans="1:14" ht="15.75" customHeight="1" hidden="1" outlineLevel="1">
      <c r="A54" s="304" t="s">
        <v>346</v>
      </c>
      <c r="B54" s="379"/>
      <c r="C54" s="314"/>
      <c r="D54" s="314"/>
      <c r="E54" s="314"/>
      <c r="F54" s="137">
        <v>0</v>
      </c>
      <c r="G54" s="309">
        <f t="shared" si="6"/>
        <v>0</v>
      </c>
      <c r="H54" s="315"/>
      <c r="I54" s="309">
        <f t="shared" si="7"/>
        <v>0</v>
      </c>
      <c r="J54" s="309"/>
      <c r="K54" s="309">
        <f t="shared" si="2"/>
        <v>0</v>
      </c>
      <c r="L54" s="378">
        <f t="shared" si="3"/>
        <v>0</v>
      </c>
      <c r="M54" s="206"/>
      <c r="N54" s="203"/>
    </row>
    <row r="55" spans="1:14" ht="15" customHeight="1" hidden="1" outlineLevel="1">
      <c r="A55" s="304" t="s">
        <v>347</v>
      </c>
      <c r="B55" s="379"/>
      <c r="C55" s="314"/>
      <c r="D55" s="314"/>
      <c r="E55" s="314"/>
      <c r="F55" s="137">
        <v>0</v>
      </c>
      <c r="G55" s="309">
        <f t="shared" si="6"/>
        <v>0</v>
      </c>
      <c r="H55" s="315"/>
      <c r="I55" s="309">
        <f t="shared" si="7"/>
        <v>0</v>
      </c>
      <c r="J55" s="309"/>
      <c r="K55" s="309">
        <f t="shared" si="2"/>
        <v>0</v>
      </c>
      <c r="L55" s="378">
        <f t="shared" si="3"/>
        <v>0</v>
      </c>
      <c r="M55" s="206"/>
      <c r="N55" s="203"/>
    </row>
    <row r="56" spans="1:14" ht="16.5" customHeight="1" hidden="1" outlineLevel="1">
      <c r="A56" s="304" t="s">
        <v>348</v>
      </c>
      <c r="B56" s="379"/>
      <c r="C56" s="314"/>
      <c r="D56" s="314"/>
      <c r="E56" s="314"/>
      <c r="F56" s="137">
        <v>0</v>
      </c>
      <c r="G56" s="309">
        <f t="shared" si="6"/>
        <v>0</v>
      </c>
      <c r="H56" s="315"/>
      <c r="I56" s="309">
        <f t="shared" si="7"/>
        <v>0</v>
      </c>
      <c r="J56" s="309"/>
      <c r="K56" s="309">
        <f t="shared" si="2"/>
        <v>0</v>
      </c>
      <c r="L56" s="378">
        <f t="shared" si="3"/>
        <v>0</v>
      </c>
      <c r="M56" s="206"/>
      <c r="N56" s="203"/>
    </row>
    <row r="57" spans="1:14" ht="15" collapsed="1">
      <c r="A57" s="380" t="s">
        <v>314</v>
      </c>
      <c r="B57" s="379"/>
      <c r="C57" s="314"/>
      <c r="D57" s="314"/>
      <c r="E57" s="314"/>
      <c r="F57" s="28">
        <f>SUM(F58:F63)</f>
        <v>226694253</v>
      </c>
      <c r="G57" s="308">
        <f t="shared" si="6"/>
        <v>226694253</v>
      </c>
      <c r="H57" s="315"/>
      <c r="I57" s="308">
        <f>+I58+I59+I60+I62+I63+I61</f>
        <v>226694253</v>
      </c>
      <c r="J57" s="28">
        <f>SUM(J58:J63)</f>
        <v>216359835</v>
      </c>
      <c r="K57" s="308">
        <f t="shared" si="2"/>
        <v>-10334418</v>
      </c>
      <c r="L57" s="377">
        <f t="shared" si="3"/>
        <v>0.954412527608276</v>
      </c>
      <c r="M57" s="4"/>
      <c r="N57" s="203"/>
    </row>
    <row r="58" spans="1:14" ht="15" hidden="1" outlineLevel="1">
      <c r="A58" s="307" t="s">
        <v>252</v>
      </c>
      <c r="B58" s="379"/>
      <c r="C58" s="314"/>
      <c r="D58" s="314"/>
      <c r="E58" s="314"/>
      <c r="F58" s="309">
        <v>54184102</v>
      </c>
      <c r="G58" s="309">
        <f t="shared" si="6"/>
        <v>54184102</v>
      </c>
      <c r="H58" s="315"/>
      <c r="I58" s="309">
        <f aca="true" t="shared" si="8" ref="I58:I67">+H58+G58</f>
        <v>54184102</v>
      </c>
      <c r="J58" s="309">
        <v>51897064</v>
      </c>
      <c r="K58" s="309">
        <f t="shared" si="2"/>
        <v>-2287038</v>
      </c>
      <c r="L58" s="378">
        <f t="shared" si="3"/>
        <v>0.9577913462513414</v>
      </c>
      <c r="M58" s="4"/>
      <c r="N58" s="203"/>
    </row>
    <row r="59" spans="1:14" ht="15" hidden="1" outlineLevel="1">
      <c r="A59" s="307" t="s">
        <v>349</v>
      </c>
      <c r="B59" s="379"/>
      <c r="C59" s="314"/>
      <c r="D59" s="314"/>
      <c r="E59" s="314"/>
      <c r="F59" s="309">
        <v>40085107</v>
      </c>
      <c r="G59" s="309">
        <f t="shared" si="6"/>
        <v>40085107</v>
      </c>
      <c r="H59" s="315"/>
      <c r="I59" s="309">
        <f t="shared" si="8"/>
        <v>40085107</v>
      </c>
      <c r="J59" s="309">
        <v>36352592</v>
      </c>
      <c r="K59" s="309">
        <f t="shared" si="2"/>
        <v>-3732515</v>
      </c>
      <c r="L59" s="378">
        <f t="shared" si="3"/>
        <v>0.9068852429407261</v>
      </c>
      <c r="M59" s="4"/>
      <c r="N59" s="203"/>
    </row>
    <row r="60" spans="1:14" ht="15" hidden="1" outlineLevel="1">
      <c r="A60" s="307" t="s">
        <v>350</v>
      </c>
      <c r="B60" s="379"/>
      <c r="C60" s="314"/>
      <c r="D60" s="314"/>
      <c r="E60" s="314"/>
      <c r="F60" s="309">
        <v>60000000</v>
      </c>
      <c r="G60" s="309">
        <f t="shared" si="6"/>
        <v>60000000</v>
      </c>
      <c r="H60" s="315"/>
      <c r="I60" s="309">
        <f t="shared" si="8"/>
        <v>60000000</v>
      </c>
      <c r="J60" s="309">
        <v>58997761</v>
      </c>
      <c r="K60" s="309">
        <f t="shared" si="2"/>
        <v>-1002239</v>
      </c>
      <c r="L60" s="378">
        <f t="shared" si="3"/>
        <v>0.9832960166666667</v>
      </c>
      <c r="M60" s="4"/>
      <c r="N60" s="203"/>
    </row>
    <row r="61" spans="1:14" ht="15" hidden="1" outlineLevel="1">
      <c r="A61" s="307" t="s">
        <v>253</v>
      </c>
      <c r="B61" s="379"/>
      <c r="C61" s="314"/>
      <c r="D61" s="314"/>
      <c r="E61" s="314"/>
      <c r="F61" s="309">
        <v>50000000</v>
      </c>
      <c r="G61" s="309">
        <f t="shared" si="6"/>
        <v>50000000</v>
      </c>
      <c r="H61" s="315"/>
      <c r="I61" s="309">
        <f t="shared" si="8"/>
        <v>50000000</v>
      </c>
      <c r="J61" s="309">
        <v>48021843</v>
      </c>
      <c r="K61" s="309">
        <f t="shared" si="2"/>
        <v>-1978157</v>
      </c>
      <c r="L61" s="378">
        <f t="shared" si="3"/>
        <v>0.96043686</v>
      </c>
      <c r="M61" s="4"/>
      <c r="N61" s="203"/>
    </row>
    <row r="62" spans="1:14" ht="15" hidden="1" outlineLevel="1">
      <c r="A62" s="307" t="s">
        <v>254</v>
      </c>
      <c r="B62" s="379"/>
      <c r="C62" s="314"/>
      <c r="D62" s="314"/>
      <c r="E62" s="314"/>
      <c r="F62" s="309">
        <v>17425044</v>
      </c>
      <c r="G62" s="309">
        <f t="shared" si="6"/>
        <v>17425044</v>
      </c>
      <c r="H62" s="315"/>
      <c r="I62" s="309">
        <f t="shared" si="8"/>
        <v>17425044</v>
      </c>
      <c r="J62" s="309">
        <v>17013569</v>
      </c>
      <c r="K62" s="309">
        <f t="shared" si="2"/>
        <v>-411475</v>
      </c>
      <c r="L62" s="378">
        <f t="shared" si="3"/>
        <v>0.9763859993696429</v>
      </c>
      <c r="M62" s="4"/>
      <c r="N62" s="203"/>
    </row>
    <row r="63" spans="1:14" ht="15" hidden="1" outlineLevel="1">
      <c r="A63" s="307" t="s">
        <v>351</v>
      </c>
      <c r="B63" s="379"/>
      <c r="C63" s="314"/>
      <c r="D63" s="314"/>
      <c r="E63" s="314"/>
      <c r="F63" s="309">
        <v>5000000</v>
      </c>
      <c r="G63" s="309">
        <f>+B63+C63+D63+E63+F63</f>
        <v>5000000</v>
      </c>
      <c r="H63" s="315"/>
      <c r="I63" s="309">
        <f t="shared" si="8"/>
        <v>5000000</v>
      </c>
      <c r="J63" s="309">
        <v>4077006</v>
      </c>
      <c r="K63" s="309">
        <f t="shared" si="2"/>
        <v>-922994</v>
      </c>
      <c r="L63" s="378">
        <f t="shared" si="3"/>
        <v>0.8154012</v>
      </c>
      <c r="M63" s="4"/>
      <c r="N63" s="203"/>
    </row>
    <row r="64" spans="1:14" ht="30" collapsed="1">
      <c r="A64" s="380" t="s">
        <v>352</v>
      </c>
      <c r="B64" s="379"/>
      <c r="C64" s="314"/>
      <c r="D64" s="314"/>
      <c r="E64" s="314"/>
      <c r="F64" s="28">
        <f>+F65+F66+F67</f>
        <v>27080000</v>
      </c>
      <c r="G64" s="310">
        <f aca="true" t="shared" si="9" ref="G64:G69">+B64+C64+D64+E64+F64</f>
        <v>27080000</v>
      </c>
      <c r="H64" s="315"/>
      <c r="I64" s="310">
        <f t="shared" si="8"/>
        <v>27080000</v>
      </c>
      <c r="J64" s="28">
        <f>+J65+J66+J67</f>
        <v>19984130</v>
      </c>
      <c r="K64" s="310">
        <f t="shared" si="2"/>
        <v>-7095870</v>
      </c>
      <c r="L64" s="377">
        <f t="shared" si="3"/>
        <v>0.7379663958641064</v>
      </c>
      <c r="M64" s="4"/>
      <c r="N64" s="203"/>
    </row>
    <row r="65" spans="1:14" ht="15" hidden="1" outlineLevel="1">
      <c r="A65" s="307" t="s">
        <v>353</v>
      </c>
      <c r="B65" s="379"/>
      <c r="C65" s="314"/>
      <c r="D65" s="314"/>
      <c r="E65" s="314"/>
      <c r="F65" s="309">
        <v>8750000</v>
      </c>
      <c r="G65" s="309">
        <f t="shared" si="9"/>
        <v>8750000</v>
      </c>
      <c r="H65" s="315"/>
      <c r="I65" s="309">
        <f t="shared" si="8"/>
        <v>8750000</v>
      </c>
      <c r="J65" s="309">
        <v>8166667</v>
      </c>
      <c r="K65" s="309">
        <f t="shared" si="2"/>
        <v>-583333</v>
      </c>
      <c r="L65" s="378">
        <f t="shared" si="3"/>
        <v>0.9333333714285714</v>
      </c>
      <c r="M65" s="4"/>
      <c r="N65" s="203"/>
    </row>
    <row r="66" spans="1:14" ht="15" hidden="1" outlineLevel="1">
      <c r="A66" s="307" t="s">
        <v>354</v>
      </c>
      <c r="B66" s="379"/>
      <c r="C66" s="314"/>
      <c r="D66" s="314"/>
      <c r="E66" s="314"/>
      <c r="F66" s="309">
        <v>3330000</v>
      </c>
      <c r="G66" s="309">
        <f t="shared" si="9"/>
        <v>3330000</v>
      </c>
      <c r="H66" s="315"/>
      <c r="I66" s="309">
        <f t="shared" si="8"/>
        <v>3330000</v>
      </c>
      <c r="J66" s="309">
        <v>2598760</v>
      </c>
      <c r="K66" s="309">
        <f t="shared" si="2"/>
        <v>-731240</v>
      </c>
      <c r="L66" s="378">
        <f t="shared" si="3"/>
        <v>0.7804084084084084</v>
      </c>
      <c r="M66" s="4"/>
      <c r="N66" s="203"/>
    </row>
    <row r="67" spans="1:14" ht="15" hidden="1" outlineLevel="1">
      <c r="A67" s="307" t="s">
        <v>355</v>
      </c>
      <c r="B67" s="379"/>
      <c r="C67" s="314"/>
      <c r="D67" s="314"/>
      <c r="E67" s="314"/>
      <c r="F67" s="309">
        <v>15000000</v>
      </c>
      <c r="G67" s="309">
        <f t="shared" si="9"/>
        <v>15000000</v>
      </c>
      <c r="H67" s="315"/>
      <c r="I67" s="309">
        <f t="shared" si="8"/>
        <v>15000000</v>
      </c>
      <c r="J67" s="309">
        <v>9218703</v>
      </c>
      <c r="K67" s="309">
        <f t="shared" si="2"/>
        <v>-5781297</v>
      </c>
      <c r="L67" s="378">
        <f t="shared" si="3"/>
        <v>0.6145802</v>
      </c>
      <c r="M67" s="4"/>
      <c r="N67" s="203"/>
    </row>
    <row r="68" spans="1:14" ht="15" collapsed="1">
      <c r="A68" s="305" t="s">
        <v>206</v>
      </c>
      <c r="B68" s="379"/>
      <c r="C68" s="314"/>
      <c r="D68" s="314"/>
      <c r="E68" s="314"/>
      <c r="F68" s="28">
        <f>SUM(F69:F73)</f>
        <v>713236664</v>
      </c>
      <c r="G68" s="310">
        <f t="shared" si="9"/>
        <v>713236664</v>
      </c>
      <c r="H68" s="315"/>
      <c r="I68" s="308">
        <f>+I69+I70+I71+I72+I73</f>
        <v>713236664</v>
      </c>
      <c r="J68" s="28">
        <f>SUM(J69:J73)</f>
        <v>672290938</v>
      </c>
      <c r="K68" s="308">
        <f t="shared" si="2"/>
        <v>-40945726</v>
      </c>
      <c r="L68" s="377">
        <f t="shared" si="3"/>
        <v>0.9425916696845523</v>
      </c>
      <c r="M68" s="4"/>
      <c r="N68" s="203"/>
    </row>
    <row r="69" spans="1:14" ht="15" customHeight="1" hidden="1" outlineLevel="1">
      <c r="A69" s="304" t="s">
        <v>255</v>
      </c>
      <c r="B69" s="379"/>
      <c r="C69" s="314"/>
      <c r="D69" s="314"/>
      <c r="E69" s="314"/>
      <c r="F69" s="309">
        <v>686000000</v>
      </c>
      <c r="G69" s="309">
        <f t="shared" si="9"/>
        <v>686000000</v>
      </c>
      <c r="H69" s="315"/>
      <c r="I69" s="309">
        <f aca="true" t="shared" si="10" ref="I69:I77">+H69+G69</f>
        <v>686000000</v>
      </c>
      <c r="J69" s="309">
        <v>647121290</v>
      </c>
      <c r="K69" s="309">
        <f t="shared" si="2"/>
        <v>-38878710</v>
      </c>
      <c r="L69" s="378">
        <f t="shared" si="3"/>
        <v>0.9433254956268221</v>
      </c>
      <c r="M69" s="4"/>
      <c r="N69" s="203"/>
    </row>
    <row r="70" spans="1:14" ht="15" customHeight="1" hidden="1" outlineLevel="1">
      <c r="A70" s="304" t="s">
        <v>356</v>
      </c>
      <c r="B70" s="379"/>
      <c r="C70" s="314"/>
      <c r="D70" s="314"/>
      <c r="E70" s="314"/>
      <c r="F70" s="309">
        <v>18000000</v>
      </c>
      <c r="G70" s="309">
        <f>+B70+C70+D70+E70+F70</f>
        <v>18000000</v>
      </c>
      <c r="H70" s="315"/>
      <c r="I70" s="309">
        <f t="shared" si="10"/>
        <v>18000000</v>
      </c>
      <c r="J70" s="309">
        <v>17888656</v>
      </c>
      <c r="K70" s="309">
        <f t="shared" si="2"/>
        <v>-111344</v>
      </c>
      <c r="L70" s="378">
        <f t="shared" si="3"/>
        <v>0.9938142222222223</v>
      </c>
      <c r="M70" s="4"/>
      <c r="N70" s="203"/>
    </row>
    <row r="71" spans="1:14" ht="15" customHeight="1" hidden="1" outlineLevel="1">
      <c r="A71" s="304" t="s">
        <v>257</v>
      </c>
      <c r="B71" s="379"/>
      <c r="C71" s="314"/>
      <c r="D71" s="314"/>
      <c r="E71" s="314"/>
      <c r="F71" s="137">
        <v>0</v>
      </c>
      <c r="G71" s="309">
        <f>+B71+C71+D71+E71+F71</f>
        <v>0</v>
      </c>
      <c r="H71" s="315"/>
      <c r="I71" s="309">
        <f t="shared" si="10"/>
        <v>0</v>
      </c>
      <c r="J71" s="309"/>
      <c r="K71" s="309">
        <f t="shared" si="2"/>
        <v>0</v>
      </c>
      <c r="L71" s="378">
        <f t="shared" si="3"/>
        <v>0</v>
      </c>
      <c r="M71" s="4"/>
      <c r="N71" s="203"/>
    </row>
    <row r="72" spans="1:14" ht="15" hidden="1" outlineLevel="1">
      <c r="A72" s="304" t="s">
        <v>357</v>
      </c>
      <c r="B72" s="379"/>
      <c r="C72" s="314"/>
      <c r="D72" s="314"/>
      <c r="E72" s="314"/>
      <c r="F72" s="309">
        <v>9236664</v>
      </c>
      <c r="G72" s="309">
        <f>+B72+C72+D72+E72+F72</f>
        <v>9236664</v>
      </c>
      <c r="H72" s="315"/>
      <c r="I72" s="309">
        <f t="shared" si="10"/>
        <v>9236664</v>
      </c>
      <c r="J72" s="309">
        <v>7280992</v>
      </c>
      <c r="K72" s="309">
        <f t="shared" si="2"/>
        <v>-1955672</v>
      </c>
      <c r="L72" s="378">
        <f aca="true" t="shared" si="11" ref="L72:L128">_xlfn.IFERROR(J72/I72,0)</f>
        <v>0.7882707436364471</v>
      </c>
      <c r="M72" s="4"/>
      <c r="N72" s="203"/>
    </row>
    <row r="73" spans="1:14" ht="15" hidden="1" outlineLevel="1">
      <c r="A73" s="304" t="s">
        <v>273</v>
      </c>
      <c r="B73" s="379"/>
      <c r="C73" s="314"/>
      <c r="D73" s="314"/>
      <c r="E73" s="314"/>
      <c r="F73" s="137">
        <v>0</v>
      </c>
      <c r="G73" s="309">
        <f aca="true" t="shared" si="12" ref="G73:G82">+B73+C73+D73+E73+F73</f>
        <v>0</v>
      </c>
      <c r="H73" s="315"/>
      <c r="I73" s="309">
        <f t="shared" si="10"/>
        <v>0</v>
      </c>
      <c r="J73" s="309"/>
      <c r="K73" s="309">
        <f aca="true" t="shared" si="13" ref="K73:K137">+J73-I73</f>
        <v>0</v>
      </c>
      <c r="L73" s="378">
        <f t="shared" si="11"/>
        <v>0</v>
      </c>
      <c r="M73" s="4"/>
      <c r="N73" s="203"/>
    </row>
    <row r="74" spans="1:14" ht="15" collapsed="1">
      <c r="A74" s="381" t="s">
        <v>358</v>
      </c>
      <c r="B74" s="379"/>
      <c r="C74" s="314"/>
      <c r="D74" s="314"/>
      <c r="E74" s="314"/>
      <c r="F74" s="28">
        <f>+F75+F76+F77</f>
        <v>86400000</v>
      </c>
      <c r="G74" s="310">
        <f t="shared" si="12"/>
        <v>86400000</v>
      </c>
      <c r="H74" s="315"/>
      <c r="I74" s="310">
        <f t="shared" si="10"/>
        <v>86400000</v>
      </c>
      <c r="J74" s="28">
        <f>+J75+J76+J77</f>
        <v>74056360</v>
      </c>
      <c r="K74" s="310">
        <f t="shared" si="13"/>
        <v>-12343640</v>
      </c>
      <c r="L74" s="377">
        <f t="shared" si="11"/>
        <v>0.8571337962962963</v>
      </c>
      <c r="M74" s="4"/>
      <c r="N74" s="203"/>
    </row>
    <row r="75" spans="1:14" ht="15" hidden="1" outlineLevel="1">
      <c r="A75" s="304" t="s">
        <v>359</v>
      </c>
      <c r="B75" s="379"/>
      <c r="C75" s="314"/>
      <c r="D75" s="314"/>
      <c r="E75" s="314"/>
      <c r="F75" s="309">
        <v>51400000</v>
      </c>
      <c r="G75" s="309">
        <f t="shared" si="12"/>
        <v>51400000</v>
      </c>
      <c r="H75" s="315"/>
      <c r="I75" s="309">
        <f t="shared" si="10"/>
        <v>51400000</v>
      </c>
      <c r="J75" s="309">
        <v>39256360</v>
      </c>
      <c r="K75" s="309">
        <f t="shared" si="13"/>
        <v>-12143640</v>
      </c>
      <c r="L75" s="378">
        <f t="shared" si="11"/>
        <v>0.7637424124513619</v>
      </c>
      <c r="M75" s="4"/>
      <c r="N75" s="203"/>
    </row>
    <row r="76" spans="1:14" ht="15" hidden="1" outlineLevel="1">
      <c r="A76" s="304" t="s">
        <v>360</v>
      </c>
      <c r="B76" s="379"/>
      <c r="C76" s="314"/>
      <c r="D76" s="314"/>
      <c r="E76" s="314"/>
      <c r="F76" s="309">
        <v>35000000</v>
      </c>
      <c r="G76" s="309">
        <f t="shared" si="12"/>
        <v>35000000</v>
      </c>
      <c r="H76" s="315"/>
      <c r="I76" s="309">
        <f t="shared" si="10"/>
        <v>35000000</v>
      </c>
      <c r="J76" s="309">
        <v>34800000</v>
      </c>
      <c r="K76" s="309">
        <f t="shared" si="13"/>
        <v>-200000</v>
      </c>
      <c r="L76" s="378">
        <f t="shared" si="11"/>
        <v>0.9942857142857143</v>
      </c>
      <c r="M76" s="4"/>
      <c r="N76" s="203"/>
    </row>
    <row r="77" spans="1:14" ht="15" hidden="1" outlineLevel="1">
      <c r="A77" s="304" t="s">
        <v>256</v>
      </c>
      <c r="B77" s="379"/>
      <c r="C77" s="314"/>
      <c r="D77" s="314"/>
      <c r="E77" s="314"/>
      <c r="F77" s="137">
        <v>0</v>
      </c>
      <c r="G77" s="309">
        <f t="shared" si="12"/>
        <v>0</v>
      </c>
      <c r="H77" s="315"/>
      <c r="I77" s="309">
        <f t="shared" si="10"/>
        <v>0</v>
      </c>
      <c r="J77" s="309"/>
      <c r="K77" s="309">
        <f t="shared" si="13"/>
        <v>0</v>
      </c>
      <c r="L77" s="378">
        <f t="shared" si="11"/>
        <v>0</v>
      </c>
      <c r="M77" s="4"/>
      <c r="N77" s="203"/>
    </row>
    <row r="78" spans="1:14" ht="15" collapsed="1">
      <c r="A78" s="305" t="s">
        <v>207</v>
      </c>
      <c r="B78" s="379"/>
      <c r="C78" s="314"/>
      <c r="D78" s="314"/>
      <c r="E78" s="314"/>
      <c r="F78" s="28">
        <f>+F79+F81+F82+F80</f>
        <v>35206053</v>
      </c>
      <c r="G78" s="310">
        <f>+G79+G81+G82+G80</f>
        <v>35206053</v>
      </c>
      <c r="H78" s="315"/>
      <c r="I78" s="310">
        <f>+I79+I81+I82+I80</f>
        <v>35206053</v>
      </c>
      <c r="J78" s="28">
        <f>+J79+J81+J82+J80</f>
        <v>12466285</v>
      </c>
      <c r="K78" s="310">
        <f t="shared" si="13"/>
        <v>-22739768</v>
      </c>
      <c r="L78" s="377">
        <f t="shared" si="11"/>
        <v>0.35409493361837524</v>
      </c>
      <c r="M78" s="207" t="s">
        <v>422</v>
      </c>
      <c r="N78" s="387" t="s">
        <v>440</v>
      </c>
    </row>
    <row r="79" spans="1:14" ht="15" hidden="1" outlineLevel="1">
      <c r="A79" s="304" t="s">
        <v>258</v>
      </c>
      <c r="B79" s="379"/>
      <c r="C79" s="314"/>
      <c r="D79" s="314"/>
      <c r="E79" s="314"/>
      <c r="F79" s="309">
        <v>27634624</v>
      </c>
      <c r="G79" s="309">
        <f t="shared" si="12"/>
        <v>27634624</v>
      </c>
      <c r="H79" s="315"/>
      <c r="I79" s="309">
        <f aca="true" t="shared" si="14" ref="I79:I85">+H79+G79</f>
        <v>27634624</v>
      </c>
      <c r="J79" s="309">
        <v>7713951</v>
      </c>
      <c r="K79" s="309">
        <f t="shared" si="13"/>
        <v>-19920673</v>
      </c>
      <c r="L79" s="378">
        <f t="shared" si="11"/>
        <v>0.2791407981523469</v>
      </c>
      <c r="M79" s="4"/>
      <c r="N79" s="203"/>
    </row>
    <row r="80" spans="1:14" ht="15" hidden="1" outlineLevel="1">
      <c r="A80" s="304" t="s">
        <v>361</v>
      </c>
      <c r="B80" s="379"/>
      <c r="C80" s="314"/>
      <c r="D80" s="314"/>
      <c r="E80" s="314"/>
      <c r="F80" s="309">
        <v>7571429</v>
      </c>
      <c r="G80" s="309">
        <f t="shared" si="12"/>
        <v>7571429</v>
      </c>
      <c r="H80" s="315"/>
      <c r="I80" s="309">
        <f t="shared" si="14"/>
        <v>7571429</v>
      </c>
      <c r="J80" s="309">
        <v>4752334</v>
      </c>
      <c r="K80" s="309">
        <f t="shared" si="13"/>
        <v>-2819095</v>
      </c>
      <c r="L80" s="378">
        <f t="shared" si="11"/>
        <v>0.6276667191886762</v>
      </c>
      <c r="M80" s="4"/>
      <c r="N80" s="203"/>
    </row>
    <row r="81" spans="1:14" ht="15" hidden="1" outlineLevel="1">
      <c r="A81" s="304" t="s">
        <v>283</v>
      </c>
      <c r="B81" s="379"/>
      <c r="C81" s="314"/>
      <c r="D81" s="314"/>
      <c r="E81" s="314"/>
      <c r="F81" s="309">
        <v>0</v>
      </c>
      <c r="G81" s="309">
        <f t="shared" si="12"/>
        <v>0</v>
      </c>
      <c r="H81" s="315"/>
      <c r="I81" s="309">
        <f t="shared" si="14"/>
        <v>0</v>
      </c>
      <c r="J81" s="309"/>
      <c r="K81" s="309">
        <f t="shared" si="13"/>
        <v>0</v>
      </c>
      <c r="L81" s="378">
        <f t="shared" si="11"/>
        <v>0</v>
      </c>
      <c r="M81" s="4"/>
      <c r="N81" s="203"/>
    </row>
    <row r="82" spans="1:14" ht="15" hidden="1" outlineLevel="1">
      <c r="A82" s="304" t="s">
        <v>284</v>
      </c>
      <c r="B82" s="379"/>
      <c r="C82" s="314"/>
      <c r="D82" s="314"/>
      <c r="E82" s="314"/>
      <c r="F82" s="309">
        <v>0</v>
      </c>
      <c r="G82" s="309">
        <f t="shared" si="12"/>
        <v>0</v>
      </c>
      <c r="H82" s="315"/>
      <c r="I82" s="309">
        <f t="shared" si="14"/>
        <v>0</v>
      </c>
      <c r="J82" s="309"/>
      <c r="K82" s="309">
        <f t="shared" si="13"/>
        <v>0</v>
      </c>
      <c r="L82" s="378">
        <f t="shared" si="11"/>
        <v>0</v>
      </c>
      <c r="M82" s="4"/>
      <c r="N82" s="203"/>
    </row>
    <row r="83" spans="1:14" ht="15" collapsed="1">
      <c r="A83" s="304"/>
      <c r="B83" s="379"/>
      <c r="C83" s="314"/>
      <c r="D83" s="314"/>
      <c r="E83" s="314"/>
      <c r="F83" s="309"/>
      <c r="G83" s="309"/>
      <c r="H83" s="315"/>
      <c r="I83" s="309"/>
      <c r="J83" s="309"/>
      <c r="K83" s="309"/>
      <c r="L83" s="378"/>
      <c r="M83" s="4"/>
      <c r="N83" s="203"/>
    </row>
    <row r="84" spans="1:14" s="287" customFormat="1" ht="43.5" customHeight="1">
      <c r="A84" s="279" t="s">
        <v>259</v>
      </c>
      <c r="B84" s="280"/>
      <c r="C84" s="280">
        <f>+C113</f>
        <v>325108759</v>
      </c>
      <c r="D84" s="280"/>
      <c r="E84" s="280">
        <f>+E85</f>
        <v>1387731100</v>
      </c>
      <c r="F84" s="280"/>
      <c r="G84" s="280">
        <f>SUM(B84:F84)</f>
        <v>1712839859</v>
      </c>
      <c r="H84" s="280"/>
      <c r="I84" s="280">
        <f t="shared" si="14"/>
        <v>1712839859</v>
      </c>
      <c r="J84" s="280">
        <f>+J85+J113</f>
        <v>1266324116</v>
      </c>
      <c r="K84" s="280">
        <f t="shared" si="13"/>
        <v>-446515743</v>
      </c>
      <c r="L84" s="375">
        <f t="shared" si="11"/>
        <v>0.73931261544749</v>
      </c>
      <c r="M84" s="285"/>
      <c r="N84" s="286"/>
    </row>
    <row r="85" spans="1:14" ht="15">
      <c r="A85" s="382" t="s">
        <v>306</v>
      </c>
      <c r="B85" s="315"/>
      <c r="C85" s="308"/>
      <c r="D85" s="308"/>
      <c r="E85" s="310">
        <f>+E86+E91+E98+E105+E108</f>
        <v>1387731100</v>
      </c>
      <c r="F85" s="376"/>
      <c r="G85" s="310">
        <f aca="true" t="shared" si="15" ref="G85:G107">+B85+C85+D85+E85+F85</f>
        <v>1387731100</v>
      </c>
      <c r="H85" s="376"/>
      <c r="I85" s="310">
        <f t="shared" si="14"/>
        <v>1387731100</v>
      </c>
      <c r="J85" s="310">
        <f>+J86+J91+J98+J105+J108</f>
        <v>1158086750</v>
      </c>
      <c r="K85" s="310">
        <f t="shared" si="13"/>
        <v>-229644350</v>
      </c>
      <c r="L85" s="377">
        <f t="shared" si="11"/>
        <v>0.8345181209817953</v>
      </c>
      <c r="M85" s="206"/>
      <c r="N85" s="203"/>
    </row>
    <row r="86" spans="1:14" ht="15">
      <c r="A86" s="383" t="s">
        <v>75</v>
      </c>
      <c r="B86" s="376"/>
      <c r="C86" s="314"/>
      <c r="D86" s="314"/>
      <c r="E86" s="310">
        <f>+E87+E88+E89+E90</f>
        <v>465000000</v>
      </c>
      <c r="F86" s="315"/>
      <c r="G86" s="310">
        <f t="shared" si="15"/>
        <v>465000000</v>
      </c>
      <c r="H86" s="315"/>
      <c r="I86" s="310">
        <f>+I87+I88+I89+I90</f>
        <v>465000000</v>
      </c>
      <c r="J86" s="310">
        <f>+J87+J88+J89+J90</f>
        <v>447785693</v>
      </c>
      <c r="K86" s="310">
        <f t="shared" si="13"/>
        <v>-17214307</v>
      </c>
      <c r="L86" s="377">
        <f t="shared" si="11"/>
        <v>0.9629799849462366</v>
      </c>
      <c r="M86" s="206"/>
      <c r="N86" s="203"/>
    </row>
    <row r="87" spans="1:14" ht="15" hidden="1" outlineLevel="1">
      <c r="A87" s="311" t="s">
        <v>191</v>
      </c>
      <c r="B87" s="376"/>
      <c r="C87" s="314"/>
      <c r="D87" s="314"/>
      <c r="E87" s="309">
        <v>250000000</v>
      </c>
      <c r="F87" s="315"/>
      <c r="G87" s="309">
        <f t="shared" si="15"/>
        <v>250000000</v>
      </c>
      <c r="H87" s="315"/>
      <c r="I87" s="309">
        <f>+H87+G87-27500000+28781800+8200000-40000000</f>
        <v>219481800</v>
      </c>
      <c r="J87" s="309">
        <v>218559504</v>
      </c>
      <c r="K87" s="309">
        <f t="shared" si="13"/>
        <v>-922296</v>
      </c>
      <c r="L87" s="378">
        <f t="shared" si="11"/>
        <v>0.9957978474752804</v>
      </c>
      <c r="M87" s="206"/>
      <c r="N87" s="203"/>
    </row>
    <row r="88" spans="1:14" ht="15" hidden="1" outlineLevel="1">
      <c r="A88" s="311" t="s">
        <v>72</v>
      </c>
      <c r="B88" s="376"/>
      <c r="C88" s="314"/>
      <c r="D88" s="314"/>
      <c r="E88" s="309">
        <v>30000000</v>
      </c>
      <c r="F88" s="315"/>
      <c r="G88" s="309">
        <f t="shared" si="15"/>
        <v>30000000</v>
      </c>
      <c r="H88" s="315"/>
      <c r="I88" s="309">
        <f>+H88+G88-28781800</f>
        <v>1218200</v>
      </c>
      <c r="J88" s="309">
        <v>1159013</v>
      </c>
      <c r="K88" s="309">
        <f t="shared" si="13"/>
        <v>-59187</v>
      </c>
      <c r="L88" s="378">
        <f t="shared" si="11"/>
        <v>0.9514143818748974</v>
      </c>
      <c r="M88" s="206"/>
      <c r="N88" s="203"/>
    </row>
    <row r="89" spans="1:14" ht="15" hidden="1" outlineLevel="1">
      <c r="A89" s="311" t="s">
        <v>74</v>
      </c>
      <c r="B89" s="376"/>
      <c r="C89" s="314"/>
      <c r="D89" s="314"/>
      <c r="E89" s="309">
        <v>150000000</v>
      </c>
      <c r="F89" s="315"/>
      <c r="G89" s="309">
        <f t="shared" si="15"/>
        <v>150000000</v>
      </c>
      <c r="H89" s="315"/>
      <c r="I89" s="309">
        <f>+H89+G89-8200000+40000000</f>
        <v>181800000</v>
      </c>
      <c r="J89" s="309">
        <v>165623325</v>
      </c>
      <c r="K89" s="309">
        <f t="shared" si="13"/>
        <v>-16176675</v>
      </c>
      <c r="L89" s="378">
        <f t="shared" si="11"/>
        <v>0.9110193894389439</v>
      </c>
      <c r="M89" s="206"/>
      <c r="N89" s="203"/>
    </row>
    <row r="90" spans="1:14" ht="15" hidden="1" outlineLevel="1">
      <c r="A90" s="311" t="s">
        <v>190</v>
      </c>
      <c r="B90" s="376"/>
      <c r="C90" s="314"/>
      <c r="D90" s="314"/>
      <c r="E90" s="309">
        <v>35000000</v>
      </c>
      <c r="F90" s="315"/>
      <c r="G90" s="309">
        <f t="shared" si="15"/>
        <v>35000000</v>
      </c>
      <c r="H90" s="315"/>
      <c r="I90" s="309">
        <f>+H90+G90+27500000</f>
        <v>62500000</v>
      </c>
      <c r="J90" s="309">
        <v>62443851</v>
      </c>
      <c r="K90" s="309">
        <f t="shared" si="13"/>
        <v>-56149</v>
      </c>
      <c r="L90" s="378">
        <f t="shared" si="11"/>
        <v>0.999101616</v>
      </c>
      <c r="M90" s="206"/>
      <c r="N90" s="203"/>
    </row>
    <row r="91" spans="1:14" ht="15" collapsed="1">
      <c r="A91" s="383" t="s">
        <v>9</v>
      </c>
      <c r="B91" s="376"/>
      <c r="C91" s="314"/>
      <c r="D91" s="314"/>
      <c r="E91" s="310">
        <f>+E92+E96</f>
        <v>214800000</v>
      </c>
      <c r="F91" s="315"/>
      <c r="G91" s="310">
        <f t="shared" si="15"/>
        <v>214800000</v>
      </c>
      <c r="H91" s="315"/>
      <c r="I91" s="310">
        <f>+I92+I96</f>
        <v>214800000</v>
      </c>
      <c r="J91" s="310">
        <f>+J92+J96</f>
        <v>180586982</v>
      </c>
      <c r="K91" s="310">
        <f t="shared" si="13"/>
        <v>-34213018</v>
      </c>
      <c r="L91" s="377">
        <f t="shared" si="11"/>
        <v>0.8407215176908752</v>
      </c>
      <c r="M91" s="206"/>
      <c r="N91" s="203"/>
    </row>
    <row r="92" spans="1:14" ht="15" hidden="1" outlineLevel="1">
      <c r="A92" s="384" t="s">
        <v>79</v>
      </c>
      <c r="B92" s="376"/>
      <c r="C92" s="314"/>
      <c r="D92" s="314"/>
      <c r="E92" s="310">
        <f>+E94+E95+E93</f>
        <v>67300000</v>
      </c>
      <c r="F92" s="315"/>
      <c r="G92" s="310">
        <f t="shared" si="15"/>
        <v>67300000</v>
      </c>
      <c r="H92" s="315"/>
      <c r="I92" s="310">
        <f>+H92+G92</f>
        <v>67300000</v>
      </c>
      <c r="J92" s="310">
        <f>+J94+J95+J93</f>
        <v>60878371</v>
      </c>
      <c r="K92" s="310">
        <f t="shared" si="13"/>
        <v>-6421629</v>
      </c>
      <c r="L92" s="377">
        <f t="shared" si="11"/>
        <v>0.9045820356612184</v>
      </c>
      <c r="M92" s="206"/>
      <c r="N92" s="203"/>
    </row>
    <row r="93" spans="1:14" ht="15" hidden="1" outlineLevel="2">
      <c r="A93" s="283" t="s">
        <v>237</v>
      </c>
      <c r="B93" s="376"/>
      <c r="C93" s="314"/>
      <c r="D93" s="314"/>
      <c r="E93" s="309">
        <v>30000000</v>
      </c>
      <c r="F93" s="315"/>
      <c r="G93" s="309">
        <f t="shared" si="15"/>
        <v>30000000</v>
      </c>
      <c r="H93" s="385"/>
      <c r="I93" s="309">
        <f>+H93+G93+2263795</f>
        <v>32263795</v>
      </c>
      <c r="J93" s="309">
        <v>32209151</v>
      </c>
      <c r="K93" s="309">
        <f t="shared" si="13"/>
        <v>-54644</v>
      </c>
      <c r="L93" s="378">
        <f t="shared" si="11"/>
        <v>0.9983063368707866</v>
      </c>
      <c r="M93" s="206"/>
      <c r="N93" s="203"/>
    </row>
    <row r="94" spans="1:14" ht="15" hidden="1" outlineLevel="2">
      <c r="A94" s="283" t="s">
        <v>151</v>
      </c>
      <c r="B94" s="376"/>
      <c r="C94" s="314"/>
      <c r="D94" s="314"/>
      <c r="E94" s="309">
        <v>22000000</v>
      </c>
      <c r="F94" s="315"/>
      <c r="G94" s="309">
        <f t="shared" si="15"/>
        <v>22000000</v>
      </c>
      <c r="H94" s="315"/>
      <c r="I94" s="309">
        <f>+H94+G94-2263795</f>
        <v>19736205</v>
      </c>
      <c r="J94" s="309">
        <v>17105849</v>
      </c>
      <c r="K94" s="309">
        <f t="shared" si="13"/>
        <v>-2630356</v>
      </c>
      <c r="L94" s="378">
        <f t="shared" si="11"/>
        <v>0.8667243271946152</v>
      </c>
      <c r="M94" s="206"/>
      <c r="N94" s="203"/>
    </row>
    <row r="95" spans="1:14" ht="15" hidden="1" outlineLevel="2">
      <c r="A95" s="283" t="s">
        <v>152</v>
      </c>
      <c r="B95" s="376"/>
      <c r="C95" s="314"/>
      <c r="D95" s="314"/>
      <c r="E95" s="309">
        <v>15300000</v>
      </c>
      <c r="F95" s="315"/>
      <c r="G95" s="309">
        <f t="shared" si="15"/>
        <v>15300000</v>
      </c>
      <c r="H95" s="315"/>
      <c r="I95" s="309">
        <f>+H95+G95</f>
        <v>15300000</v>
      </c>
      <c r="J95" s="309">
        <v>11563371</v>
      </c>
      <c r="K95" s="309">
        <f t="shared" si="13"/>
        <v>-3736629</v>
      </c>
      <c r="L95" s="378">
        <f t="shared" si="11"/>
        <v>0.7557758823529411</v>
      </c>
      <c r="M95" s="206"/>
      <c r="N95" s="203"/>
    </row>
    <row r="96" spans="1:14" s="241" customFormat="1" ht="15" hidden="1" outlineLevel="1">
      <c r="A96" s="384" t="s">
        <v>78</v>
      </c>
      <c r="B96" s="376"/>
      <c r="C96" s="308"/>
      <c r="D96" s="308"/>
      <c r="E96" s="310">
        <f>+E97</f>
        <v>147500000</v>
      </c>
      <c r="F96" s="376"/>
      <c r="G96" s="310">
        <f t="shared" si="15"/>
        <v>147500000</v>
      </c>
      <c r="H96" s="376"/>
      <c r="I96" s="310">
        <f>+I97</f>
        <v>147500000</v>
      </c>
      <c r="J96" s="310">
        <f>+J97</f>
        <v>119708611</v>
      </c>
      <c r="K96" s="310">
        <f t="shared" si="13"/>
        <v>-27791389</v>
      </c>
      <c r="L96" s="377">
        <f t="shared" si="11"/>
        <v>0.8115838033898305</v>
      </c>
      <c r="M96" s="386"/>
      <c r="N96" s="387"/>
    </row>
    <row r="97" spans="1:14" ht="15" hidden="1" outlineLevel="2">
      <c r="A97" s="311" t="s">
        <v>71</v>
      </c>
      <c r="B97" s="376"/>
      <c r="C97" s="314"/>
      <c r="D97" s="314"/>
      <c r="E97" s="309">
        <v>147500000</v>
      </c>
      <c r="F97" s="315"/>
      <c r="G97" s="309">
        <f t="shared" si="15"/>
        <v>147500000</v>
      </c>
      <c r="H97" s="315"/>
      <c r="I97" s="309">
        <f>+H97+G97</f>
        <v>147500000</v>
      </c>
      <c r="J97" s="309">
        <v>119708611</v>
      </c>
      <c r="K97" s="309">
        <f t="shared" si="13"/>
        <v>-27791389</v>
      </c>
      <c r="L97" s="378">
        <f t="shared" si="11"/>
        <v>0.8115838033898305</v>
      </c>
      <c r="M97" s="206"/>
      <c r="N97" s="203"/>
    </row>
    <row r="98" spans="1:14" ht="15" collapsed="1">
      <c r="A98" s="383" t="s">
        <v>298</v>
      </c>
      <c r="B98" s="376"/>
      <c r="C98" s="314"/>
      <c r="D98" s="314"/>
      <c r="E98" s="310">
        <f>+SUM(E99:E104)</f>
        <v>68500000</v>
      </c>
      <c r="F98" s="314"/>
      <c r="G98" s="310">
        <f t="shared" si="15"/>
        <v>68500000</v>
      </c>
      <c r="H98" s="315"/>
      <c r="I98" s="310">
        <f aca="true" t="shared" si="16" ref="I98:I104">+G98</f>
        <v>68500000</v>
      </c>
      <c r="J98" s="310">
        <f>+SUM(J99:J104)</f>
        <v>66923099</v>
      </c>
      <c r="K98" s="310">
        <f t="shared" si="13"/>
        <v>-1576901</v>
      </c>
      <c r="L98" s="377">
        <f t="shared" si="11"/>
        <v>0.9769795474452555</v>
      </c>
      <c r="M98" s="206"/>
      <c r="N98" s="203"/>
    </row>
    <row r="99" spans="1:14" ht="15" hidden="1" outlineLevel="1">
      <c r="A99" s="283" t="s">
        <v>301</v>
      </c>
      <c r="B99" s="376"/>
      <c r="C99" s="314"/>
      <c r="D99" s="314"/>
      <c r="E99" s="314">
        <v>16000000</v>
      </c>
      <c r="F99" s="314"/>
      <c r="G99" s="309">
        <f t="shared" si="15"/>
        <v>16000000</v>
      </c>
      <c r="H99" s="315"/>
      <c r="I99" s="309">
        <f t="shared" si="16"/>
        <v>16000000</v>
      </c>
      <c r="J99" s="309">
        <v>16000000</v>
      </c>
      <c r="K99" s="309">
        <f t="shared" si="13"/>
        <v>0</v>
      </c>
      <c r="L99" s="378">
        <f t="shared" si="11"/>
        <v>1</v>
      </c>
      <c r="M99" s="206"/>
      <c r="N99" s="203"/>
    </row>
    <row r="100" spans="1:14" ht="15" hidden="1" outlineLevel="1">
      <c r="A100" s="283" t="s">
        <v>302</v>
      </c>
      <c r="B100" s="376"/>
      <c r="C100" s="314"/>
      <c r="D100" s="314"/>
      <c r="E100" s="314">
        <v>35000000</v>
      </c>
      <c r="F100" s="314"/>
      <c r="G100" s="309">
        <f t="shared" si="15"/>
        <v>35000000</v>
      </c>
      <c r="H100" s="315"/>
      <c r="I100" s="309">
        <f t="shared" si="16"/>
        <v>35000000</v>
      </c>
      <c r="J100" s="309">
        <v>35000000</v>
      </c>
      <c r="K100" s="309">
        <f t="shared" si="13"/>
        <v>0</v>
      </c>
      <c r="L100" s="378">
        <f t="shared" si="11"/>
        <v>1</v>
      </c>
      <c r="M100" s="206"/>
      <c r="N100" s="203"/>
    </row>
    <row r="101" spans="1:14" ht="15" hidden="1" outlineLevel="1">
      <c r="A101" s="283" t="s">
        <v>238</v>
      </c>
      <c r="B101" s="376"/>
      <c r="C101" s="314"/>
      <c r="D101" s="314"/>
      <c r="E101" s="314">
        <v>15000000</v>
      </c>
      <c r="F101" s="314"/>
      <c r="G101" s="309">
        <f t="shared" si="15"/>
        <v>15000000</v>
      </c>
      <c r="H101" s="385"/>
      <c r="I101" s="309">
        <f t="shared" si="16"/>
        <v>15000000</v>
      </c>
      <c r="J101" s="309">
        <v>14986242</v>
      </c>
      <c r="K101" s="309">
        <f t="shared" si="13"/>
        <v>-13758</v>
      </c>
      <c r="L101" s="378">
        <f t="shared" si="11"/>
        <v>0.9990828</v>
      </c>
      <c r="M101" s="206"/>
      <c r="N101" s="203"/>
    </row>
    <row r="102" spans="1:14" ht="15" hidden="1" outlineLevel="1">
      <c r="A102" s="283" t="s">
        <v>307</v>
      </c>
      <c r="B102" s="376"/>
      <c r="C102" s="314"/>
      <c r="D102" s="314"/>
      <c r="E102" s="314">
        <v>0</v>
      </c>
      <c r="F102" s="314"/>
      <c r="G102" s="309">
        <f t="shared" si="15"/>
        <v>0</v>
      </c>
      <c r="H102" s="385"/>
      <c r="I102" s="309">
        <f t="shared" si="16"/>
        <v>0</v>
      </c>
      <c r="J102" s="309"/>
      <c r="K102" s="309">
        <f t="shared" si="13"/>
        <v>0</v>
      </c>
      <c r="L102" s="378">
        <f t="shared" si="11"/>
        <v>0</v>
      </c>
      <c r="M102" s="206"/>
      <c r="N102" s="203"/>
    </row>
    <row r="103" spans="1:14" ht="15" hidden="1" outlineLevel="1">
      <c r="A103" s="283" t="s">
        <v>303</v>
      </c>
      <c r="B103" s="376"/>
      <c r="C103" s="314"/>
      <c r="D103" s="314"/>
      <c r="E103" s="309">
        <v>2500000</v>
      </c>
      <c r="F103" s="315"/>
      <c r="G103" s="309">
        <f t="shared" si="15"/>
        <v>2500000</v>
      </c>
      <c r="H103" s="385"/>
      <c r="I103" s="309">
        <f t="shared" si="16"/>
        <v>2500000</v>
      </c>
      <c r="J103" s="309">
        <v>936857</v>
      </c>
      <c r="K103" s="309">
        <f t="shared" si="13"/>
        <v>-1563143</v>
      </c>
      <c r="L103" s="378">
        <f t="shared" si="11"/>
        <v>0.3747428</v>
      </c>
      <c r="M103" s="206"/>
      <c r="N103" s="203"/>
    </row>
    <row r="104" spans="1:14" ht="15" hidden="1" outlineLevel="1">
      <c r="A104" s="283" t="s">
        <v>362</v>
      </c>
      <c r="B104" s="376"/>
      <c r="C104" s="314"/>
      <c r="D104" s="314"/>
      <c r="E104" s="309">
        <v>0</v>
      </c>
      <c r="F104" s="315"/>
      <c r="G104" s="309">
        <f t="shared" si="15"/>
        <v>0</v>
      </c>
      <c r="H104" s="385"/>
      <c r="I104" s="309">
        <f t="shared" si="16"/>
        <v>0</v>
      </c>
      <c r="J104" s="309"/>
      <c r="K104" s="309">
        <f t="shared" si="13"/>
        <v>0</v>
      </c>
      <c r="L104" s="378">
        <f t="shared" si="11"/>
        <v>0</v>
      </c>
      <c r="M104" s="206"/>
      <c r="N104" s="203"/>
    </row>
    <row r="105" spans="1:14" ht="15" collapsed="1">
      <c r="A105" s="383" t="s">
        <v>7</v>
      </c>
      <c r="B105" s="315"/>
      <c r="C105" s="314"/>
      <c r="D105" s="314"/>
      <c r="E105" s="310">
        <f>+E106+E107</f>
        <v>198000000</v>
      </c>
      <c r="F105" s="315"/>
      <c r="G105" s="310">
        <f t="shared" si="15"/>
        <v>198000000</v>
      </c>
      <c r="H105" s="376"/>
      <c r="I105" s="310">
        <f>+H105+G105</f>
        <v>198000000</v>
      </c>
      <c r="J105" s="310">
        <f>+J106+J107</f>
        <v>25922173</v>
      </c>
      <c r="K105" s="310">
        <f t="shared" si="13"/>
        <v>-172077827</v>
      </c>
      <c r="L105" s="377">
        <f t="shared" si="11"/>
        <v>0.13092006565656567</v>
      </c>
      <c r="M105" s="386" t="s">
        <v>422</v>
      </c>
      <c r="N105" s="423" t="s">
        <v>439</v>
      </c>
    </row>
    <row r="106" spans="1:14" ht="15" hidden="1" outlineLevel="1">
      <c r="A106" s="311" t="s">
        <v>76</v>
      </c>
      <c r="B106" s="315"/>
      <c r="C106" s="314"/>
      <c r="D106" s="314"/>
      <c r="E106" s="309">
        <v>30000000</v>
      </c>
      <c r="F106" s="315"/>
      <c r="G106" s="309">
        <f t="shared" si="15"/>
        <v>30000000</v>
      </c>
      <c r="H106" s="376"/>
      <c r="I106" s="309">
        <f>+H106+G106</f>
        <v>30000000</v>
      </c>
      <c r="J106" s="309">
        <v>25922173</v>
      </c>
      <c r="K106" s="309">
        <f t="shared" si="13"/>
        <v>-4077827</v>
      </c>
      <c r="L106" s="377">
        <f t="shared" si="11"/>
        <v>0.8640724333333333</v>
      </c>
      <c r="M106" s="206"/>
      <c r="N106" s="203"/>
    </row>
    <row r="107" spans="1:14" ht="15" hidden="1" outlineLevel="1">
      <c r="A107" s="298" t="s">
        <v>304</v>
      </c>
      <c r="B107" s="315"/>
      <c r="C107" s="314"/>
      <c r="D107" s="314"/>
      <c r="E107" s="309">
        <v>168000000</v>
      </c>
      <c r="F107" s="315"/>
      <c r="G107" s="309">
        <f t="shared" si="15"/>
        <v>168000000</v>
      </c>
      <c r="H107" s="376"/>
      <c r="I107" s="309">
        <f>+H107+G107</f>
        <v>168000000</v>
      </c>
      <c r="J107" s="309">
        <v>0</v>
      </c>
      <c r="K107" s="309">
        <f t="shared" si="13"/>
        <v>-168000000</v>
      </c>
      <c r="L107" s="378">
        <f t="shared" si="11"/>
        <v>0</v>
      </c>
      <c r="M107" s="206"/>
      <c r="N107" s="203"/>
    </row>
    <row r="108" spans="1:14" ht="15" collapsed="1">
      <c r="A108" s="383" t="s">
        <v>153</v>
      </c>
      <c r="B108" s="315"/>
      <c r="C108" s="314"/>
      <c r="D108" s="314"/>
      <c r="E108" s="310">
        <f>+E109+E110+E111+E112</f>
        <v>441431100</v>
      </c>
      <c r="F108" s="315"/>
      <c r="G108" s="310">
        <f>+F108+E108+C108+B108</f>
        <v>441431100</v>
      </c>
      <c r="H108" s="388"/>
      <c r="I108" s="310">
        <f>+G108+H108</f>
        <v>441431100</v>
      </c>
      <c r="J108" s="310">
        <f>+J109+J110+J111+J112</f>
        <v>436868803</v>
      </c>
      <c r="K108" s="310">
        <f t="shared" si="13"/>
        <v>-4562297</v>
      </c>
      <c r="L108" s="377">
        <f t="shared" si="11"/>
        <v>0.9896647585546193</v>
      </c>
      <c r="M108" s="206"/>
      <c r="N108" s="203"/>
    </row>
    <row r="109" spans="1:14" ht="15" hidden="1" outlineLevel="1">
      <c r="A109" s="283" t="s">
        <v>205</v>
      </c>
      <c r="B109" s="315"/>
      <c r="C109" s="314"/>
      <c r="D109" s="314"/>
      <c r="E109" s="309">
        <v>415000000</v>
      </c>
      <c r="F109" s="315"/>
      <c r="G109" s="309">
        <f aca="true" t="shared" si="17" ref="G109:G115">+B109+C109+D109+E109+F109</f>
        <v>415000000</v>
      </c>
      <c r="H109" s="376"/>
      <c r="I109" s="309">
        <f>+G109+H109-12000000</f>
        <v>403000000</v>
      </c>
      <c r="J109" s="309">
        <v>403000000</v>
      </c>
      <c r="K109" s="309">
        <f t="shared" si="13"/>
        <v>0</v>
      </c>
      <c r="L109" s="378">
        <f t="shared" si="11"/>
        <v>1</v>
      </c>
      <c r="M109" s="206"/>
      <c r="N109" s="203"/>
    </row>
    <row r="110" spans="1:14" ht="14.25" hidden="1" outlineLevel="1">
      <c r="A110" s="283" t="s">
        <v>239</v>
      </c>
      <c r="B110" s="315"/>
      <c r="C110" s="314"/>
      <c r="D110" s="314"/>
      <c r="E110" s="309">
        <v>13000000</v>
      </c>
      <c r="F110" s="315"/>
      <c r="G110" s="309">
        <f t="shared" si="17"/>
        <v>13000000</v>
      </c>
      <c r="H110" s="315"/>
      <c r="I110" s="309">
        <f>+G110+H110+12000000</f>
        <v>25000000</v>
      </c>
      <c r="J110" s="309">
        <v>21984370</v>
      </c>
      <c r="K110" s="309">
        <f t="shared" si="13"/>
        <v>-3015630</v>
      </c>
      <c r="L110" s="378">
        <f t="shared" si="11"/>
        <v>0.8793748</v>
      </c>
      <c r="M110" s="206"/>
      <c r="N110" s="203"/>
    </row>
    <row r="111" spans="1:14" ht="14.25" hidden="1" outlineLevel="1">
      <c r="A111" s="283" t="s">
        <v>167</v>
      </c>
      <c r="B111" s="315"/>
      <c r="C111" s="314"/>
      <c r="D111" s="314"/>
      <c r="E111" s="309">
        <v>10431100</v>
      </c>
      <c r="F111" s="315"/>
      <c r="G111" s="309">
        <f t="shared" si="17"/>
        <v>10431100</v>
      </c>
      <c r="H111" s="315"/>
      <c r="I111" s="309">
        <f>+G111+H111</f>
        <v>10431100</v>
      </c>
      <c r="J111" s="309">
        <v>9661485</v>
      </c>
      <c r="K111" s="309">
        <f t="shared" si="13"/>
        <v>-769615</v>
      </c>
      <c r="L111" s="378">
        <f t="shared" si="11"/>
        <v>0.9262191906893807</v>
      </c>
      <c r="M111" s="206"/>
      <c r="N111" s="203"/>
    </row>
    <row r="112" spans="1:14" s="241" customFormat="1" ht="14.25" hidden="1" outlineLevel="1">
      <c r="A112" s="283" t="s">
        <v>363</v>
      </c>
      <c r="B112" s="315"/>
      <c r="C112" s="314"/>
      <c r="D112" s="314"/>
      <c r="E112" s="309">
        <v>3000000</v>
      </c>
      <c r="F112" s="315"/>
      <c r="G112" s="309">
        <f t="shared" si="17"/>
        <v>3000000</v>
      </c>
      <c r="H112" s="315"/>
      <c r="I112" s="309">
        <f>+G112+H112</f>
        <v>3000000</v>
      </c>
      <c r="J112" s="309">
        <v>2222948</v>
      </c>
      <c r="K112" s="309">
        <f t="shared" si="13"/>
        <v>-777052</v>
      </c>
      <c r="L112" s="378">
        <f t="shared" si="11"/>
        <v>0.7409826666666667</v>
      </c>
      <c r="M112" s="207"/>
      <c r="N112" s="203"/>
    </row>
    <row r="113" spans="1:14" s="241" customFormat="1" ht="15" collapsed="1">
      <c r="A113" s="16" t="s">
        <v>308</v>
      </c>
      <c r="B113" s="315"/>
      <c r="C113" s="310">
        <f>+C114+C116+C126+C129+C132+C138</f>
        <v>325108759</v>
      </c>
      <c r="D113" s="310"/>
      <c r="E113" s="309"/>
      <c r="F113" s="315"/>
      <c r="G113" s="310">
        <f t="shared" si="17"/>
        <v>325108759</v>
      </c>
      <c r="H113" s="315"/>
      <c r="I113" s="310">
        <f>+H113+G113</f>
        <v>325108759</v>
      </c>
      <c r="J113" s="310">
        <f>+J114+J116+J126+J129+J132+J138</f>
        <v>108237366</v>
      </c>
      <c r="K113" s="310">
        <f t="shared" si="13"/>
        <v>-216871393</v>
      </c>
      <c r="L113" s="377">
        <f t="shared" si="11"/>
        <v>0.33292663763636093</v>
      </c>
      <c r="M113" s="207" t="s">
        <v>422</v>
      </c>
      <c r="N113" s="425" t="s">
        <v>442</v>
      </c>
    </row>
    <row r="114" spans="1:14" s="241" customFormat="1" ht="15">
      <c r="A114" s="389" t="s">
        <v>328</v>
      </c>
      <c r="B114" s="314"/>
      <c r="C114" s="310">
        <f>SUM(C115:C115)</f>
        <v>10800000</v>
      </c>
      <c r="D114" s="314"/>
      <c r="E114" s="315"/>
      <c r="F114" s="315"/>
      <c r="G114" s="310">
        <f t="shared" si="17"/>
        <v>10800000</v>
      </c>
      <c r="H114" s="388"/>
      <c r="I114" s="310">
        <f>+H114+G114</f>
        <v>10800000</v>
      </c>
      <c r="J114" s="310">
        <f>SUM(J115:J115)</f>
        <v>10000000</v>
      </c>
      <c r="K114" s="310">
        <f t="shared" si="13"/>
        <v>-800000</v>
      </c>
      <c r="L114" s="377">
        <f t="shared" si="11"/>
        <v>0.9259259259259259</v>
      </c>
      <c r="M114" s="207"/>
      <c r="N114" s="425"/>
    </row>
    <row r="115" spans="1:14" s="241" customFormat="1" ht="15" customHeight="1" hidden="1" outlineLevel="1">
      <c r="A115" s="390" t="s">
        <v>364</v>
      </c>
      <c r="B115" s="314"/>
      <c r="C115" s="137">
        <v>10800000</v>
      </c>
      <c r="D115" s="314"/>
      <c r="E115" s="315"/>
      <c r="F115" s="315"/>
      <c r="G115" s="309">
        <f t="shared" si="17"/>
        <v>10800000</v>
      </c>
      <c r="H115" s="388"/>
      <c r="I115" s="309">
        <f>+H115+G115</f>
        <v>10800000</v>
      </c>
      <c r="J115" s="309">
        <v>10000000</v>
      </c>
      <c r="K115" s="309">
        <f t="shared" si="13"/>
        <v>-800000</v>
      </c>
      <c r="L115" s="378">
        <f t="shared" si="11"/>
        <v>0.9259259259259259</v>
      </c>
      <c r="M115" s="207"/>
      <c r="N115" s="425"/>
    </row>
    <row r="116" spans="1:14" s="241" customFormat="1" ht="15" collapsed="1">
      <c r="A116" s="389" t="s">
        <v>329</v>
      </c>
      <c r="B116" s="314"/>
      <c r="C116" s="310">
        <f>SUM(C117:C125)</f>
        <v>196017074</v>
      </c>
      <c r="D116" s="314"/>
      <c r="E116" s="315"/>
      <c r="F116" s="315"/>
      <c r="G116" s="310">
        <f>+B116+C116+D116+E116+F116</f>
        <v>196017074</v>
      </c>
      <c r="H116" s="388"/>
      <c r="I116" s="310">
        <f>+H116+G116</f>
        <v>196017074</v>
      </c>
      <c r="J116" s="310">
        <f>SUM(J117:J125)</f>
        <v>66151993</v>
      </c>
      <c r="K116" s="310">
        <f t="shared" si="13"/>
        <v>-129865081</v>
      </c>
      <c r="L116" s="377">
        <f t="shared" si="11"/>
        <v>0.337480769659892</v>
      </c>
      <c r="M116" s="207" t="s">
        <v>422</v>
      </c>
      <c r="N116" s="425" t="s">
        <v>443</v>
      </c>
    </row>
    <row r="117" spans="1:14" s="363" customFormat="1" ht="14.25" customHeight="1" hidden="1" outlineLevel="1">
      <c r="A117" s="390" t="s">
        <v>365</v>
      </c>
      <c r="B117" s="314"/>
      <c r="C117" s="309">
        <v>11611574</v>
      </c>
      <c r="D117" s="314"/>
      <c r="E117" s="315"/>
      <c r="F117" s="315"/>
      <c r="G117" s="309">
        <f aca="true" t="shared" si="18" ref="G117:G138">+B117+C117+D117+E117+F117</f>
        <v>11611574</v>
      </c>
      <c r="H117" s="385"/>
      <c r="I117" s="309">
        <f aca="true" t="shared" si="19" ref="I117:I138">+H117+G117</f>
        <v>11611574</v>
      </c>
      <c r="J117" s="309">
        <v>10992291</v>
      </c>
      <c r="K117" s="309">
        <f t="shared" si="13"/>
        <v>-619283</v>
      </c>
      <c r="L117" s="378">
        <f t="shared" si="11"/>
        <v>0.9466667481945169</v>
      </c>
      <c r="M117" s="4"/>
      <c r="N117" s="424"/>
    </row>
    <row r="118" spans="1:14" s="363" customFormat="1" ht="14.25" customHeight="1" hidden="1" outlineLevel="1">
      <c r="A118" s="390" t="s">
        <v>366</v>
      </c>
      <c r="B118" s="314"/>
      <c r="C118" s="309">
        <v>33800000</v>
      </c>
      <c r="D118" s="314"/>
      <c r="E118" s="315"/>
      <c r="F118" s="315"/>
      <c r="G118" s="309">
        <f t="shared" si="18"/>
        <v>33800000</v>
      </c>
      <c r="H118" s="385"/>
      <c r="I118" s="309">
        <f t="shared" si="19"/>
        <v>33800000</v>
      </c>
      <c r="J118" s="309">
        <v>18148840</v>
      </c>
      <c r="K118" s="309">
        <f t="shared" si="13"/>
        <v>-15651160</v>
      </c>
      <c r="L118" s="378">
        <f t="shared" si="11"/>
        <v>0.5369479289940828</v>
      </c>
      <c r="M118" s="4"/>
      <c r="N118" s="424"/>
    </row>
    <row r="119" spans="1:14" s="363" customFormat="1" ht="14.25" customHeight="1" hidden="1" outlineLevel="1">
      <c r="A119" s="390" t="s">
        <v>367</v>
      </c>
      <c r="B119" s="314"/>
      <c r="C119" s="309">
        <v>66000000</v>
      </c>
      <c r="D119" s="314"/>
      <c r="E119" s="315"/>
      <c r="F119" s="315"/>
      <c r="G119" s="309">
        <f t="shared" si="18"/>
        <v>66000000</v>
      </c>
      <c r="H119" s="385"/>
      <c r="I119" s="309">
        <f t="shared" si="19"/>
        <v>66000000</v>
      </c>
      <c r="J119" s="309"/>
      <c r="K119" s="309">
        <f t="shared" si="13"/>
        <v>-66000000</v>
      </c>
      <c r="L119" s="378">
        <f t="shared" si="11"/>
        <v>0</v>
      </c>
      <c r="M119" s="4"/>
      <c r="N119" s="424"/>
    </row>
    <row r="120" spans="1:14" s="363" customFormat="1" ht="14.25" customHeight="1" hidden="1" outlineLevel="1">
      <c r="A120" s="390" t="s">
        <v>368</v>
      </c>
      <c r="B120" s="314"/>
      <c r="C120" s="309">
        <v>15000000</v>
      </c>
      <c r="D120" s="314"/>
      <c r="E120" s="315"/>
      <c r="F120" s="315"/>
      <c r="G120" s="309">
        <f t="shared" si="18"/>
        <v>15000000</v>
      </c>
      <c r="H120" s="385"/>
      <c r="I120" s="309">
        <f t="shared" si="19"/>
        <v>15000000</v>
      </c>
      <c r="J120" s="309">
        <v>9659500</v>
      </c>
      <c r="K120" s="309">
        <f t="shared" si="13"/>
        <v>-5340500</v>
      </c>
      <c r="L120" s="378">
        <f t="shared" si="11"/>
        <v>0.6439666666666667</v>
      </c>
      <c r="M120" s="4"/>
      <c r="N120" s="424"/>
    </row>
    <row r="121" spans="1:14" s="363" customFormat="1" ht="14.25" customHeight="1" hidden="1" outlineLevel="1">
      <c r="A121" s="390" t="s">
        <v>369</v>
      </c>
      <c r="B121" s="314"/>
      <c r="C121" s="309">
        <v>10400000</v>
      </c>
      <c r="D121" s="314"/>
      <c r="E121" s="315"/>
      <c r="F121" s="315"/>
      <c r="G121" s="309">
        <f t="shared" si="18"/>
        <v>10400000</v>
      </c>
      <c r="H121" s="385"/>
      <c r="I121" s="309">
        <f t="shared" si="19"/>
        <v>10400000</v>
      </c>
      <c r="J121" s="309"/>
      <c r="K121" s="309">
        <f t="shared" si="13"/>
        <v>-10400000</v>
      </c>
      <c r="L121" s="378">
        <f t="shared" si="11"/>
        <v>0</v>
      </c>
      <c r="M121" s="4"/>
      <c r="N121" s="424"/>
    </row>
    <row r="122" spans="1:14" s="363" customFormat="1" ht="14.25" customHeight="1" hidden="1" outlineLevel="1">
      <c r="A122" s="390" t="s">
        <v>370</v>
      </c>
      <c r="B122" s="314"/>
      <c r="C122" s="309">
        <v>15000000</v>
      </c>
      <c r="D122" s="314"/>
      <c r="E122" s="315"/>
      <c r="F122" s="315"/>
      <c r="G122" s="309">
        <f t="shared" si="18"/>
        <v>15000000</v>
      </c>
      <c r="H122" s="385"/>
      <c r="I122" s="309">
        <f t="shared" si="19"/>
        <v>15000000</v>
      </c>
      <c r="J122" s="309">
        <v>0</v>
      </c>
      <c r="K122" s="309">
        <f t="shared" si="13"/>
        <v>-15000000</v>
      </c>
      <c r="L122" s="378">
        <f t="shared" si="11"/>
        <v>0</v>
      </c>
      <c r="M122" s="4"/>
      <c r="N122" s="424"/>
    </row>
    <row r="123" spans="1:14" s="363" customFormat="1" ht="14.25" customHeight="1" hidden="1" outlineLevel="1">
      <c r="A123" s="390" t="s">
        <v>371</v>
      </c>
      <c r="B123" s="314"/>
      <c r="C123" s="309">
        <v>15200000</v>
      </c>
      <c r="D123" s="314"/>
      <c r="E123" s="315"/>
      <c r="F123" s="315"/>
      <c r="G123" s="309">
        <f t="shared" si="18"/>
        <v>15200000</v>
      </c>
      <c r="H123" s="385"/>
      <c r="I123" s="309">
        <f t="shared" si="19"/>
        <v>15200000</v>
      </c>
      <c r="J123" s="309"/>
      <c r="K123" s="309">
        <f t="shared" si="13"/>
        <v>-15200000</v>
      </c>
      <c r="L123" s="378">
        <f t="shared" si="11"/>
        <v>0</v>
      </c>
      <c r="M123" s="4"/>
      <c r="N123" s="424"/>
    </row>
    <row r="124" spans="1:14" s="363" customFormat="1" ht="14.25" customHeight="1" hidden="1" outlineLevel="1">
      <c r="A124" s="390" t="s">
        <v>372</v>
      </c>
      <c r="B124" s="314"/>
      <c r="C124" s="309">
        <v>19005500</v>
      </c>
      <c r="D124" s="314"/>
      <c r="E124" s="315"/>
      <c r="F124" s="315"/>
      <c r="G124" s="309">
        <f t="shared" si="18"/>
        <v>19005500</v>
      </c>
      <c r="H124" s="385"/>
      <c r="I124" s="309">
        <f t="shared" si="19"/>
        <v>19005500</v>
      </c>
      <c r="J124" s="309">
        <v>18006290</v>
      </c>
      <c r="K124" s="309">
        <f t="shared" si="13"/>
        <v>-999210</v>
      </c>
      <c r="L124" s="378">
        <f t="shared" si="11"/>
        <v>0.9474252190155481</v>
      </c>
      <c r="M124" s="4"/>
      <c r="N124" s="424"/>
    </row>
    <row r="125" spans="1:14" s="363" customFormat="1" ht="14.25" customHeight="1" hidden="1" outlineLevel="1">
      <c r="A125" s="390" t="s">
        <v>373</v>
      </c>
      <c r="B125" s="314"/>
      <c r="C125" s="309">
        <v>10000000</v>
      </c>
      <c r="D125" s="314"/>
      <c r="E125" s="315"/>
      <c r="F125" s="315"/>
      <c r="G125" s="309">
        <f t="shared" si="18"/>
        <v>10000000</v>
      </c>
      <c r="H125" s="385"/>
      <c r="I125" s="309">
        <f t="shared" si="19"/>
        <v>10000000</v>
      </c>
      <c r="J125" s="309">
        <v>9345072</v>
      </c>
      <c r="K125" s="309">
        <f t="shared" si="13"/>
        <v>-654928</v>
      </c>
      <c r="L125" s="378">
        <f t="shared" si="11"/>
        <v>0.9345072</v>
      </c>
      <c r="M125" s="4"/>
      <c r="N125" s="424"/>
    </row>
    <row r="126" spans="1:14" s="241" customFormat="1" ht="15" collapsed="1">
      <c r="A126" s="281" t="s">
        <v>268</v>
      </c>
      <c r="B126" s="23"/>
      <c r="C126" s="310">
        <f>SUM(C127:C128)</f>
        <v>47678400</v>
      </c>
      <c r="D126" s="23"/>
      <c r="E126" s="20"/>
      <c r="F126" s="20"/>
      <c r="G126" s="28">
        <f t="shared" si="18"/>
        <v>47678400</v>
      </c>
      <c r="H126" s="29"/>
      <c r="I126" s="310">
        <f t="shared" si="19"/>
        <v>47678400</v>
      </c>
      <c r="J126" s="310">
        <f>SUM(J127:J128)</f>
        <v>8879275</v>
      </c>
      <c r="K126" s="310">
        <f t="shared" si="13"/>
        <v>-38799125</v>
      </c>
      <c r="L126" s="377">
        <f t="shared" si="11"/>
        <v>0.18623265461928254</v>
      </c>
      <c r="M126" s="207" t="s">
        <v>422</v>
      </c>
      <c r="N126" s="425" t="s">
        <v>444</v>
      </c>
    </row>
    <row r="127" spans="1:14" s="363" customFormat="1" ht="14.25" customHeight="1" hidden="1" outlineLevel="1">
      <c r="A127" s="390" t="s">
        <v>374</v>
      </c>
      <c r="B127" s="23"/>
      <c r="C127" s="309">
        <v>36878400</v>
      </c>
      <c r="D127" s="23"/>
      <c r="E127" s="20"/>
      <c r="F127" s="20"/>
      <c r="G127" s="137">
        <f t="shared" si="18"/>
        <v>36878400</v>
      </c>
      <c r="H127" s="274"/>
      <c r="I127" s="309">
        <f t="shared" si="19"/>
        <v>36878400</v>
      </c>
      <c r="J127" s="309">
        <v>6615625</v>
      </c>
      <c r="K127" s="309">
        <f t="shared" si="13"/>
        <v>-30262775</v>
      </c>
      <c r="L127" s="378">
        <f t="shared" si="11"/>
        <v>0.1793902392728535</v>
      </c>
      <c r="M127" s="4"/>
      <c r="N127" s="424"/>
    </row>
    <row r="128" spans="1:14" s="363" customFormat="1" ht="14.25" customHeight="1" hidden="1" outlineLevel="1">
      <c r="A128" s="390" t="s">
        <v>375</v>
      </c>
      <c r="B128" s="23"/>
      <c r="C128" s="309">
        <v>10800000</v>
      </c>
      <c r="D128" s="23"/>
      <c r="E128" s="20"/>
      <c r="F128" s="20"/>
      <c r="G128" s="137">
        <f t="shared" si="18"/>
        <v>10800000</v>
      </c>
      <c r="H128" s="274"/>
      <c r="I128" s="309">
        <f t="shared" si="19"/>
        <v>10800000</v>
      </c>
      <c r="J128" s="309">
        <v>2263650</v>
      </c>
      <c r="K128" s="309">
        <f t="shared" si="13"/>
        <v>-8536350</v>
      </c>
      <c r="L128" s="378">
        <f t="shared" si="11"/>
        <v>0.2095972222222222</v>
      </c>
      <c r="M128" s="4"/>
      <c r="N128" s="424"/>
    </row>
    <row r="129" spans="1:14" s="241" customFormat="1" ht="15" collapsed="1">
      <c r="A129" s="281" t="s">
        <v>376</v>
      </c>
      <c r="B129" s="314"/>
      <c r="C129" s="310">
        <f>SUM(C130:C131)</f>
        <v>0</v>
      </c>
      <c r="D129" s="314"/>
      <c r="E129" s="315"/>
      <c r="F129" s="315"/>
      <c r="G129" s="310">
        <f t="shared" si="18"/>
        <v>0</v>
      </c>
      <c r="H129" s="388"/>
      <c r="I129" s="310">
        <f t="shared" si="19"/>
        <v>0</v>
      </c>
      <c r="J129" s="310">
        <v>0</v>
      </c>
      <c r="K129" s="310">
        <f t="shared" si="13"/>
        <v>0</v>
      </c>
      <c r="L129" s="377">
        <f>_xlfn.IFERROR(J129/I129,0)</f>
        <v>0</v>
      </c>
      <c r="M129" s="207"/>
      <c r="N129" s="425"/>
    </row>
    <row r="130" spans="1:14" s="363" customFormat="1" ht="14.25" customHeight="1" hidden="1" outlineLevel="1">
      <c r="A130" s="390" t="s">
        <v>377</v>
      </c>
      <c r="B130" s="23"/>
      <c r="C130" s="137">
        <v>0</v>
      </c>
      <c r="D130" s="23"/>
      <c r="E130" s="20"/>
      <c r="F130" s="20"/>
      <c r="G130" s="309">
        <f t="shared" si="18"/>
        <v>0</v>
      </c>
      <c r="H130" s="274"/>
      <c r="I130" s="309">
        <f t="shared" si="19"/>
        <v>0</v>
      </c>
      <c r="J130" s="309"/>
      <c r="K130" s="309">
        <f t="shared" si="13"/>
        <v>0</v>
      </c>
      <c r="L130" s="378">
        <f aca="true" t="shared" si="20" ref="L130:L194">_xlfn.IFERROR(J130/I130,0)</f>
        <v>0</v>
      </c>
      <c r="M130" s="4"/>
      <c r="N130" s="424"/>
    </row>
    <row r="131" spans="1:14" s="363" customFormat="1" ht="14.25" customHeight="1" hidden="1" outlineLevel="1">
      <c r="A131" s="390" t="s">
        <v>378</v>
      </c>
      <c r="B131" s="23"/>
      <c r="C131" s="137">
        <v>0</v>
      </c>
      <c r="D131" s="23"/>
      <c r="E131" s="20"/>
      <c r="F131" s="20"/>
      <c r="G131" s="309">
        <f t="shared" si="18"/>
        <v>0</v>
      </c>
      <c r="H131" s="274"/>
      <c r="I131" s="309">
        <f t="shared" si="19"/>
        <v>0</v>
      </c>
      <c r="J131" s="309"/>
      <c r="K131" s="309">
        <f t="shared" si="13"/>
        <v>0</v>
      </c>
      <c r="L131" s="378">
        <f t="shared" si="20"/>
        <v>0</v>
      </c>
      <c r="M131" s="4"/>
      <c r="N131" s="424"/>
    </row>
    <row r="132" spans="1:14" s="241" customFormat="1" ht="15" collapsed="1">
      <c r="A132" s="281" t="s">
        <v>269</v>
      </c>
      <c r="B132" s="314"/>
      <c r="C132" s="310">
        <f>SUM(C133:C137)</f>
        <v>46763285</v>
      </c>
      <c r="D132" s="314"/>
      <c r="E132" s="315"/>
      <c r="F132" s="315"/>
      <c r="G132" s="310">
        <f t="shared" si="18"/>
        <v>46763285</v>
      </c>
      <c r="H132" s="388"/>
      <c r="I132" s="310">
        <f t="shared" si="19"/>
        <v>46763285</v>
      </c>
      <c r="J132" s="310">
        <f>SUM(J133:J137)</f>
        <v>11192098</v>
      </c>
      <c r="K132" s="310">
        <f t="shared" si="13"/>
        <v>-35571187</v>
      </c>
      <c r="L132" s="377">
        <f t="shared" si="20"/>
        <v>0.23933515363602023</v>
      </c>
      <c r="M132" s="207" t="s">
        <v>422</v>
      </c>
      <c r="N132" s="425" t="s">
        <v>445</v>
      </c>
    </row>
    <row r="133" spans="1:14" s="363" customFormat="1" ht="18" customHeight="1" hidden="1" outlineLevel="1">
      <c r="A133" s="390" t="s">
        <v>379</v>
      </c>
      <c r="B133" s="23"/>
      <c r="C133" s="309">
        <v>12963139</v>
      </c>
      <c r="D133" s="23"/>
      <c r="E133" s="20"/>
      <c r="F133" s="20"/>
      <c r="G133" s="309">
        <f t="shared" si="18"/>
        <v>12963139</v>
      </c>
      <c r="H133" s="274"/>
      <c r="I133" s="309">
        <f t="shared" si="19"/>
        <v>12963139</v>
      </c>
      <c r="J133" s="309">
        <v>7510148</v>
      </c>
      <c r="K133" s="309">
        <f t="shared" si="13"/>
        <v>-5452991</v>
      </c>
      <c r="L133" s="378">
        <f t="shared" si="20"/>
        <v>0.5793464067615105</v>
      </c>
      <c r="M133" s="4"/>
      <c r="N133" s="424"/>
    </row>
    <row r="134" spans="1:14" s="363" customFormat="1" ht="14.25" customHeight="1" hidden="1" outlineLevel="1">
      <c r="A134" s="390" t="s">
        <v>380</v>
      </c>
      <c r="B134" s="23"/>
      <c r="C134" s="309">
        <v>5000000</v>
      </c>
      <c r="D134" s="23"/>
      <c r="E134" s="20"/>
      <c r="F134" s="20"/>
      <c r="G134" s="309">
        <f t="shared" si="18"/>
        <v>5000000</v>
      </c>
      <c r="H134" s="274"/>
      <c r="I134" s="309">
        <f t="shared" si="19"/>
        <v>5000000</v>
      </c>
      <c r="J134" s="309">
        <v>0</v>
      </c>
      <c r="K134" s="309">
        <f t="shared" si="13"/>
        <v>-5000000</v>
      </c>
      <c r="L134" s="378">
        <f t="shared" si="20"/>
        <v>0</v>
      </c>
      <c r="M134" s="4"/>
      <c r="N134" s="424"/>
    </row>
    <row r="135" spans="1:14" s="363" customFormat="1" ht="14.25" customHeight="1" hidden="1" outlineLevel="1">
      <c r="A135" s="390" t="s">
        <v>381</v>
      </c>
      <c r="B135" s="23"/>
      <c r="C135" s="309">
        <v>20675146</v>
      </c>
      <c r="D135" s="23"/>
      <c r="E135" s="20"/>
      <c r="F135" s="20"/>
      <c r="G135" s="309">
        <f t="shared" si="18"/>
        <v>20675146</v>
      </c>
      <c r="H135" s="274"/>
      <c r="I135" s="309">
        <f t="shared" si="19"/>
        <v>20675146</v>
      </c>
      <c r="J135" s="309">
        <v>3681950</v>
      </c>
      <c r="K135" s="309">
        <f t="shared" si="13"/>
        <v>-16993196</v>
      </c>
      <c r="L135" s="378">
        <f t="shared" si="20"/>
        <v>0.17808580408573657</v>
      </c>
      <c r="M135" s="4"/>
      <c r="N135" s="424"/>
    </row>
    <row r="136" spans="1:14" s="363" customFormat="1" ht="14.25" customHeight="1" hidden="1" outlineLevel="1">
      <c r="A136" s="390" t="s">
        <v>382</v>
      </c>
      <c r="B136" s="23"/>
      <c r="C136" s="309">
        <v>6125000</v>
      </c>
      <c r="D136" s="23"/>
      <c r="E136" s="20"/>
      <c r="F136" s="20"/>
      <c r="G136" s="309">
        <f t="shared" si="18"/>
        <v>6125000</v>
      </c>
      <c r="H136" s="274"/>
      <c r="I136" s="309">
        <f t="shared" si="19"/>
        <v>6125000</v>
      </c>
      <c r="J136" s="309">
        <v>0</v>
      </c>
      <c r="K136" s="309">
        <f t="shared" si="13"/>
        <v>-6125000</v>
      </c>
      <c r="L136" s="378">
        <f t="shared" si="20"/>
        <v>0</v>
      </c>
      <c r="M136" s="4"/>
      <c r="N136" s="424"/>
    </row>
    <row r="137" spans="1:14" s="363" customFormat="1" ht="14.25" customHeight="1" hidden="1" outlineLevel="1">
      <c r="A137" s="390" t="s">
        <v>383</v>
      </c>
      <c r="B137" s="23"/>
      <c r="C137" s="309">
        <v>2000000</v>
      </c>
      <c r="D137" s="23"/>
      <c r="E137" s="20"/>
      <c r="F137" s="20"/>
      <c r="G137" s="309">
        <f t="shared" si="18"/>
        <v>2000000</v>
      </c>
      <c r="H137" s="274"/>
      <c r="I137" s="309">
        <f t="shared" si="19"/>
        <v>2000000</v>
      </c>
      <c r="J137" s="309">
        <v>0</v>
      </c>
      <c r="K137" s="309">
        <f t="shared" si="13"/>
        <v>-2000000</v>
      </c>
      <c r="L137" s="378">
        <f t="shared" si="20"/>
        <v>0</v>
      </c>
      <c r="M137" s="4"/>
      <c r="N137" s="424"/>
    </row>
    <row r="138" spans="1:14" s="363" customFormat="1" ht="15" collapsed="1">
      <c r="A138" s="281" t="s">
        <v>384</v>
      </c>
      <c r="B138" s="23"/>
      <c r="C138" s="310">
        <v>23850000</v>
      </c>
      <c r="D138" s="23"/>
      <c r="E138" s="20"/>
      <c r="F138" s="20"/>
      <c r="G138" s="310">
        <f t="shared" si="18"/>
        <v>23850000</v>
      </c>
      <c r="H138" s="29"/>
      <c r="I138" s="310">
        <f t="shared" si="19"/>
        <v>23850000</v>
      </c>
      <c r="J138" s="310">
        <v>12014000</v>
      </c>
      <c r="K138" s="310">
        <f aca="true" t="shared" si="21" ref="K138:K202">+J138-I138</f>
        <v>-11836000</v>
      </c>
      <c r="L138" s="377">
        <f t="shared" si="20"/>
        <v>0.5037316561844863</v>
      </c>
      <c r="M138" s="207" t="s">
        <v>422</v>
      </c>
      <c r="N138" s="425" t="s">
        <v>446</v>
      </c>
    </row>
    <row r="139" spans="1:14" s="241" customFormat="1" ht="17.25" customHeight="1">
      <c r="A139" s="27"/>
      <c r="B139" s="23"/>
      <c r="C139" s="23"/>
      <c r="D139" s="23"/>
      <c r="E139" s="20"/>
      <c r="F139" s="20"/>
      <c r="G139" s="137"/>
      <c r="H139" s="20"/>
      <c r="I139" s="137"/>
      <c r="J139" s="137"/>
      <c r="K139" s="137"/>
      <c r="L139" s="367"/>
      <c r="M139" s="207"/>
      <c r="N139" s="203"/>
    </row>
    <row r="140" spans="1:14" s="287" customFormat="1" ht="45">
      <c r="A140" s="279" t="s">
        <v>260</v>
      </c>
      <c r="B140" s="280">
        <f>+B141</f>
        <v>389449525</v>
      </c>
      <c r="C140" s="280"/>
      <c r="D140" s="280"/>
      <c r="E140" s="280"/>
      <c r="F140" s="280"/>
      <c r="G140" s="280">
        <f>SUM(B140:F140)</f>
        <v>389449525</v>
      </c>
      <c r="H140" s="280"/>
      <c r="I140" s="280">
        <f>+H140+G140</f>
        <v>389449525</v>
      </c>
      <c r="J140" s="280">
        <f>+J141</f>
        <v>40558994</v>
      </c>
      <c r="K140" s="280">
        <f t="shared" si="21"/>
        <v>-348890531</v>
      </c>
      <c r="L140" s="375">
        <f t="shared" si="20"/>
        <v>0.10414441768801747</v>
      </c>
      <c r="M140" s="285"/>
      <c r="N140" s="286"/>
    </row>
    <row r="141" spans="1:14" s="241" customFormat="1" ht="15.75" customHeight="1">
      <c r="A141" s="284" t="s">
        <v>154</v>
      </c>
      <c r="B141" s="308">
        <f>+B142+B145+B149</f>
        <v>389449525</v>
      </c>
      <c r="C141" s="376"/>
      <c r="D141" s="376"/>
      <c r="E141" s="376"/>
      <c r="F141" s="376"/>
      <c r="G141" s="308">
        <f aca="true" t="shared" si="22" ref="G141:G163">+B141+C141+D141+E141+F141</f>
        <v>389449525</v>
      </c>
      <c r="H141" s="376"/>
      <c r="I141" s="308">
        <f>+G141+H141</f>
        <v>389449525</v>
      </c>
      <c r="J141" s="308">
        <f>+J142+J145+J149</f>
        <v>40558994</v>
      </c>
      <c r="K141" s="308">
        <f t="shared" si="21"/>
        <v>-348890531</v>
      </c>
      <c r="L141" s="377">
        <f t="shared" si="20"/>
        <v>0.10414441768801747</v>
      </c>
      <c r="M141" s="207" t="s">
        <v>422</v>
      </c>
      <c r="N141" s="203"/>
    </row>
    <row r="142" spans="1:14" s="241" customFormat="1" ht="15">
      <c r="A142" s="275" t="s">
        <v>385</v>
      </c>
      <c r="B142" s="310">
        <f>+B143+B144</f>
        <v>166400000</v>
      </c>
      <c r="C142" s="376"/>
      <c r="D142" s="376"/>
      <c r="E142" s="392"/>
      <c r="F142" s="376"/>
      <c r="G142" s="310">
        <f t="shared" si="22"/>
        <v>166400000</v>
      </c>
      <c r="H142" s="376"/>
      <c r="I142" s="310">
        <f>+G142+H142</f>
        <v>166400000</v>
      </c>
      <c r="J142" s="310">
        <f>+J143+J144</f>
        <v>0</v>
      </c>
      <c r="K142" s="310">
        <f t="shared" si="21"/>
        <v>-166400000</v>
      </c>
      <c r="L142" s="377">
        <f t="shared" si="20"/>
        <v>0</v>
      </c>
      <c r="M142" s="207" t="s">
        <v>422</v>
      </c>
      <c r="N142" s="203"/>
    </row>
    <row r="143" spans="1:14" s="241" customFormat="1" ht="15" hidden="1" outlineLevel="1">
      <c r="A143" s="138" t="s">
        <v>386</v>
      </c>
      <c r="B143" s="309">
        <v>83200000</v>
      </c>
      <c r="C143" s="376"/>
      <c r="D143" s="376"/>
      <c r="E143" s="376"/>
      <c r="F143" s="376"/>
      <c r="G143" s="309">
        <f t="shared" si="22"/>
        <v>83200000</v>
      </c>
      <c r="H143" s="376"/>
      <c r="I143" s="309">
        <f>+G143+H143</f>
        <v>83200000</v>
      </c>
      <c r="J143" s="309">
        <v>0</v>
      </c>
      <c r="K143" s="309">
        <f t="shared" si="21"/>
        <v>-83200000</v>
      </c>
      <c r="L143" s="378">
        <f t="shared" si="20"/>
        <v>0</v>
      </c>
      <c r="M143" s="207"/>
      <c r="N143" s="203"/>
    </row>
    <row r="144" spans="1:14" s="241" customFormat="1" ht="15" hidden="1" outlineLevel="1">
      <c r="A144" s="138" t="s">
        <v>387</v>
      </c>
      <c r="B144" s="309">
        <v>83200000</v>
      </c>
      <c r="C144" s="376"/>
      <c r="D144" s="376"/>
      <c r="E144" s="376"/>
      <c r="F144" s="376"/>
      <c r="G144" s="309">
        <f t="shared" si="22"/>
        <v>83200000</v>
      </c>
      <c r="H144" s="376"/>
      <c r="I144" s="309">
        <f>+G144+H144</f>
        <v>83200000</v>
      </c>
      <c r="J144" s="309">
        <v>0</v>
      </c>
      <c r="K144" s="309">
        <f t="shared" si="21"/>
        <v>-83200000</v>
      </c>
      <c r="L144" s="378">
        <f t="shared" si="20"/>
        <v>0</v>
      </c>
      <c r="M144" s="207"/>
      <c r="N144" s="203"/>
    </row>
    <row r="145" spans="1:14" s="241" customFormat="1" ht="15.75" customHeight="1" collapsed="1">
      <c r="A145" s="284" t="s">
        <v>388</v>
      </c>
      <c r="B145" s="308">
        <f>SUM(B146:B148)</f>
        <v>58657794</v>
      </c>
      <c r="C145" s="376"/>
      <c r="D145" s="376"/>
      <c r="E145" s="376"/>
      <c r="F145" s="376"/>
      <c r="G145" s="310">
        <f t="shared" si="22"/>
        <v>58657794</v>
      </c>
      <c r="H145" s="376"/>
      <c r="I145" s="310">
        <f>+G145+H145</f>
        <v>58657794</v>
      </c>
      <c r="J145" s="308">
        <f>SUM(J146:J148)</f>
        <v>40558994</v>
      </c>
      <c r="K145" s="310">
        <f t="shared" si="21"/>
        <v>-18098800</v>
      </c>
      <c r="L145" s="377">
        <f t="shared" si="20"/>
        <v>0.6914510627522065</v>
      </c>
      <c r="M145" s="207" t="s">
        <v>422</v>
      </c>
      <c r="N145" s="203"/>
    </row>
    <row r="146" spans="1:14" s="241" customFormat="1" ht="15" hidden="1" outlineLevel="1">
      <c r="A146" s="136" t="s">
        <v>164</v>
      </c>
      <c r="B146" s="309">
        <v>12500000</v>
      </c>
      <c r="C146" s="376"/>
      <c r="D146" s="376"/>
      <c r="E146" s="376"/>
      <c r="F146" s="376"/>
      <c r="G146" s="309">
        <f t="shared" si="22"/>
        <v>12500000</v>
      </c>
      <c r="H146" s="376"/>
      <c r="I146" s="309">
        <f>+G146+H146-500000</f>
        <v>12000000</v>
      </c>
      <c r="J146" s="309">
        <v>1878280</v>
      </c>
      <c r="K146" s="309">
        <f t="shared" si="21"/>
        <v>-10121720</v>
      </c>
      <c r="L146" s="378">
        <f t="shared" si="20"/>
        <v>0.15652333333333332</v>
      </c>
      <c r="M146" s="207"/>
      <c r="N146" s="203"/>
    </row>
    <row r="147" spans="1:14" s="241" customFormat="1" ht="15" hidden="1" outlineLevel="1">
      <c r="A147" s="136" t="s">
        <v>163</v>
      </c>
      <c r="B147" s="309">
        <v>33353778</v>
      </c>
      <c r="C147" s="308"/>
      <c r="D147" s="308"/>
      <c r="E147" s="376"/>
      <c r="F147" s="376"/>
      <c r="G147" s="309">
        <f t="shared" si="22"/>
        <v>33353778</v>
      </c>
      <c r="H147" s="376"/>
      <c r="I147" s="309">
        <f>+G147+H147+500000</f>
        <v>33853778</v>
      </c>
      <c r="J147" s="309">
        <v>33717645</v>
      </c>
      <c r="K147" s="309">
        <f t="shared" si="21"/>
        <v>-136133</v>
      </c>
      <c r="L147" s="378">
        <f t="shared" si="20"/>
        <v>0.9959787944494704</v>
      </c>
      <c r="M147" s="207"/>
      <c r="N147" s="203"/>
    </row>
    <row r="148" spans="1:14" s="241" customFormat="1" ht="15" hidden="1" outlineLevel="1">
      <c r="A148" s="283" t="s">
        <v>162</v>
      </c>
      <c r="B148" s="309">
        <v>12804016</v>
      </c>
      <c r="C148" s="308"/>
      <c r="D148" s="308"/>
      <c r="E148" s="376"/>
      <c r="F148" s="376"/>
      <c r="G148" s="309">
        <f t="shared" si="22"/>
        <v>12804016</v>
      </c>
      <c r="H148" s="376"/>
      <c r="I148" s="309">
        <f>+G148+H148</f>
        <v>12804016</v>
      </c>
      <c r="J148" s="309">
        <v>4963069</v>
      </c>
      <c r="K148" s="309">
        <f t="shared" si="21"/>
        <v>-7840947</v>
      </c>
      <c r="L148" s="378">
        <f t="shared" si="20"/>
        <v>0.3876181504303025</v>
      </c>
      <c r="M148" s="207"/>
      <c r="N148" s="203"/>
    </row>
    <row r="149" spans="1:14" s="241" customFormat="1" ht="15.75" customHeight="1" collapsed="1">
      <c r="A149" s="284" t="s">
        <v>389</v>
      </c>
      <c r="B149" s="308">
        <f>+B150+B157+B164</f>
        <v>164391731</v>
      </c>
      <c r="C149" s="376"/>
      <c r="D149" s="376"/>
      <c r="E149" s="376"/>
      <c r="F149" s="376"/>
      <c r="G149" s="308">
        <f t="shared" si="22"/>
        <v>164391731</v>
      </c>
      <c r="H149" s="376"/>
      <c r="I149" s="308">
        <f>+G149+H149</f>
        <v>164391731</v>
      </c>
      <c r="J149" s="308">
        <f>+J150+J157+J164</f>
        <v>0</v>
      </c>
      <c r="K149" s="308">
        <f t="shared" si="21"/>
        <v>-164391731</v>
      </c>
      <c r="L149" s="377">
        <f t="shared" si="20"/>
        <v>0</v>
      </c>
      <c r="M149" s="207" t="s">
        <v>422</v>
      </c>
      <c r="N149" s="203"/>
    </row>
    <row r="150" spans="1:14" s="241" customFormat="1" ht="15" hidden="1" outlineLevel="1">
      <c r="A150" s="393" t="s">
        <v>390</v>
      </c>
      <c r="B150" s="310">
        <f>SUM(B151:B156)</f>
        <v>79597210</v>
      </c>
      <c r="C150" s="308"/>
      <c r="D150" s="308"/>
      <c r="E150" s="376"/>
      <c r="F150" s="376"/>
      <c r="G150" s="310">
        <f t="shared" si="22"/>
        <v>79597210</v>
      </c>
      <c r="H150" s="376"/>
      <c r="I150" s="310">
        <f>+G150+H150</f>
        <v>79597210</v>
      </c>
      <c r="J150" s="310">
        <f>SUM(J151:J156)</f>
        <v>0</v>
      </c>
      <c r="K150" s="310">
        <f t="shared" si="21"/>
        <v>-79597210</v>
      </c>
      <c r="L150" s="377">
        <f t="shared" si="20"/>
        <v>0</v>
      </c>
      <c r="M150" s="207"/>
      <c r="N150" s="203"/>
    </row>
    <row r="151" spans="1:14" s="241" customFormat="1" ht="15" hidden="1" outlineLevel="4">
      <c r="A151" s="283" t="s">
        <v>391</v>
      </c>
      <c r="B151" s="309">
        <v>15000000</v>
      </c>
      <c r="C151" s="308"/>
      <c r="D151" s="308"/>
      <c r="E151" s="376"/>
      <c r="F151" s="376"/>
      <c r="G151" s="309">
        <f t="shared" si="22"/>
        <v>15000000</v>
      </c>
      <c r="H151" s="376"/>
      <c r="I151" s="309">
        <f>+G151+H151</f>
        <v>15000000</v>
      </c>
      <c r="J151" s="309">
        <v>0</v>
      </c>
      <c r="K151" s="309">
        <f t="shared" si="21"/>
        <v>-15000000</v>
      </c>
      <c r="L151" s="378">
        <f t="shared" si="20"/>
        <v>0</v>
      </c>
      <c r="M151" s="207"/>
      <c r="N151" s="203"/>
    </row>
    <row r="152" spans="1:14" s="241" customFormat="1" ht="15" hidden="1" outlineLevel="4">
      <c r="A152" s="283" t="s">
        <v>392</v>
      </c>
      <c r="B152" s="309">
        <v>40239800</v>
      </c>
      <c r="C152" s="308"/>
      <c r="D152" s="308"/>
      <c r="E152" s="376"/>
      <c r="F152" s="376"/>
      <c r="G152" s="309">
        <f t="shared" si="22"/>
        <v>40239800</v>
      </c>
      <c r="H152" s="376"/>
      <c r="I152" s="309">
        <f aca="true" t="shared" si="23" ref="I152:I163">+G152+H152</f>
        <v>40239800</v>
      </c>
      <c r="J152" s="309">
        <v>0</v>
      </c>
      <c r="K152" s="309">
        <f t="shared" si="21"/>
        <v>-40239800</v>
      </c>
      <c r="L152" s="378">
        <f t="shared" si="20"/>
        <v>0</v>
      </c>
      <c r="M152" s="207"/>
      <c r="N152" s="203"/>
    </row>
    <row r="153" spans="1:14" s="241" customFormat="1" ht="15" hidden="1" outlineLevel="4">
      <c r="A153" s="283" t="s">
        <v>393</v>
      </c>
      <c r="B153" s="309">
        <v>15103420</v>
      </c>
      <c r="C153" s="308"/>
      <c r="D153" s="308"/>
      <c r="E153" s="376"/>
      <c r="F153" s="376"/>
      <c r="G153" s="309">
        <f t="shared" si="22"/>
        <v>15103420</v>
      </c>
      <c r="H153" s="376"/>
      <c r="I153" s="309">
        <f t="shared" si="23"/>
        <v>15103420</v>
      </c>
      <c r="J153" s="309">
        <v>0</v>
      </c>
      <c r="K153" s="309">
        <f t="shared" si="21"/>
        <v>-15103420</v>
      </c>
      <c r="L153" s="378">
        <f t="shared" si="20"/>
        <v>0</v>
      </c>
      <c r="M153" s="207"/>
      <c r="N153" s="203"/>
    </row>
    <row r="154" spans="1:14" s="241" customFormat="1" ht="15" hidden="1" outlineLevel="4">
      <c r="A154" s="283" t="s">
        <v>394</v>
      </c>
      <c r="B154" s="309">
        <v>3639210</v>
      </c>
      <c r="C154" s="308"/>
      <c r="D154" s="308"/>
      <c r="E154" s="376"/>
      <c r="F154" s="376"/>
      <c r="G154" s="309">
        <f t="shared" si="22"/>
        <v>3639210</v>
      </c>
      <c r="H154" s="376"/>
      <c r="I154" s="309">
        <f t="shared" si="23"/>
        <v>3639210</v>
      </c>
      <c r="J154" s="309">
        <v>0</v>
      </c>
      <c r="K154" s="309">
        <f t="shared" si="21"/>
        <v>-3639210</v>
      </c>
      <c r="L154" s="378">
        <f t="shared" si="20"/>
        <v>0</v>
      </c>
      <c r="M154" s="207"/>
      <c r="N154" s="203"/>
    </row>
    <row r="155" spans="1:14" s="241" customFormat="1" ht="15" hidden="1" outlineLevel="4">
      <c r="A155" s="283" t="s">
        <v>395</v>
      </c>
      <c r="B155" s="309">
        <v>1975570</v>
      </c>
      <c r="C155" s="308"/>
      <c r="D155" s="308"/>
      <c r="E155" s="376"/>
      <c r="F155" s="376"/>
      <c r="G155" s="309">
        <f t="shared" si="22"/>
        <v>1975570</v>
      </c>
      <c r="H155" s="376"/>
      <c r="I155" s="309">
        <f t="shared" si="23"/>
        <v>1975570</v>
      </c>
      <c r="J155" s="309">
        <v>0</v>
      </c>
      <c r="K155" s="309">
        <f t="shared" si="21"/>
        <v>-1975570</v>
      </c>
      <c r="L155" s="378">
        <f t="shared" si="20"/>
        <v>0</v>
      </c>
      <c r="M155" s="207"/>
      <c r="N155" s="203"/>
    </row>
    <row r="156" spans="1:14" s="241" customFormat="1" ht="15" hidden="1" outlineLevel="4">
      <c r="A156" s="283" t="s">
        <v>396</v>
      </c>
      <c r="B156" s="309">
        <v>3639210</v>
      </c>
      <c r="C156" s="308"/>
      <c r="D156" s="308"/>
      <c r="E156" s="376"/>
      <c r="F156" s="376"/>
      <c r="G156" s="309">
        <f t="shared" si="22"/>
        <v>3639210</v>
      </c>
      <c r="H156" s="376"/>
      <c r="I156" s="309">
        <f t="shared" si="23"/>
        <v>3639210</v>
      </c>
      <c r="J156" s="309">
        <v>0</v>
      </c>
      <c r="K156" s="309">
        <f t="shared" si="21"/>
        <v>-3639210</v>
      </c>
      <c r="L156" s="378">
        <f t="shared" si="20"/>
        <v>0</v>
      </c>
      <c r="M156" s="207"/>
      <c r="N156" s="203"/>
    </row>
    <row r="157" spans="1:14" s="241" customFormat="1" ht="15" hidden="1" outlineLevel="1">
      <c r="A157" s="393" t="s">
        <v>397</v>
      </c>
      <c r="B157" s="310">
        <v>79597210</v>
      </c>
      <c r="C157" s="308"/>
      <c r="D157" s="308"/>
      <c r="E157" s="376"/>
      <c r="F157" s="376"/>
      <c r="G157" s="310">
        <f>+B157+C157+D157+E157+F157</f>
        <v>79597210</v>
      </c>
      <c r="H157" s="376"/>
      <c r="I157" s="310">
        <f>+G157+H157</f>
        <v>79597210</v>
      </c>
      <c r="J157" s="310">
        <f>SUM(J158:J163)</f>
        <v>0</v>
      </c>
      <c r="K157" s="310">
        <f t="shared" si="21"/>
        <v>-79597210</v>
      </c>
      <c r="L157" s="377">
        <f t="shared" si="20"/>
        <v>0</v>
      </c>
      <c r="M157" s="207"/>
      <c r="N157" s="203"/>
    </row>
    <row r="158" spans="1:14" s="241" customFormat="1" ht="15" hidden="1" outlineLevel="2">
      <c r="A158" s="283" t="s">
        <v>391</v>
      </c>
      <c r="B158" s="309">
        <v>15000000</v>
      </c>
      <c r="C158" s="308"/>
      <c r="D158" s="308"/>
      <c r="E158" s="376"/>
      <c r="F158" s="376"/>
      <c r="G158" s="309">
        <f t="shared" si="22"/>
        <v>15000000</v>
      </c>
      <c r="H158" s="376"/>
      <c r="I158" s="309">
        <f>+G158+H158</f>
        <v>15000000</v>
      </c>
      <c r="J158" s="309">
        <v>0</v>
      </c>
      <c r="K158" s="309">
        <f t="shared" si="21"/>
        <v>-15000000</v>
      </c>
      <c r="L158" s="378">
        <f t="shared" si="20"/>
        <v>0</v>
      </c>
      <c r="M158" s="207"/>
      <c r="N158" s="203"/>
    </row>
    <row r="159" spans="1:14" s="241" customFormat="1" ht="15" hidden="1" outlineLevel="2">
      <c r="A159" s="283" t="s">
        <v>392</v>
      </c>
      <c r="B159" s="309">
        <v>40239800</v>
      </c>
      <c r="C159" s="308"/>
      <c r="D159" s="308"/>
      <c r="E159" s="376"/>
      <c r="F159" s="376"/>
      <c r="G159" s="309">
        <f t="shared" si="22"/>
        <v>40239800</v>
      </c>
      <c r="H159" s="376"/>
      <c r="I159" s="309">
        <f t="shared" si="23"/>
        <v>40239800</v>
      </c>
      <c r="J159" s="309">
        <v>0</v>
      </c>
      <c r="K159" s="309">
        <f t="shared" si="21"/>
        <v>-40239800</v>
      </c>
      <c r="L159" s="378">
        <f t="shared" si="20"/>
        <v>0</v>
      </c>
      <c r="M159" s="207"/>
      <c r="N159" s="203"/>
    </row>
    <row r="160" spans="1:14" s="241" customFormat="1" ht="15" hidden="1" outlineLevel="2">
      <c r="A160" s="283" t="s">
        <v>393</v>
      </c>
      <c r="B160" s="309">
        <v>15103420</v>
      </c>
      <c r="C160" s="308"/>
      <c r="D160" s="308"/>
      <c r="E160" s="376"/>
      <c r="F160" s="376"/>
      <c r="G160" s="309">
        <f t="shared" si="22"/>
        <v>15103420</v>
      </c>
      <c r="H160" s="376"/>
      <c r="I160" s="309">
        <f t="shared" si="23"/>
        <v>15103420</v>
      </c>
      <c r="J160" s="309">
        <v>0</v>
      </c>
      <c r="K160" s="309">
        <f t="shared" si="21"/>
        <v>-15103420</v>
      </c>
      <c r="L160" s="378">
        <f t="shared" si="20"/>
        <v>0</v>
      </c>
      <c r="M160" s="207"/>
      <c r="N160" s="203"/>
    </row>
    <row r="161" spans="1:14" s="241" customFormat="1" ht="15" hidden="1" outlineLevel="2">
      <c r="A161" s="283" t="s">
        <v>394</v>
      </c>
      <c r="B161" s="309">
        <v>3639210</v>
      </c>
      <c r="C161" s="308"/>
      <c r="D161" s="308"/>
      <c r="E161" s="376"/>
      <c r="F161" s="376"/>
      <c r="G161" s="309">
        <f t="shared" si="22"/>
        <v>3639210</v>
      </c>
      <c r="H161" s="376"/>
      <c r="I161" s="309">
        <f t="shared" si="23"/>
        <v>3639210</v>
      </c>
      <c r="J161" s="309">
        <v>0</v>
      </c>
      <c r="K161" s="309">
        <f t="shared" si="21"/>
        <v>-3639210</v>
      </c>
      <c r="L161" s="378">
        <f t="shared" si="20"/>
        <v>0</v>
      </c>
      <c r="M161" s="207"/>
      <c r="N161" s="203"/>
    </row>
    <row r="162" spans="1:14" s="241" customFormat="1" ht="15" hidden="1" outlineLevel="2">
      <c r="A162" s="283" t="s">
        <v>395</v>
      </c>
      <c r="B162" s="309">
        <v>1975570</v>
      </c>
      <c r="C162" s="308"/>
      <c r="D162" s="308"/>
      <c r="E162" s="376"/>
      <c r="F162" s="376"/>
      <c r="G162" s="309">
        <f t="shared" si="22"/>
        <v>1975570</v>
      </c>
      <c r="H162" s="376"/>
      <c r="I162" s="309">
        <f t="shared" si="23"/>
        <v>1975570</v>
      </c>
      <c r="J162" s="309">
        <v>0</v>
      </c>
      <c r="K162" s="309">
        <f t="shared" si="21"/>
        <v>-1975570</v>
      </c>
      <c r="L162" s="378">
        <f t="shared" si="20"/>
        <v>0</v>
      </c>
      <c r="M162" s="207"/>
      <c r="N162" s="203"/>
    </row>
    <row r="163" spans="1:14" s="241" customFormat="1" ht="15" hidden="1" outlineLevel="2">
      <c r="A163" s="283" t="s">
        <v>396</v>
      </c>
      <c r="B163" s="309">
        <v>3639210</v>
      </c>
      <c r="C163" s="308"/>
      <c r="D163" s="308"/>
      <c r="E163" s="376"/>
      <c r="F163" s="376"/>
      <c r="G163" s="309">
        <f t="shared" si="22"/>
        <v>3639210</v>
      </c>
      <c r="H163" s="376"/>
      <c r="I163" s="309">
        <f t="shared" si="23"/>
        <v>3639210</v>
      </c>
      <c r="J163" s="309">
        <v>0</v>
      </c>
      <c r="K163" s="309">
        <f t="shared" si="21"/>
        <v>-3639210</v>
      </c>
      <c r="L163" s="378">
        <f t="shared" si="20"/>
        <v>0</v>
      </c>
      <c r="M163" s="207"/>
      <c r="N163" s="203"/>
    </row>
    <row r="164" spans="1:14" s="241" customFormat="1" ht="15" hidden="1" outlineLevel="1">
      <c r="A164" s="393" t="s">
        <v>398</v>
      </c>
      <c r="B164" s="310">
        <v>5197311</v>
      </c>
      <c r="C164" s="26"/>
      <c r="D164" s="26"/>
      <c r="E164" s="26"/>
      <c r="F164" s="26"/>
      <c r="G164" s="310">
        <f>+B164+C164+D164+E164+F164</f>
        <v>5197311</v>
      </c>
      <c r="H164" s="26"/>
      <c r="I164" s="310">
        <f>+G164+H164</f>
        <v>5197311</v>
      </c>
      <c r="J164" s="310">
        <v>0</v>
      </c>
      <c r="K164" s="310">
        <f t="shared" si="21"/>
        <v>-5197311</v>
      </c>
      <c r="L164" s="378">
        <f t="shared" si="20"/>
        <v>0</v>
      </c>
      <c r="M164" s="207"/>
      <c r="N164" s="203"/>
    </row>
    <row r="165" spans="1:14" s="241" customFormat="1" ht="15" collapsed="1">
      <c r="A165" s="393"/>
      <c r="B165" s="310"/>
      <c r="C165" s="26"/>
      <c r="D165" s="26"/>
      <c r="E165" s="26"/>
      <c r="F165" s="26"/>
      <c r="G165" s="310"/>
      <c r="H165" s="26"/>
      <c r="I165" s="310"/>
      <c r="J165" s="310"/>
      <c r="K165" s="310"/>
      <c r="L165" s="378"/>
      <c r="M165" s="207"/>
      <c r="N165" s="203"/>
    </row>
    <row r="166" spans="1:14" s="287" customFormat="1" ht="30">
      <c r="A166" s="279" t="s">
        <v>261</v>
      </c>
      <c r="B166" s="280"/>
      <c r="C166" s="280">
        <f>+C167</f>
        <v>115778083</v>
      </c>
      <c r="D166" s="280"/>
      <c r="E166" s="280"/>
      <c r="F166" s="280">
        <f>+F174+F178+F183+F188</f>
        <v>124393516</v>
      </c>
      <c r="G166" s="280">
        <f>SUM(B166:F166)</f>
        <v>240171599</v>
      </c>
      <c r="H166" s="280"/>
      <c r="I166" s="280">
        <f>+H166+G166</f>
        <v>240171599</v>
      </c>
      <c r="J166" s="280">
        <f>+J167+J174+J178+J183</f>
        <v>147047663</v>
      </c>
      <c r="K166" s="280">
        <f>+K167+K174+K178+K183</f>
        <v>-93123936</v>
      </c>
      <c r="L166" s="375">
        <f t="shared" si="20"/>
        <v>0.6122608318896191</v>
      </c>
      <c r="M166" s="285"/>
      <c r="N166" s="286"/>
    </row>
    <row r="167" spans="1:14" s="241" customFormat="1" ht="15">
      <c r="A167" s="25" t="s">
        <v>270</v>
      </c>
      <c r="B167" s="309"/>
      <c r="C167" s="310">
        <f>+C168+C173</f>
        <v>115778083</v>
      </c>
      <c r="D167" s="310"/>
      <c r="E167" s="388"/>
      <c r="F167" s="388"/>
      <c r="G167" s="310">
        <f aca="true" t="shared" si="24" ref="G167:G191">+B167+C167+E167+F167+D167</f>
        <v>115778083</v>
      </c>
      <c r="H167" s="388"/>
      <c r="I167" s="310">
        <f>+H167+G167</f>
        <v>115778083</v>
      </c>
      <c r="J167" s="310">
        <f>+J168+J173</f>
        <v>59950592</v>
      </c>
      <c r="K167" s="310">
        <f>+J167-I167</f>
        <v>-55827491</v>
      </c>
      <c r="L167" s="377">
        <f t="shared" si="20"/>
        <v>0.5178060514268491</v>
      </c>
      <c r="M167" s="207"/>
      <c r="N167" s="203"/>
    </row>
    <row r="168" spans="1:14" s="241" customFormat="1" ht="15" hidden="1" outlineLevel="1">
      <c r="A168" s="381" t="s">
        <v>399</v>
      </c>
      <c r="B168" s="310"/>
      <c r="C168" s="310">
        <f>SUM(C169:C172)</f>
        <v>99778083</v>
      </c>
      <c r="D168" s="310"/>
      <c r="E168" s="310"/>
      <c r="F168" s="388"/>
      <c r="G168" s="310">
        <f t="shared" si="24"/>
        <v>99778083</v>
      </c>
      <c r="H168" s="388"/>
      <c r="I168" s="310">
        <f aca="true" t="shared" si="25" ref="I168:I173">+H168+G168</f>
        <v>99778083</v>
      </c>
      <c r="J168" s="310">
        <f>SUM(J169:J172)</f>
        <v>55134758</v>
      </c>
      <c r="K168" s="310">
        <f t="shared" si="21"/>
        <v>-44643325</v>
      </c>
      <c r="L168" s="377">
        <f t="shared" si="20"/>
        <v>0.5525738352780339</v>
      </c>
      <c r="M168" s="207"/>
      <c r="N168" s="203"/>
    </row>
    <row r="169" spans="1:14" s="241" customFormat="1" ht="15" hidden="1" outlineLevel="2">
      <c r="A169" s="304" t="s">
        <v>400</v>
      </c>
      <c r="B169" s="308"/>
      <c r="C169" s="309">
        <v>7500000</v>
      </c>
      <c r="D169" s="309"/>
      <c r="E169" s="314"/>
      <c r="F169" s="315"/>
      <c r="G169" s="309">
        <f t="shared" si="24"/>
        <v>7500000</v>
      </c>
      <c r="H169" s="315"/>
      <c r="I169" s="309">
        <f t="shared" si="25"/>
        <v>7500000</v>
      </c>
      <c r="J169" s="309">
        <v>7304094</v>
      </c>
      <c r="K169" s="309">
        <f t="shared" si="21"/>
        <v>-195906</v>
      </c>
      <c r="L169" s="378">
        <f t="shared" si="20"/>
        <v>0.9738792</v>
      </c>
      <c r="M169" s="207"/>
      <c r="N169" s="203"/>
    </row>
    <row r="170" spans="1:14" s="241" customFormat="1" ht="15" hidden="1" outlineLevel="2">
      <c r="A170" s="304" t="s">
        <v>285</v>
      </c>
      <c r="B170" s="308"/>
      <c r="C170" s="309">
        <v>47278083</v>
      </c>
      <c r="D170" s="309"/>
      <c r="E170" s="314"/>
      <c r="F170" s="315"/>
      <c r="G170" s="309">
        <f t="shared" si="24"/>
        <v>47278083</v>
      </c>
      <c r="H170" s="315"/>
      <c r="I170" s="309">
        <f t="shared" si="25"/>
        <v>47278083</v>
      </c>
      <c r="J170" s="309">
        <v>35233153</v>
      </c>
      <c r="K170" s="309">
        <f t="shared" si="21"/>
        <v>-12044930</v>
      </c>
      <c r="L170" s="378">
        <f t="shared" si="20"/>
        <v>0.7452322675604254</v>
      </c>
      <c r="M170" s="207"/>
      <c r="N170" s="203"/>
    </row>
    <row r="171" spans="1:14" s="241" customFormat="1" ht="15" hidden="1" outlineLevel="2">
      <c r="A171" s="304" t="s">
        <v>286</v>
      </c>
      <c r="B171" s="308"/>
      <c r="C171" s="309">
        <v>45000000</v>
      </c>
      <c r="D171" s="309"/>
      <c r="E171" s="314"/>
      <c r="F171" s="315"/>
      <c r="G171" s="309">
        <f t="shared" si="24"/>
        <v>45000000</v>
      </c>
      <c r="H171" s="315"/>
      <c r="I171" s="309">
        <f t="shared" si="25"/>
        <v>45000000</v>
      </c>
      <c r="J171" s="309">
        <v>12597511</v>
      </c>
      <c r="K171" s="309">
        <f t="shared" si="21"/>
        <v>-32402489</v>
      </c>
      <c r="L171" s="378">
        <f t="shared" si="20"/>
        <v>0.2799446888888889</v>
      </c>
      <c r="M171" s="207"/>
      <c r="N171" s="203"/>
    </row>
    <row r="172" spans="1:14" s="241" customFormat="1" ht="15" hidden="1" outlineLevel="2">
      <c r="A172" s="304" t="s">
        <v>401</v>
      </c>
      <c r="B172" s="308"/>
      <c r="C172" s="309">
        <v>0</v>
      </c>
      <c r="D172" s="309"/>
      <c r="E172" s="314"/>
      <c r="F172" s="315"/>
      <c r="G172" s="309">
        <f t="shared" si="24"/>
        <v>0</v>
      </c>
      <c r="H172" s="315"/>
      <c r="I172" s="309">
        <f t="shared" si="25"/>
        <v>0</v>
      </c>
      <c r="J172" s="309"/>
      <c r="K172" s="309">
        <f t="shared" si="21"/>
        <v>0</v>
      </c>
      <c r="L172" s="378">
        <f t="shared" si="20"/>
        <v>0</v>
      </c>
      <c r="M172" s="207"/>
      <c r="N172" s="203"/>
    </row>
    <row r="173" spans="1:14" s="241" customFormat="1" ht="15" hidden="1" outlineLevel="1">
      <c r="A173" s="381" t="s">
        <v>402</v>
      </c>
      <c r="B173" s="310"/>
      <c r="C173" s="310">
        <f>+'[8]2013 I Trimestre'!$G$94</f>
        <v>16000000</v>
      </c>
      <c r="D173" s="310"/>
      <c r="E173" s="310"/>
      <c r="F173" s="388"/>
      <c r="G173" s="310">
        <f t="shared" si="24"/>
        <v>16000000</v>
      </c>
      <c r="H173" s="388"/>
      <c r="I173" s="310">
        <f t="shared" si="25"/>
        <v>16000000</v>
      </c>
      <c r="J173" s="310">
        <v>4815834</v>
      </c>
      <c r="K173" s="310">
        <f t="shared" si="21"/>
        <v>-11184166</v>
      </c>
      <c r="L173" s="377">
        <f t="shared" si="20"/>
        <v>0.300989625</v>
      </c>
      <c r="M173" s="207"/>
      <c r="N173" s="203"/>
    </row>
    <row r="174" spans="1:14" ht="17.25" customHeight="1" collapsed="1">
      <c r="A174" s="305" t="s">
        <v>262</v>
      </c>
      <c r="B174" s="379"/>
      <c r="C174" s="314"/>
      <c r="D174" s="314"/>
      <c r="E174" s="314"/>
      <c r="F174" s="28">
        <f>+F175+F176+F177</f>
        <v>28118989</v>
      </c>
      <c r="G174" s="310">
        <f t="shared" si="24"/>
        <v>28118989</v>
      </c>
      <c r="H174" s="315"/>
      <c r="I174" s="310">
        <f>+H174+G174</f>
        <v>28118989</v>
      </c>
      <c r="J174" s="28">
        <f>+J175+J176+J177</f>
        <v>28037212</v>
      </c>
      <c r="K174" s="310">
        <f>+J174-I174</f>
        <v>-81777</v>
      </c>
      <c r="L174" s="377">
        <f t="shared" si="20"/>
        <v>0.997091751769596</v>
      </c>
      <c r="M174" s="4"/>
      <c r="N174" s="203"/>
    </row>
    <row r="175" spans="1:14" ht="15" hidden="1" outlineLevel="1">
      <c r="A175" s="307" t="s">
        <v>240</v>
      </c>
      <c r="B175" s="379"/>
      <c r="C175" s="314"/>
      <c r="D175" s="314"/>
      <c r="E175" s="314"/>
      <c r="F175" s="309">
        <v>21618989</v>
      </c>
      <c r="G175" s="309">
        <f t="shared" si="24"/>
        <v>21618989</v>
      </c>
      <c r="H175" s="315"/>
      <c r="I175" s="309">
        <f>+H175+G175+180003</f>
        <v>21798992</v>
      </c>
      <c r="J175" s="309">
        <v>21798992</v>
      </c>
      <c r="K175" s="309">
        <f t="shared" si="21"/>
        <v>0</v>
      </c>
      <c r="L175" s="378">
        <f t="shared" si="20"/>
        <v>1</v>
      </c>
      <c r="M175" s="4"/>
      <c r="N175" s="203"/>
    </row>
    <row r="176" spans="1:14" ht="15" hidden="1" outlineLevel="1">
      <c r="A176" s="242" t="s">
        <v>403</v>
      </c>
      <c r="B176" s="379"/>
      <c r="C176" s="314"/>
      <c r="D176" s="314"/>
      <c r="E176" s="314"/>
      <c r="F176" s="309">
        <v>2000000</v>
      </c>
      <c r="G176" s="309">
        <f t="shared" si="24"/>
        <v>2000000</v>
      </c>
      <c r="H176" s="315"/>
      <c r="I176" s="309">
        <f>+H176+G176+105920</f>
        <v>2105920</v>
      </c>
      <c r="J176" s="309">
        <v>2105920</v>
      </c>
      <c r="K176" s="309">
        <f t="shared" si="21"/>
        <v>0</v>
      </c>
      <c r="L176" s="378">
        <f t="shared" si="20"/>
        <v>1</v>
      </c>
      <c r="M176" s="4"/>
      <c r="N176" s="203"/>
    </row>
    <row r="177" spans="1:14" ht="15" hidden="1" outlineLevel="1">
      <c r="A177" s="307" t="s">
        <v>254</v>
      </c>
      <c r="B177" s="379"/>
      <c r="C177" s="314"/>
      <c r="D177" s="314"/>
      <c r="E177" s="314"/>
      <c r="F177" s="309">
        <v>4500000</v>
      </c>
      <c r="G177" s="309">
        <f t="shared" si="24"/>
        <v>4500000</v>
      </c>
      <c r="H177" s="315"/>
      <c r="I177" s="309">
        <f>+H177+G177-180003-105920</f>
        <v>4214077</v>
      </c>
      <c r="J177" s="309">
        <v>4132300</v>
      </c>
      <c r="K177" s="309">
        <f t="shared" si="21"/>
        <v>-81777</v>
      </c>
      <c r="L177" s="378">
        <f t="shared" si="20"/>
        <v>0.9805943270614182</v>
      </c>
      <c r="M177" s="4"/>
      <c r="N177" s="203"/>
    </row>
    <row r="178" spans="1:14" s="363" customFormat="1" ht="15" collapsed="1">
      <c r="A178" s="305" t="s">
        <v>404</v>
      </c>
      <c r="B178" s="370"/>
      <c r="C178" s="314"/>
      <c r="D178" s="314"/>
      <c r="E178" s="314"/>
      <c r="F178" s="310">
        <f>+F179+F180+F181+F182</f>
        <v>58145527</v>
      </c>
      <c r="G178" s="310">
        <f t="shared" si="24"/>
        <v>58145527</v>
      </c>
      <c r="H178" s="388"/>
      <c r="I178" s="310">
        <f>+H178+G178</f>
        <v>58145527</v>
      </c>
      <c r="J178" s="310">
        <f>+J179+J180+J181+J182</f>
        <v>47407972</v>
      </c>
      <c r="K178" s="310">
        <f>+J178-I178</f>
        <v>-10737555</v>
      </c>
      <c r="L178" s="377">
        <f t="shared" si="20"/>
        <v>0.815333086584631</v>
      </c>
      <c r="M178" s="4"/>
      <c r="N178" s="203"/>
    </row>
    <row r="179" spans="1:14" s="363" customFormat="1" ht="14.25" hidden="1" outlineLevel="1">
      <c r="A179" s="307" t="s">
        <v>405</v>
      </c>
      <c r="B179" s="370"/>
      <c r="C179" s="314"/>
      <c r="D179" s="314"/>
      <c r="E179" s="314"/>
      <c r="F179" s="309">
        <v>50815927</v>
      </c>
      <c r="G179" s="309">
        <f t="shared" si="24"/>
        <v>50815927</v>
      </c>
      <c r="H179" s="315"/>
      <c r="I179" s="309">
        <f aca="true" t="shared" si="26" ref="I179:I191">+H179+G179</f>
        <v>50815927</v>
      </c>
      <c r="J179" s="309">
        <v>43324950</v>
      </c>
      <c r="K179" s="309">
        <f t="shared" si="21"/>
        <v>-7490977</v>
      </c>
      <c r="L179" s="378">
        <f t="shared" si="20"/>
        <v>0.8525860405931392</v>
      </c>
      <c r="M179" s="4"/>
      <c r="N179" s="203"/>
    </row>
    <row r="180" spans="1:14" s="363" customFormat="1" ht="14.25" hidden="1" outlineLevel="1">
      <c r="A180" s="307" t="s">
        <v>263</v>
      </c>
      <c r="B180" s="370"/>
      <c r="C180" s="314"/>
      <c r="D180" s="314"/>
      <c r="E180" s="314"/>
      <c r="F180" s="309">
        <v>829600</v>
      </c>
      <c r="G180" s="309">
        <f t="shared" si="24"/>
        <v>829600</v>
      </c>
      <c r="H180" s="315"/>
      <c r="I180" s="309">
        <f t="shared" si="26"/>
        <v>829600</v>
      </c>
      <c r="J180" s="309">
        <v>817553</v>
      </c>
      <c r="K180" s="309">
        <f t="shared" si="21"/>
        <v>-12047</v>
      </c>
      <c r="L180" s="378">
        <f t="shared" si="20"/>
        <v>0.985478543876567</v>
      </c>
      <c r="M180" s="4"/>
      <c r="N180" s="203"/>
    </row>
    <row r="181" spans="1:14" s="363" customFormat="1" ht="14.25" hidden="1" outlineLevel="1">
      <c r="A181" s="307" t="s">
        <v>264</v>
      </c>
      <c r="B181" s="370"/>
      <c r="C181" s="314"/>
      <c r="D181" s="314"/>
      <c r="E181" s="314"/>
      <c r="F181" s="309">
        <v>2000000</v>
      </c>
      <c r="G181" s="309">
        <f t="shared" si="24"/>
        <v>2000000</v>
      </c>
      <c r="H181" s="315"/>
      <c r="I181" s="309">
        <f t="shared" si="26"/>
        <v>2000000</v>
      </c>
      <c r="J181" s="309">
        <v>306000</v>
      </c>
      <c r="K181" s="309">
        <f t="shared" si="21"/>
        <v>-1694000</v>
      </c>
      <c r="L181" s="378">
        <f t="shared" si="20"/>
        <v>0.153</v>
      </c>
      <c r="M181" s="4"/>
      <c r="N181" s="203"/>
    </row>
    <row r="182" spans="1:14" s="363" customFormat="1" ht="14.25" hidden="1" outlineLevel="1">
      <c r="A182" s="307" t="s">
        <v>254</v>
      </c>
      <c r="B182" s="370"/>
      <c r="C182" s="314"/>
      <c r="D182" s="314"/>
      <c r="E182" s="314"/>
      <c r="F182" s="309">
        <v>4500000</v>
      </c>
      <c r="G182" s="309">
        <f t="shared" si="24"/>
        <v>4500000</v>
      </c>
      <c r="H182" s="315"/>
      <c r="I182" s="309">
        <f t="shared" si="26"/>
        <v>4500000</v>
      </c>
      <c r="J182" s="309">
        <v>2959469</v>
      </c>
      <c r="K182" s="309">
        <f t="shared" si="21"/>
        <v>-1540531</v>
      </c>
      <c r="L182" s="378">
        <f t="shared" si="20"/>
        <v>0.6576597777777777</v>
      </c>
      <c r="M182" s="4"/>
      <c r="N182" s="203"/>
    </row>
    <row r="183" spans="1:14" s="363" customFormat="1" ht="15" collapsed="1">
      <c r="A183" s="305" t="s">
        <v>330</v>
      </c>
      <c r="B183" s="370"/>
      <c r="C183" s="314"/>
      <c r="D183" s="314"/>
      <c r="E183" s="314"/>
      <c r="F183" s="310">
        <f>+F184+F185+F186+F187</f>
        <v>38129000</v>
      </c>
      <c r="G183" s="310">
        <f t="shared" si="24"/>
        <v>38129000</v>
      </c>
      <c r="H183" s="388"/>
      <c r="I183" s="310">
        <f>+H183+G183</f>
        <v>38129000</v>
      </c>
      <c r="J183" s="310">
        <f>+J184+J185+J186+J187</f>
        <v>11651887</v>
      </c>
      <c r="K183" s="310">
        <f>+J183-I183</f>
        <v>-26477113</v>
      </c>
      <c r="L183" s="377">
        <f t="shared" si="20"/>
        <v>0.3055912035458575</v>
      </c>
      <c r="M183" s="207" t="s">
        <v>422</v>
      </c>
      <c r="N183" s="391" t="s">
        <v>441</v>
      </c>
    </row>
    <row r="184" spans="1:14" s="363" customFormat="1" ht="15" customHeight="1" hidden="1" outlineLevel="1">
      <c r="A184" s="307" t="s">
        <v>331</v>
      </c>
      <c r="B184" s="370"/>
      <c r="C184" s="314"/>
      <c r="D184" s="314"/>
      <c r="E184" s="314"/>
      <c r="F184" s="309">
        <v>24129000</v>
      </c>
      <c r="G184" s="309">
        <f t="shared" si="24"/>
        <v>24129000</v>
      </c>
      <c r="H184" s="315"/>
      <c r="I184" s="309">
        <f t="shared" si="26"/>
        <v>24129000</v>
      </c>
      <c r="J184" s="309">
        <v>11651887</v>
      </c>
      <c r="K184" s="309">
        <f t="shared" si="21"/>
        <v>-12477113</v>
      </c>
      <c r="L184" s="378">
        <f t="shared" si="20"/>
        <v>0.48289970574826974</v>
      </c>
      <c r="M184" s="4"/>
      <c r="N184" s="203"/>
    </row>
    <row r="185" spans="1:14" s="363" customFormat="1" ht="14.25" hidden="1" outlineLevel="1">
      <c r="A185" s="307" t="s">
        <v>332</v>
      </c>
      <c r="B185" s="370"/>
      <c r="C185" s="314"/>
      <c r="D185" s="314"/>
      <c r="E185" s="314"/>
      <c r="F185" s="309">
        <v>12000000</v>
      </c>
      <c r="G185" s="309">
        <f t="shared" si="24"/>
        <v>12000000</v>
      </c>
      <c r="H185" s="315"/>
      <c r="I185" s="309">
        <f t="shared" si="26"/>
        <v>12000000</v>
      </c>
      <c r="J185" s="309">
        <v>0</v>
      </c>
      <c r="K185" s="309">
        <f t="shared" si="21"/>
        <v>-12000000</v>
      </c>
      <c r="L185" s="378">
        <f t="shared" si="20"/>
        <v>0</v>
      </c>
      <c r="M185" s="4"/>
      <c r="N185" s="203"/>
    </row>
    <row r="186" spans="1:14" s="363" customFormat="1" ht="14.25" hidden="1" outlineLevel="1">
      <c r="A186" s="307" t="s">
        <v>406</v>
      </c>
      <c r="B186" s="370"/>
      <c r="C186" s="314"/>
      <c r="D186" s="314"/>
      <c r="E186" s="314"/>
      <c r="F186" s="309">
        <v>2000000</v>
      </c>
      <c r="G186" s="309">
        <f t="shared" si="24"/>
        <v>2000000</v>
      </c>
      <c r="H186" s="315"/>
      <c r="I186" s="309">
        <f t="shared" si="26"/>
        <v>2000000</v>
      </c>
      <c r="J186" s="309">
        <v>0</v>
      </c>
      <c r="K186" s="309">
        <f t="shared" si="21"/>
        <v>-2000000</v>
      </c>
      <c r="L186" s="378">
        <f t="shared" si="20"/>
        <v>0</v>
      </c>
      <c r="M186" s="4"/>
      <c r="N186" s="203"/>
    </row>
    <row r="187" spans="1:14" s="363" customFormat="1" ht="14.25" hidden="1" outlineLevel="1">
      <c r="A187" s="307" t="s">
        <v>407</v>
      </c>
      <c r="B187" s="370"/>
      <c r="C187" s="314"/>
      <c r="D187" s="314"/>
      <c r="E187" s="314"/>
      <c r="F187" s="309">
        <v>0</v>
      </c>
      <c r="G187" s="309">
        <f t="shared" si="24"/>
        <v>0</v>
      </c>
      <c r="H187" s="315"/>
      <c r="I187" s="309">
        <f t="shared" si="26"/>
        <v>0</v>
      </c>
      <c r="J187" s="309"/>
      <c r="K187" s="309">
        <f t="shared" si="21"/>
        <v>0</v>
      </c>
      <c r="L187" s="378">
        <f t="shared" si="20"/>
        <v>0</v>
      </c>
      <c r="M187" s="4"/>
      <c r="N187" s="203"/>
    </row>
    <row r="188" spans="1:14" s="363" customFormat="1" ht="15" collapsed="1">
      <c r="A188" s="381" t="s">
        <v>408</v>
      </c>
      <c r="B188" s="370"/>
      <c r="C188" s="314"/>
      <c r="D188" s="314"/>
      <c r="E188" s="314"/>
      <c r="F188" s="310">
        <f>SUM(F189:F191)</f>
        <v>0</v>
      </c>
      <c r="G188" s="310">
        <f t="shared" si="24"/>
        <v>0</v>
      </c>
      <c r="H188" s="315"/>
      <c r="I188" s="310">
        <f>+H188+G188</f>
        <v>0</v>
      </c>
      <c r="J188" s="310"/>
      <c r="K188" s="310">
        <f t="shared" si="21"/>
        <v>0</v>
      </c>
      <c r="L188" s="377">
        <f t="shared" si="20"/>
        <v>0</v>
      </c>
      <c r="M188" s="4"/>
      <c r="N188" s="203"/>
    </row>
    <row r="189" spans="1:14" s="363" customFormat="1" ht="15" customHeight="1" hidden="1" outlineLevel="1">
      <c r="A189" s="307" t="s">
        <v>409</v>
      </c>
      <c r="B189" s="370"/>
      <c r="C189" s="314"/>
      <c r="D189" s="314"/>
      <c r="E189" s="314"/>
      <c r="F189" s="137">
        <v>0</v>
      </c>
      <c r="G189" s="309">
        <f t="shared" si="24"/>
        <v>0</v>
      </c>
      <c r="H189" s="315"/>
      <c r="I189" s="309">
        <f t="shared" si="26"/>
        <v>0</v>
      </c>
      <c r="J189" s="309">
        <v>0</v>
      </c>
      <c r="K189" s="309">
        <f t="shared" si="21"/>
        <v>0</v>
      </c>
      <c r="L189" s="378">
        <f t="shared" si="20"/>
        <v>0</v>
      </c>
      <c r="M189" s="4"/>
      <c r="N189" s="203"/>
    </row>
    <row r="190" spans="1:14" s="363" customFormat="1" ht="14.25" hidden="1" outlineLevel="1">
      <c r="A190" s="307" t="s">
        <v>410</v>
      </c>
      <c r="B190" s="370"/>
      <c r="C190" s="314"/>
      <c r="D190" s="314"/>
      <c r="E190" s="314"/>
      <c r="F190" s="137">
        <v>0</v>
      </c>
      <c r="G190" s="309">
        <f t="shared" si="24"/>
        <v>0</v>
      </c>
      <c r="H190" s="315"/>
      <c r="I190" s="309">
        <f t="shared" si="26"/>
        <v>0</v>
      </c>
      <c r="J190" s="309">
        <v>0</v>
      </c>
      <c r="K190" s="309">
        <f t="shared" si="21"/>
        <v>0</v>
      </c>
      <c r="L190" s="378">
        <f t="shared" si="20"/>
        <v>0</v>
      </c>
      <c r="M190" s="4"/>
      <c r="N190" s="203"/>
    </row>
    <row r="191" spans="1:14" s="363" customFormat="1" ht="14.25" hidden="1" outlineLevel="1">
      <c r="A191" s="307" t="s">
        <v>411</v>
      </c>
      <c r="B191" s="370"/>
      <c r="C191" s="314"/>
      <c r="D191" s="314"/>
      <c r="E191" s="314"/>
      <c r="F191" s="137">
        <v>0</v>
      </c>
      <c r="G191" s="309">
        <f t="shared" si="24"/>
        <v>0</v>
      </c>
      <c r="H191" s="315"/>
      <c r="I191" s="309">
        <f t="shared" si="26"/>
        <v>0</v>
      </c>
      <c r="J191" s="309">
        <v>0</v>
      </c>
      <c r="K191" s="309">
        <f t="shared" si="21"/>
        <v>0</v>
      </c>
      <c r="L191" s="378">
        <f t="shared" si="20"/>
        <v>0</v>
      </c>
      <c r="M191" s="4"/>
      <c r="N191" s="203"/>
    </row>
    <row r="192" spans="1:14" s="363" customFormat="1" ht="14.25" collapsed="1">
      <c r="A192" s="242"/>
      <c r="B192" s="394"/>
      <c r="C192" s="23"/>
      <c r="D192" s="23"/>
      <c r="E192" s="23"/>
      <c r="F192" s="137"/>
      <c r="G192" s="137"/>
      <c r="H192" s="20"/>
      <c r="I192" s="137"/>
      <c r="J192" s="137"/>
      <c r="K192" s="137"/>
      <c r="L192" s="367"/>
      <c r="M192" s="4"/>
      <c r="N192" s="203"/>
    </row>
    <row r="193" spans="1:14" s="287" customFormat="1" ht="30">
      <c r="A193" s="279" t="s">
        <v>265</v>
      </c>
      <c r="B193" s="280">
        <f>+B194+B197</f>
        <v>52613088</v>
      </c>
      <c r="C193" s="280"/>
      <c r="D193" s="280"/>
      <c r="E193" s="280"/>
      <c r="F193" s="280"/>
      <c r="G193" s="280">
        <f>SUM(B193:F193)</f>
        <v>52613088</v>
      </c>
      <c r="H193" s="280"/>
      <c r="I193" s="280">
        <f>+H193+G193</f>
        <v>52613088</v>
      </c>
      <c r="J193" s="280">
        <f>+J194+J197</f>
        <v>47192530</v>
      </c>
      <c r="K193" s="280">
        <f t="shared" si="21"/>
        <v>-5420558</v>
      </c>
      <c r="L193" s="375">
        <f t="shared" si="20"/>
        <v>0.8969732018010423</v>
      </c>
      <c r="M193" s="285"/>
      <c r="N193" s="286"/>
    </row>
    <row r="194" spans="1:14" s="241" customFormat="1" ht="15">
      <c r="A194" s="284" t="s">
        <v>77</v>
      </c>
      <c r="B194" s="308">
        <f>+B195+B196</f>
        <v>52613088</v>
      </c>
      <c r="C194" s="395"/>
      <c r="D194" s="395"/>
      <c r="E194" s="314"/>
      <c r="F194" s="308"/>
      <c r="G194" s="310">
        <f aca="true" t="shared" si="27" ref="G194:G199">+B194+C194+E194+F194+D194</f>
        <v>52613088</v>
      </c>
      <c r="H194" s="388"/>
      <c r="I194" s="310">
        <f aca="true" t="shared" si="28" ref="I194:I199">+G194+H194</f>
        <v>52613088</v>
      </c>
      <c r="J194" s="308">
        <f>+J195+J196</f>
        <v>47192530</v>
      </c>
      <c r="K194" s="310">
        <f t="shared" si="21"/>
        <v>-5420558</v>
      </c>
      <c r="L194" s="377">
        <f t="shared" si="20"/>
        <v>0.8969732018010423</v>
      </c>
      <c r="M194" s="207"/>
      <c r="N194" s="203"/>
    </row>
    <row r="195" spans="1:14" s="241" customFormat="1" ht="14.25" hidden="1" outlineLevel="1">
      <c r="A195" s="311" t="s">
        <v>296</v>
      </c>
      <c r="B195" s="314">
        <v>34293663</v>
      </c>
      <c r="C195" s="315"/>
      <c r="D195" s="315"/>
      <c r="E195" s="315"/>
      <c r="F195" s="314"/>
      <c r="G195" s="314">
        <f t="shared" si="27"/>
        <v>34293663</v>
      </c>
      <c r="H195" s="315"/>
      <c r="I195" s="314">
        <f>+G195+H195-186000</f>
        <v>34107663</v>
      </c>
      <c r="J195" s="314">
        <v>28687993</v>
      </c>
      <c r="K195" s="314">
        <f t="shared" si="21"/>
        <v>-5419670</v>
      </c>
      <c r="L195" s="378">
        <f aca="true" t="shared" si="29" ref="L195:L240">_xlfn.IFERROR(J195/I195,0)</f>
        <v>0.8411011038780347</v>
      </c>
      <c r="M195" s="207"/>
      <c r="N195" s="203"/>
    </row>
    <row r="196" spans="1:14" s="241" customFormat="1" ht="14.25" hidden="1" outlineLevel="1">
      <c r="A196" s="311" t="s">
        <v>165</v>
      </c>
      <c r="B196" s="314">
        <v>18319425</v>
      </c>
      <c r="C196" s="315"/>
      <c r="D196" s="315"/>
      <c r="E196" s="315"/>
      <c r="F196" s="314"/>
      <c r="G196" s="314">
        <f t="shared" si="27"/>
        <v>18319425</v>
      </c>
      <c r="H196" s="315"/>
      <c r="I196" s="314">
        <f>+G196+H196+186000</f>
        <v>18505425</v>
      </c>
      <c r="J196" s="314">
        <v>18504537</v>
      </c>
      <c r="K196" s="314">
        <f t="shared" si="21"/>
        <v>-888</v>
      </c>
      <c r="L196" s="378">
        <f t="shared" si="29"/>
        <v>0.9999520140715493</v>
      </c>
      <c r="M196" s="207"/>
      <c r="N196" s="203"/>
    </row>
    <row r="197" spans="1:14" s="241" customFormat="1" ht="15" collapsed="1">
      <c r="A197" s="284" t="s">
        <v>327</v>
      </c>
      <c r="B197" s="310">
        <f>SUM(B198:B199)</f>
        <v>0</v>
      </c>
      <c r="C197" s="315"/>
      <c r="D197" s="315"/>
      <c r="E197" s="315"/>
      <c r="F197" s="314"/>
      <c r="G197" s="310">
        <f t="shared" si="27"/>
        <v>0</v>
      </c>
      <c r="H197" s="315"/>
      <c r="I197" s="310">
        <f t="shared" si="28"/>
        <v>0</v>
      </c>
      <c r="J197" s="310"/>
      <c r="K197" s="310">
        <f t="shared" si="21"/>
        <v>0</v>
      </c>
      <c r="L197" s="377">
        <f t="shared" si="29"/>
        <v>0</v>
      </c>
      <c r="M197" s="207"/>
      <c r="N197" s="203"/>
    </row>
    <row r="198" spans="1:14" s="241" customFormat="1" ht="14.25" hidden="1" outlineLevel="1">
      <c r="A198" s="311" t="s">
        <v>412</v>
      </c>
      <c r="B198" s="314">
        <v>0</v>
      </c>
      <c r="C198" s="315"/>
      <c r="D198" s="315"/>
      <c r="E198" s="315"/>
      <c r="F198" s="314"/>
      <c r="G198" s="314">
        <f t="shared" si="27"/>
        <v>0</v>
      </c>
      <c r="H198" s="315"/>
      <c r="I198" s="314">
        <f t="shared" si="28"/>
        <v>0</v>
      </c>
      <c r="J198" s="314"/>
      <c r="K198" s="314">
        <f t="shared" si="21"/>
        <v>0</v>
      </c>
      <c r="L198" s="378">
        <f t="shared" si="29"/>
        <v>0</v>
      </c>
      <c r="M198" s="207"/>
      <c r="N198" s="203"/>
    </row>
    <row r="199" spans="1:14" s="241" customFormat="1" ht="14.25" hidden="1" outlineLevel="1">
      <c r="A199" s="311" t="s">
        <v>413</v>
      </c>
      <c r="B199" s="314">
        <v>0</v>
      </c>
      <c r="C199" s="315"/>
      <c r="D199" s="315"/>
      <c r="E199" s="315"/>
      <c r="F199" s="314"/>
      <c r="G199" s="314">
        <f t="shared" si="27"/>
        <v>0</v>
      </c>
      <c r="H199" s="315"/>
      <c r="I199" s="314">
        <f t="shared" si="28"/>
        <v>0</v>
      </c>
      <c r="J199" s="314"/>
      <c r="K199" s="314">
        <f t="shared" si="21"/>
        <v>0</v>
      </c>
      <c r="L199" s="378">
        <f t="shared" si="29"/>
        <v>0</v>
      </c>
      <c r="M199" s="207"/>
      <c r="N199" s="203"/>
    </row>
    <row r="200" spans="1:14" s="241" customFormat="1" ht="14.25" collapsed="1">
      <c r="A200" s="311"/>
      <c r="B200" s="314"/>
      <c r="C200" s="315"/>
      <c r="D200" s="315"/>
      <c r="E200" s="315"/>
      <c r="F200" s="314"/>
      <c r="G200" s="314"/>
      <c r="H200" s="315"/>
      <c r="I200" s="314"/>
      <c r="J200" s="314"/>
      <c r="K200" s="314"/>
      <c r="L200" s="378"/>
      <c r="M200" s="207"/>
      <c r="N200" s="203"/>
    </row>
    <row r="201" spans="1:14" s="287" customFormat="1" ht="29.25" customHeight="1">
      <c r="A201" s="279" t="s">
        <v>266</v>
      </c>
      <c r="B201" s="280">
        <f>+B202+B207</f>
        <v>123465488</v>
      </c>
      <c r="C201" s="280"/>
      <c r="D201" s="280"/>
      <c r="E201" s="280"/>
      <c r="F201" s="280"/>
      <c r="G201" s="280">
        <f>SUM(B201:F201)</f>
        <v>123465488</v>
      </c>
      <c r="H201" s="280"/>
      <c r="I201" s="280">
        <f>+H201+G201</f>
        <v>123465488</v>
      </c>
      <c r="J201" s="280">
        <f>+J202+J207</f>
        <v>79915839</v>
      </c>
      <c r="K201" s="280">
        <f t="shared" si="21"/>
        <v>-43549649</v>
      </c>
      <c r="L201" s="375">
        <f t="shared" si="29"/>
        <v>0.6472726937263634</v>
      </c>
      <c r="M201" s="285"/>
      <c r="N201" s="286"/>
    </row>
    <row r="202" spans="1:14" s="241" customFormat="1" ht="15">
      <c r="A202" s="284" t="s">
        <v>95</v>
      </c>
      <c r="B202" s="310">
        <f>+B203+B204+B205+B206</f>
        <v>88453464</v>
      </c>
      <c r="C202" s="388"/>
      <c r="D202" s="388"/>
      <c r="E202" s="388"/>
      <c r="F202" s="388"/>
      <c r="G202" s="310">
        <f aca="true" t="shared" si="30" ref="G202:G210">+B202+C202+D202+E202+F202</f>
        <v>88453464</v>
      </c>
      <c r="H202" s="388"/>
      <c r="I202" s="310">
        <f aca="true" t="shared" si="31" ref="I202:I210">+G202+H202</f>
        <v>88453464</v>
      </c>
      <c r="J202" s="310">
        <f>+J203+J204+J205+J206</f>
        <v>72931318</v>
      </c>
      <c r="K202" s="310">
        <f t="shared" si="21"/>
        <v>-15522146</v>
      </c>
      <c r="L202" s="377">
        <f t="shared" si="29"/>
        <v>0.8245162450619232</v>
      </c>
      <c r="M202" s="208" t="s">
        <v>422</v>
      </c>
      <c r="N202" s="203"/>
    </row>
    <row r="203" spans="1:14" s="241" customFormat="1" ht="15" hidden="1" outlineLevel="1">
      <c r="A203" s="311" t="s">
        <v>166</v>
      </c>
      <c r="B203" s="309">
        <v>33059990</v>
      </c>
      <c r="C203" s="388"/>
      <c r="D203" s="388"/>
      <c r="E203" s="388"/>
      <c r="F203" s="388"/>
      <c r="G203" s="309">
        <f t="shared" si="30"/>
        <v>33059990</v>
      </c>
      <c r="H203" s="385"/>
      <c r="I203" s="309">
        <f t="shared" si="31"/>
        <v>33059990</v>
      </c>
      <c r="J203" s="309">
        <v>30681556</v>
      </c>
      <c r="K203" s="309">
        <f aca="true" t="shared" si="32" ref="K203:K238">+J203-I203</f>
        <v>-2378434</v>
      </c>
      <c r="L203" s="378">
        <f t="shared" si="29"/>
        <v>0.9280570260305584</v>
      </c>
      <c r="M203" s="207"/>
      <c r="N203" s="203"/>
    </row>
    <row r="204" spans="1:14" s="241" customFormat="1" ht="15" hidden="1" outlineLevel="1">
      <c r="A204" s="311" t="s">
        <v>297</v>
      </c>
      <c r="B204" s="309">
        <v>18960354</v>
      </c>
      <c r="C204" s="388"/>
      <c r="D204" s="388"/>
      <c r="E204" s="388"/>
      <c r="F204" s="388"/>
      <c r="G204" s="309">
        <f t="shared" si="30"/>
        <v>18960354</v>
      </c>
      <c r="H204" s="385"/>
      <c r="I204" s="309">
        <f t="shared" si="31"/>
        <v>18960354</v>
      </c>
      <c r="J204" s="309">
        <v>15854370</v>
      </c>
      <c r="K204" s="309">
        <f t="shared" si="32"/>
        <v>-3105984</v>
      </c>
      <c r="L204" s="378">
        <f t="shared" si="29"/>
        <v>0.8361853370459222</v>
      </c>
      <c r="M204" s="207"/>
      <c r="N204" s="203"/>
    </row>
    <row r="205" spans="1:14" s="241" customFormat="1" ht="15" hidden="1" outlineLevel="1">
      <c r="A205" s="312" t="s">
        <v>227</v>
      </c>
      <c r="B205" s="309">
        <v>12645160</v>
      </c>
      <c r="C205" s="388"/>
      <c r="D205" s="388"/>
      <c r="E205" s="388"/>
      <c r="F205" s="388"/>
      <c r="G205" s="309">
        <f t="shared" si="30"/>
        <v>12645160</v>
      </c>
      <c r="H205" s="385"/>
      <c r="I205" s="309">
        <f t="shared" si="31"/>
        <v>12645160</v>
      </c>
      <c r="J205" s="309">
        <v>9000112</v>
      </c>
      <c r="K205" s="309">
        <f t="shared" si="32"/>
        <v>-3645048</v>
      </c>
      <c r="L205" s="378">
        <f t="shared" si="29"/>
        <v>0.7117436236473086</v>
      </c>
      <c r="M205" s="207"/>
      <c r="N205" s="203"/>
    </row>
    <row r="206" spans="1:14" s="241" customFormat="1" ht="15" hidden="1" outlineLevel="1">
      <c r="A206" s="313" t="s">
        <v>241</v>
      </c>
      <c r="B206" s="309">
        <v>23787960</v>
      </c>
      <c r="C206" s="388"/>
      <c r="D206" s="388"/>
      <c r="E206" s="388"/>
      <c r="F206" s="388"/>
      <c r="G206" s="309">
        <f t="shared" si="30"/>
        <v>23787960</v>
      </c>
      <c r="H206" s="385"/>
      <c r="I206" s="309">
        <f t="shared" si="31"/>
        <v>23787960</v>
      </c>
      <c r="J206" s="309">
        <v>17395280</v>
      </c>
      <c r="K206" s="309">
        <f t="shared" si="32"/>
        <v>-6392680</v>
      </c>
      <c r="L206" s="378">
        <f t="shared" si="29"/>
        <v>0.7312640512259143</v>
      </c>
      <c r="M206" s="207"/>
      <c r="N206" s="203"/>
    </row>
    <row r="207" spans="1:14" s="241" customFormat="1" ht="15" collapsed="1">
      <c r="A207" s="284" t="s">
        <v>326</v>
      </c>
      <c r="B207" s="310">
        <f>+B208+B209+B210</f>
        <v>35012024</v>
      </c>
      <c r="C207" s="388"/>
      <c r="D207" s="388"/>
      <c r="E207" s="388"/>
      <c r="F207" s="388"/>
      <c r="G207" s="310">
        <f t="shared" si="30"/>
        <v>35012024</v>
      </c>
      <c r="H207" s="388"/>
      <c r="I207" s="310">
        <f t="shared" si="31"/>
        <v>35012024</v>
      </c>
      <c r="J207" s="310">
        <f>+J208+J209+J210</f>
        <v>6984521</v>
      </c>
      <c r="K207" s="310">
        <f t="shared" si="32"/>
        <v>-28027503</v>
      </c>
      <c r="L207" s="377">
        <f t="shared" si="29"/>
        <v>0.19948920976405135</v>
      </c>
      <c r="M207" s="207" t="s">
        <v>422</v>
      </c>
      <c r="N207" s="203"/>
    </row>
    <row r="208" spans="1:14" s="241" customFormat="1" ht="15" hidden="1" outlineLevel="1">
      <c r="A208" s="311" t="s">
        <v>414</v>
      </c>
      <c r="B208" s="309">
        <v>15499800</v>
      </c>
      <c r="C208" s="388"/>
      <c r="D208" s="388"/>
      <c r="E208" s="388"/>
      <c r="F208" s="388"/>
      <c r="G208" s="309">
        <f t="shared" si="30"/>
        <v>15499800</v>
      </c>
      <c r="H208" s="385"/>
      <c r="I208" s="309">
        <f t="shared" si="31"/>
        <v>15499800</v>
      </c>
      <c r="J208" s="309">
        <v>4396721</v>
      </c>
      <c r="K208" s="309">
        <f t="shared" si="32"/>
        <v>-11103079</v>
      </c>
      <c r="L208" s="378">
        <f t="shared" si="29"/>
        <v>0.28366307952360675</v>
      </c>
      <c r="M208" s="207"/>
      <c r="N208" s="203"/>
    </row>
    <row r="209" spans="1:14" s="241" customFormat="1" ht="15" hidden="1" outlineLevel="1">
      <c r="A209" s="312" t="s">
        <v>415</v>
      </c>
      <c r="B209" s="309">
        <v>19512224</v>
      </c>
      <c r="C209" s="388"/>
      <c r="D209" s="388"/>
      <c r="E209" s="388"/>
      <c r="F209" s="388"/>
      <c r="G209" s="309">
        <f t="shared" si="30"/>
        <v>19512224</v>
      </c>
      <c r="H209" s="385"/>
      <c r="I209" s="309">
        <f t="shared" si="31"/>
        <v>19512224</v>
      </c>
      <c r="J209" s="309">
        <v>2587800</v>
      </c>
      <c r="K209" s="309">
        <f t="shared" si="32"/>
        <v>-16924424</v>
      </c>
      <c r="L209" s="378">
        <f t="shared" si="29"/>
        <v>0.1326245537156605</v>
      </c>
      <c r="M209" s="207"/>
      <c r="N209" s="203"/>
    </row>
    <row r="210" spans="1:14" s="241" customFormat="1" ht="15" hidden="1" outlineLevel="1">
      <c r="A210" s="312" t="s">
        <v>416</v>
      </c>
      <c r="B210" s="309">
        <v>0</v>
      </c>
      <c r="C210" s="388"/>
      <c r="D210" s="388"/>
      <c r="E210" s="388"/>
      <c r="F210" s="388"/>
      <c r="G210" s="309">
        <f t="shared" si="30"/>
        <v>0</v>
      </c>
      <c r="H210" s="385"/>
      <c r="I210" s="309">
        <f t="shared" si="31"/>
        <v>0</v>
      </c>
      <c r="J210" s="309"/>
      <c r="K210" s="309">
        <f t="shared" si="32"/>
        <v>0</v>
      </c>
      <c r="L210" s="378">
        <f t="shared" si="29"/>
        <v>0</v>
      </c>
      <c r="M210" s="207"/>
      <c r="N210" s="203"/>
    </row>
    <row r="211" spans="1:14" s="241" customFormat="1" ht="15" collapsed="1">
      <c r="A211" s="396"/>
      <c r="B211" s="137"/>
      <c r="C211" s="29"/>
      <c r="D211" s="29"/>
      <c r="E211" s="29"/>
      <c r="F211" s="29"/>
      <c r="G211" s="137"/>
      <c r="H211" s="274"/>
      <c r="I211" s="137"/>
      <c r="J211" s="137"/>
      <c r="K211" s="137"/>
      <c r="L211" s="397"/>
      <c r="M211" s="207"/>
      <c r="N211" s="203"/>
    </row>
    <row r="212" spans="1:14" s="287" customFormat="1" ht="30">
      <c r="A212" s="279" t="s">
        <v>267</v>
      </c>
      <c r="B212" s="280"/>
      <c r="C212" s="280"/>
      <c r="D212" s="280">
        <f>+D213+D219</f>
        <v>126600000</v>
      </c>
      <c r="E212" s="280"/>
      <c r="F212" s="280"/>
      <c r="G212" s="280">
        <f>SUM(B212:F212)</f>
        <v>126600000</v>
      </c>
      <c r="H212" s="280"/>
      <c r="I212" s="280">
        <f>+G212+H212</f>
        <v>126600000</v>
      </c>
      <c r="J212" s="280">
        <f>+J213+J219</f>
        <v>99601436</v>
      </c>
      <c r="K212" s="280">
        <f t="shared" si="32"/>
        <v>-26998564</v>
      </c>
      <c r="L212" s="375">
        <f t="shared" si="29"/>
        <v>0.7867412006319116</v>
      </c>
      <c r="M212" s="285"/>
      <c r="N212" s="286"/>
    </row>
    <row r="213" spans="1:14" ht="15">
      <c r="A213" s="284" t="s">
        <v>299</v>
      </c>
      <c r="B213" s="398"/>
      <c r="C213" s="398"/>
      <c r="D213" s="398">
        <f>+D214</f>
        <v>50500000</v>
      </c>
      <c r="E213" s="314"/>
      <c r="F213" s="315"/>
      <c r="G213" s="308">
        <f aca="true" t="shared" si="33" ref="G213:G230">+B213+C213+D213+E213+F213</f>
        <v>50500000</v>
      </c>
      <c r="H213" s="315"/>
      <c r="I213" s="399">
        <f aca="true" t="shared" si="34" ref="I213:I230">+H213+G213</f>
        <v>50500000</v>
      </c>
      <c r="J213" s="398">
        <f>+J214</f>
        <v>43463903</v>
      </c>
      <c r="K213" s="399">
        <f t="shared" si="32"/>
        <v>-7036097</v>
      </c>
      <c r="L213" s="377">
        <f t="shared" si="29"/>
        <v>0.8606713465346535</v>
      </c>
      <c r="M213" s="206"/>
      <c r="N213" s="203"/>
    </row>
    <row r="214" spans="1:14" ht="15">
      <c r="A214" s="284" t="s">
        <v>110</v>
      </c>
      <c r="B214" s="398"/>
      <c r="C214" s="400"/>
      <c r="D214" s="399">
        <f>SUM(D215:D218)</f>
        <v>50500000</v>
      </c>
      <c r="E214" s="314"/>
      <c r="F214" s="385"/>
      <c r="G214" s="310">
        <f t="shared" si="33"/>
        <v>50500000</v>
      </c>
      <c r="H214" s="385"/>
      <c r="I214" s="399">
        <f t="shared" si="34"/>
        <v>50500000</v>
      </c>
      <c r="J214" s="399">
        <f>SUM(J215:J218)</f>
        <v>43463903</v>
      </c>
      <c r="K214" s="399">
        <f t="shared" si="32"/>
        <v>-7036097</v>
      </c>
      <c r="L214" s="377">
        <f t="shared" si="29"/>
        <v>0.8606713465346535</v>
      </c>
      <c r="M214" s="206"/>
      <c r="N214" s="203"/>
    </row>
    <row r="215" spans="1:14" ht="15" hidden="1" outlineLevel="1">
      <c r="A215" s="304" t="s">
        <v>417</v>
      </c>
      <c r="B215" s="398"/>
      <c r="C215" s="400"/>
      <c r="D215" s="400">
        <v>26000000</v>
      </c>
      <c r="E215" s="314"/>
      <c r="F215" s="385"/>
      <c r="G215" s="309">
        <f t="shared" si="33"/>
        <v>26000000</v>
      </c>
      <c r="H215" s="385"/>
      <c r="I215" s="400">
        <f t="shared" si="34"/>
        <v>26000000</v>
      </c>
      <c r="J215" s="400">
        <v>21390794</v>
      </c>
      <c r="K215" s="400">
        <f t="shared" si="32"/>
        <v>-4609206</v>
      </c>
      <c r="L215" s="378">
        <f t="shared" si="29"/>
        <v>0.8227228461538462</v>
      </c>
      <c r="M215" s="206"/>
      <c r="N215" s="203"/>
    </row>
    <row r="216" spans="1:14" ht="15" hidden="1" outlineLevel="1">
      <c r="A216" s="304" t="s">
        <v>274</v>
      </c>
      <c r="B216" s="398"/>
      <c r="C216" s="400"/>
      <c r="D216" s="400">
        <v>18000000</v>
      </c>
      <c r="E216" s="314"/>
      <c r="F216" s="385"/>
      <c r="G216" s="309">
        <f t="shared" si="33"/>
        <v>18000000</v>
      </c>
      <c r="H216" s="385"/>
      <c r="I216" s="400">
        <f>+H216+G216+3000000</f>
        <v>21000000</v>
      </c>
      <c r="J216" s="400">
        <v>19748215</v>
      </c>
      <c r="K216" s="400">
        <f t="shared" si="32"/>
        <v>-1251785</v>
      </c>
      <c r="L216" s="378">
        <f t="shared" si="29"/>
        <v>0.9403911904761905</v>
      </c>
      <c r="M216" s="206"/>
      <c r="N216" s="203"/>
    </row>
    <row r="217" spans="1:14" ht="15" hidden="1" outlineLevel="1">
      <c r="A217" s="304" t="s">
        <v>418</v>
      </c>
      <c r="B217" s="398"/>
      <c r="C217" s="400"/>
      <c r="D217" s="400">
        <v>3500000</v>
      </c>
      <c r="E217" s="314"/>
      <c r="F217" s="385"/>
      <c r="G217" s="309">
        <f t="shared" si="33"/>
        <v>3500000</v>
      </c>
      <c r="H217" s="385"/>
      <c r="I217" s="400">
        <f t="shared" si="34"/>
        <v>3500000</v>
      </c>
      <c r="J217" s="400">
        <v>2324894</v>
      </c>
      <c r="K217" s="400">
        <v>2324894</v>
      </c>
      <c r="L217" s="378">
        <f t="shared" si="29"/>
        <v>0.6642554285714286</v>
      </c>
      <c r="M217" s="206"/>
      <c r="N217" s="203"/>
    </row>
    <row r="218" spans="1:14" ht="15" hidden="1" outlineLevel="1">
      <c r="A218" s="304" t="s">
        <v>419</v>
      </c>
      <c r="B218" s="398"/>
      <c r="C218" s="400"/>
      <c r="D218" s="400">
        <v>3000000</v>
      </c>
      <c r="E218" s="314"/>
      <c r="F218" s="385"/>
      <c r="G218" s="309">
        <f t="shared" si="33"/>
        <v>3000000</v>
      </c>
      <c r="H218" s="385"/>
      <c r="I218" s="400">
        <f>+H218+G218-3000000</f>
        <v>0</v>
      </c>
      <c r="J218" s="400">
        <v>0</v>
      </c>
      <c r="K218" s="400">
        <f t="shared" si="32"/>
        <v>0</v>
      </c>
      <c r="L218" s="378">
        <f t="shared" si="29"/>
        <v>0</v>
      </c>
      <c r="M218" s="206"/>
      <c r="N218" s="203"/>
    </row>
    <row r="219" spans="1:14" ht="15" collapsed="1">
      <c r="A219" s="284" t="s">
        <v>300</v>
      </c>
      <c r="B219" s="308"/>
      <c r="C219" s="308"/>
      <c r="D219" s="308">
        <f>+D220+D225</f>
        <v>76100000</v>
      </c>
      <c r="E219" s="315"/>
      <c r="F219" s="315"/>
      <c r="G219" s="308">
        <f t="shared" si="33"/>
        <v>76100000</v>
      </c>
      <c r="H219" s="388"/>
      <c r="I219" s="399">
        <f t="shared" si="34"/>
        <v>76100000</v>
      </c>
      <c r="J219" s="308">
        <f>+J220+J225</f>
        <v>56137533</v>
      </c>
      <c r="K219" s="399">
        <f t="shared" si="32"/>
        <v>-19962467</v>
      </c>
      <c r="L219" s="377">
        <f t="shared" si="29"/>
        <v>0.7376811169513797</v>
      </c>
      <c r="M219" s="206"/>
      <c r="N219" s="203"/>
    </row>
    <row r="220" spans="1:14" ht="15">
      <c r="A220" s="401" t="s">
        <v>311</v>
      </c>
      <c r="B220" s="308"/>
      <c r="C220" s="308"/>
      <c r="D220" s="308">
        <f>SUM(D221:D224)</f>
        <v>34100000</v>
      </c>
      <c r="E220" s="315"/>
      <c r="F220" s="315"/>
      <c r="G220" s="308">
        <f t="shared" si="33"/>
        <v>34100000</v>
      </c>
      <c r="H220" s="388"/>
      <c r="I220" s="399">
        <f t="shared" si="34"/>
        <v>34100000</v>
      </c>
      <c r="J220" s="308">
        <f>SUM(J221:J224)</f>
        <v>25875124</v>
      </c>
      <c r="K220" s="399">
        <f t="shared" si="32"/>
        <v>-8224876</v>
      </c>
      <c r="L220" s="377">
        <f t="shared" si="29"/>
        <v>0.7588012903225806</v>
      </c>
      <c r="M220" s="206"/>
      <c r="N220" s="203"/>
    </row>
    <row r="221" spans="1:14" ht="15" hidden="1" outlineLevel="1">
      <c r="A221" s="306" t="s">
        <v>420</v>
      </c>
      <c r="B221" s="308"/>
      <c r="C221" s="309"/>
      <c r="D221" s="309">
        <v>0</v>
      </c>
      <c r="E221" s="315"/>
      <c r="F221" s="315"/>
      <c r="G221" s="309">
        <f t="shared" si="33"/>
        <v>0</v>
      </c>
      <c r="H221" s="315"/>
      <c r="I221" s="400">
        <f t="shared" si="34"/>
        <v>0</v>
      </c>
      <c r="J221" s="400"/>
      <c r="K221" s="400">
        <f t="shared" si="32"/>
        <v>0</v>
      </c>
      <c r="L221" s="378">
        <f t="shared" si="29"/>
        <v>0</v>
      </c>
      <c r="M221" s="206"/>
      <c r="N221" s="203"/>
    </row>
    <row r="222" spans="1:14" ht="15" hidden="1" outlineLevel="1">
      <c r="A222" s="306" t="s">
        <v>275</v>
      </c>
      <c r="B222" s="308"/>
      <c r="C222" s="309"/>
      <c r="D222" s="309">
        <v>31600000</v>
      </c>
      <c r="E222" s="315"/>
      <c r="F222" s="315"/>
      <c r="G222" s="309">
        <f t="shared" si="33"/>
        <v>31600000</v>
      </c>
      <c r="H222" s="315"/>
      <c r="I222" s="400">
        <f t="shared" si="34"/>
        <v>31600000</v>
      </c>
      <c r="J222" s="400">
        <v>25735124</v>
      </c>
      <c r="K222" s="400">
        <f t="shared" si="32"/>
        <v>-5864876</v>
      </c>
      <c r="L222" s="378">
        <f t="shared" si="29"/>
        <v>0.8144026582278481</v>
      </c>
      <c r="M222" s="206"/>
      <c r="N222" s="203"/>
    </row>
    <row r="223" spans="1:14" ht="15" hidden="1" outlineLevel="1">
      <c r="A223" s="306" t="s">
        <v>276</v>
      </c>
      <c r="B223" s="308"/>
      <c r="C223" s="309"/>
      <c r="D223" s="309">
        <v>0</v>
      </c>
      <c r="E223" s="315"/>
      <c r="F223" s="315"/>
      <c r="G223" s="309">
        <f t="shared" si="33"/>
        <v>0</v>
      </c>
      <c r="H223" s="315"/>
      <c r="I223" s="400">
        <f t="shared" si="34"/>
        <v>0</v>
      </c>
      <c r="J223" s="400"/>
      <c r="K223" s="400">
        <f t="shared" si="32"/>
        <v>0</v>
      </c>
      <c r="L223" s="378">
        <f t="shared" si="29"/>
        <v>0</v>
      </c>
      <c r="M223" s="206"/>
      <c r="N223" s="203"/>
    </row>
    <row r="224" spans="1:14" ht="15" hidden="1" outlineLevel="1">
      <c r="A224" s="306" t="s">
        <v>277</v>
      </c>
      <c r="B224" s="308"/>
      <c r="C224" s="309"/>
      <c r="D224" s="309">
        <v>2500000</v>
      </c>
      <c r="E224" s="315"/>
      <c r="F224" s="315"/>
      <c r="G224" s="309">
        <f t="shared" si="33"/>
        <v>2500000</v>
      </c>
      <c r="H224" s="315"/>
      <c r="I224" s="400">
        <f t="shared" si="34"/>
        <v>2500000</v>
      </c>
      <c r="J224" s="400">
        <v>140000</v>
      </c>
      <c r="K224" s="400">
        <f t="shared" si="32"/>
        <v>-2360000</v>
      </c>
      <c r="L224" s="378">
        <f t="shared" si="29"/>
        <v>0.056</v>
      </c>
      <c r="M224" s="206"/>
      <c r="N224" s="203"/>
    </row>
    <row r="225" spans="1:14" ht="15" collapsed="1">
      <c r="A225" s="402" t="s">
        <v>312</v>
      </c>
      <c r="B225" s="308"/>
      <c r="C225" s="308"/>
      <c r="D225" s="308">
        <f>+D226+D227+D228+D230+D229</f>
        <v>42000000</v>
      </c>
      <c r="E225" s="315"/>
      <c r="F225" s="315"/>
      <c r="G225" s="308">
        <f t="shared" si="33"/>
        <v>42000000</v>
      </c>
      <c r="H225" s="388"/>
      <c r="I225" s="399">
        <f t="shared" si="34"/>
        <v>42000000</v>
      </c>
      <c r="J225" s="308">
        <f>+J226+J227+J228+J230+J229</f>
        <v>30262409</v>
      </c>
      <c r="K225" s="399">
        <f>+J225-I225</f>
        <v>-11737591</v>
      </c>
      <c r="L225" s="377">
        <f t="shared" si="29"/>
        <v>0.7205335476190476</v>
      </c>
      <c r="M225" s="386" t="s">
        <v>422</v>
      </c>
      <c r="N225" s="203" t="s">
        <v>447</v>
      </c>
    </row>
    <row r="226" spans="1:14" ht="15" hidden="1" outlineLevel="1">
      <c r="A226" s="304" t="s">
        <v>278</v>
      </c>
      <c r="B226" s="308"/>
      <c r="C226" s="309"/>
      <c r="D226" s="309">
        <v>7000000</v>
      </c>
      <c r="E226" s="315"/>
      <c r="F226" s="315"/>
      <c r="G226" s="309">
        <f t="shared" si="33"/>
        <v>7000000</v>
      </c>
      <c r="H226" s="315"/>
      <c r="I226" s="400">
        <f>+H226+G226+1567082</f>
        <v>8567082</v>
      </c>
      <c r="J226" s="400">
        <v>8567082</v>
      </c>
      <c r="K226" s="400">
        <f t="shared" si="32"/>
        <v>0</v>
      </c>
      <c r="L226" s="378">
        <f t="shared" si="29"/>
        <v>1</v>
      </c>
      <c r="M226" s="206"/>
      <c r="N226" s="203"/>
    </row>
    <row r="227" spans="1:14" ht="15" hidden="1" outlineLevel="1">
      <c r="A227" s="304" t="s">
        <v>279</v>
      </c>
      <c r="B227" s="308"/>
      <c r="C227" s="309"/>
      <c r="D227" s="309">
        <v>0</v>
      </c>
      <c r="E227" s="315"/>
      <c r="F227" s="315"/>
      <c r="G227" s="309">
        <f t="shared" si="33"/>
        <v>0</v>
      </c>
      <c r="H227" s="315"/>
      <c r="I227" s="400">
        <f t="shared" si="34"/>
        <v>0</v>
      </c>
      <c r="J227" s="400"/>
      <c r="K227" s="400">
        <f t="shared" si="32"/>
        <v>0</v>
      </c>
      <c r="L227" s="378">
        <f t="shared" si="29"/>
        <v>0</v>
      </c>
      <c r="M227" s="206"/>
      <c r="N227" s="203"/>
    </row>
    <row r="228" spans="1:14" ht="15" hidden="1" outlineLevel="1">
      <c r="A228" s="304" t="s">
        <v>280</v>
      </c>
      <c r="B228" s="308"/>
      <c r="C228" s="309"/>
      <c r="D228" s="309">
        <v>5000000</v>
      </c>
      <c r="E228" s="315"/>
      <c r="F228" s="315"/>
      <c r="G228" s="309">
        <f t="shared" si="33"/>
        <v>5000000</v>
      </c>
      <c r="H228" s="315"/>
      <c r="I228" s="400">
        <f>+H228+G228-1567082</f>
        <v>3432918</v>
      </c>
      <c r="J228" s="400">
        <v>2291470</v>
      </c>
      <c r="K228" s="400">
        <f t="shared" si="32"/>
        <v>-1141448</v>
      </c>
      <c r="L228" s="378">
        <f t="shared" si="29"/>
        <v>0.6674991945627597</v>
      </c>
      <c r="M228" s="206"/>
      <c r="N228" s="203"/>
    </row>
    <row r="229" spans="1:14" ht="15" hidden="1" outlineLevel="1">
      <c r="A229" s="304" t="s">
        <v>437</v>
      </c>
      <c r="B229" s="308"/>
      <c r="C229" s="309"/>
      <c r="D229" s="309">
        <v>15000000</v>
      </c>
      <c r="E229" s="315"/>
      <c r="F229" s="315"/>
      <c r="G229" s="309">
        <f t="shared" si="33"/>
        <v>15000000</v>
      </c>
      <c r="H229" s="315"/>
      <c r="I229" s="400">
        <f t="shared" si="34"/>
        <v>15000000</v>
      </c>
      <c r="J229" s="400">
        <v>5756509</v>
      </c>
      <c r="K229" s="400">
        <f t="shared" si="32"/>
        <v>-9243491</v>
      </c>
      <c r="L229" s="378">
        <f t="shared" si="29"/>
        <v>0.38376726666666666</v>
      </c>
      <c r="M229" s="206"/>
      <c r="N229" s="203"/>
    </row>
    <row r="230" spans="1:14" ht="15" hidden="1" outlineLevel="1">
      <c r="A230" s="304" t="s">
        <v>289</v>
      </c>
      <c r="B230" s="308"/>
      <c r="C230" s="309"/>
      <c r="D230" s="309">
        <v>15000000</v>
      </c>
      <c r="E230" s="315"/>
      <c r="F230" s="315"/>
      <c r="G230" s="309">
        <f t="shared" si="33"/>
        <v>15000000</v>
      </c>
      <c r="H230" s="315"/>
      <c r="I230" s="400">
        <f t="shared" si="34"/>
        <v>15000000</v>
      </c>
      <c r="J230" s="400">
        <v>13647348</v>
      </c>
      <c r="K230" s="400">
        <f t="shared" si="32"/>
        <v>-1352652</v>
      </c>
      <c r="L230" s="378">
        <f t="shared" si="29"/>
        <v>0.9098232</v>
      </c>
      <c r="M230" s="206"/>
      <c r="N230" s="203"/>
    </row>
    <row r="231" spans="1:14" ht="15" collapsed="1">
      <c r="A231" s="383"/>
      <c r="B231" s="308"/>
      <c r="C231" s="308"/>
      <c r="D231" s="308"/>
      <c r="E231" s="308"/>
      <c r="F231" s="308"/>
      <c r="G231" s="308"/>
      <c r="H231" s="308"/>
      <c r="I231" s="308"/>
      <c r="J231" s="308"/>
      <c r="K231" s="308"/>
      <c r="L231" s="377"/>
      <c r="M231" s="206"/>
      <c r="N231" s="203"/>
    </row>
    <row r="232" spans="1:14" ht="15">
      <c r="A232" s="25" t="s">
        <v>101</v>
      </c>
      <c r="B232" s="20"/>
      <c r="C232" s="20"/>
      <c r="D232" s="20"/>
      <c r="E232" s="20"/>
      <c r="F232" s="23"/>
      <c r="G232" s="23"/>
      <c r="H232" s="21">
        <f>+H233+H234</f>
        <v>449089989.6</v>
      </c>
      <c r="I232" s="21">
        <f>+H232+G232</f>
        <v>449089989.6</v>
      </c>
      <c r="J232" s="21">
        <f>+J233+J234</f>
        <v>446269726</v>
      </c>
      <c r="K232" s="21">
        <f t="shared" si="32"/>
        <v>-2820263.600000024</v>
      </c>
      <c r="L232" s="366">
        <f t="shared" si="29"/>
        <v>0.9937200479518326</v>
      </c>
      <c r="M232" s="209"/>
      <c r="N232" s="203"/>
    </row>
    <row r="233" spans="1:14" ht="15" customHeight="1" hidden="1" outlineLevel="1">
      <c r="A233" s="138" t="s">
        <v>294</v>
      </c>
      <c r="B233" s="20"/>
      <c r="C233" s="20"/>
      <c r="D233" s="20"/>
      <c r="E233" s="20"/>
      <c r="F233" s="23"/>
      <c r="G233" s="23"/>
      <c r="H233" s="137">
        <f>+('[6]Anexo 1 Minagricultura'!C14+'[6]Anexo 1 Minagricultura'!C18)*0.1</f>
        <v>280681243.5</v>
      </c>
      <c r="I233" s="137">
        <f>+H233+G233</f>
        <v>280681243.5</v>
      </c>
      <c r="J233" s="137">
        <v>278918579</v>
      </c>
      <c r="K233" s="137">
        <f t="shared" si="32"/>
        <v>-1762664.5</v>
      </c>
      <c r="L233" s="367">
        <f t="shared" si="29"/>
        <v>0.9937200488425226</v>
      </c>
      <c r="M233" s="209"/>
      <c r="N233" s="203"/>
    </row>
    <row r="234" spans="1:14" ht="14.25" hidden="1" outlineLevel="1">
      <c r="A234" s="138" t="s">
        <v>295</v>
      </c>
      <c r="B234" s="20"/>
      <c r="C234" s="20"/>
      <c r="D234" s="20"/>
      <c r="E234" s="20"/>
      <c r="F234" s="23"/>
      <c r="G234" s="23"/>
      <c r="H234" s="137">
        <f>(+'[6]Anexo 1 Minagricultura'!C15+'[6]Anexo 1 Minagricultura'!C19)*0.1</f>
        <v>168408746.10000002</v>
      </c>
      <c r="I234" s="137">
        <f>+H234+G234</f>
        <v>168408746.10000002</v>
      </c>
      <c r="J234" s="137">
        <v>167351147</v>
      </c>
      <c r="K234" s="137">
        <f t="shared" si="32"/>
        <v>-1057599.1000000238</v>
      </c>
      <c r="L234" s="367">
        <f t="shared" si="29"/>
        <v>0.993720046467349</v>
      </c>
      <c r="M234" s="209"/>
      <c r="N234" s="203"/>
    </row>
    <row r="235" spans="1:14" ht="15" collapsed="1">
      <c r="A235" s="30"/>
      <c r="B235" s="20"/>
      <c r="C235" s="20"/>
      <c r="D235" s="20"/>
      <c r="E235" s="20"/>
      <c r="F235" s="23"/>
      <c r="G235" s="23"/>
      <c r="H235" s="23"/>
      <c r="I235" s="23"/>
      <c r="J235" s="23"/>
      <c r="K235" s="23">
        <f t="shared" si="32"/>
        <v>0</v>
      </c>
      <c r="L235" s="366"/>
      <c r="M235" s="4"/>
      <c r="N235" s="203"/>
    </row>
    <row r="236" spans="1:14" ht="15">
      <c r="A236" s="25" t="s">
        <v>115</v>
      </c>
      <c r="B236" s="20"/>
      <c r="C236" s="20"/>
      <c r="D236" s="20"/>
      <c r="E236" s="20"/>
      <c r="F236" s="23"/>
      <c r="G236" s="21">
        <f>+B236+C236+E236+F236</f>
        <v>0</v>
      </c>
      <c r="H236" s="21">
        <f>+H237+H238</f>
        <v>0</v>
      </c>
      <c r="I236" s="21">
        <f>+H236+G236</f>
        <v>0</v>
      </c>
      <c r="J236" s="21"/>
      <c r="K236" s="21">
        <f t="shared" si="32"/>
        <v>0</v>
      </c>
      <c r="L236" s="366">
        <f t="shared" si="29"/>
        <v>0</v>
      </c>
      <c r="M236" s="4"/>
      <c r="N236" s="203"/>
    </row>
    <row r="237" spans="1:14" s="363" customFormat="1" ht="14.25" hidden="1" outlineLevel="1">
      <c r="A237" s="24" t="s">
        <v>168</v>
      </c>
      <c r="B237" s="20"/>
      <c r="C237" s="20"/>
      <c r="D237" s="20"/>
      <c r="E237" s="20"/>
      <c r="F237" s="23"/>
      <c r="G237" s="23">
        <f>+B237+C237+E237+F237</f>
        <v>0</v>
      </c>
      <c r="H237" s="314">
        <v>0</v>
      </c>
      <c r="I237" s="23">
        <f>+H237+G237</f>
        <v>0</v>
      </c>
      <c r="J237" s="23"/>
      <c r="K237" s="23">
        <f t="shared" si="32"/>
        <v>0</v>
      </c>
      <c r="L237" s="367">
        <f t="shared" si="29"/>
        <v>0</v>
      </c>
      <c r="M237" s="4"/>
      <c r="N237" s="203"/>
    </row>
    <row r="238" spans="1:14" s="363" customFormat="1" ht="14.25" hidden="1" outlineLevel="1">
      <c r="A238" s="24" t="s">
        <v>169</v>
      </c>
      <c r="B238" s="20"/>
      <c r="C238" s="20"/>
      <c r="D238" s="20"/>
      <c r="E238" s="20"/>
      <c r="F238" s="23"/>
      <c r="G238" s="23">
        <f>+B238+C238+E238+F238</f>
        <v>0</v>
      </c>
      <c r="H238" s="23">
        <v>0</v>
      </c>
      <c r="I238" s="23">
        <f>+H238+G238</f>
        <v>0</v>
      </c>
      <c r="J238" s="23"/>
      <c r="K238" s="23">
        <f t="shared" si="32"/>
        <v>0</v>
      </c>
      <c r="L238" s="367">
        <f t="shared" si="29"/>
        <v>0</v>
      </c>
      <c r="M238" s="209"/>
      <c r="N238" s="203"/>
    </row>
    <row r="239" spans="1:14" ht="15" collapsed="1">
      <c r="A239" s="30"/>
      <c r="B239" s="20"/>
      <c r="C239" s="20"/>
      <c r="D239" s="20"/>
      <c r="E239" s="20"/>
      <c r="F239" s="23"/>
      <c r="G239" s="23"/>
      <c r="H239" s="23"/>
      <c r="I239" s="23"/>
      <c r="J239" s="23"/>
      <c r="K239" s="23"/>
      <c r="L239" s="366"/>
      <c r="M239" s="4"/>
      <c r="N239" s="203"/>
    </row>
    <row r="240" spans="1:14" ht="15">
      <c r="A240" s="30" t="s">
        <v>192</v>
      </c>
      <c r="B240" s="21">
        <f>+B39+B37</f>
        <v>871134795.2780031</v>
      </c>
      <c r="C240" s="21">
        <f>+C37+C39</f>
        <v>532953233.52145445</v>
      </c>
      <c r="D240" s="21">
        <f>+D39+D37</f>
        <v>190338892.78600743</v>
      </c>
      <c r="E240" s="21">
        <f>+E37+E39</f>
        <v>1736479676.4837031</v>
      </c>
      <c r="F240" s="21">
        <f>+F39+F37</f>
        <v>1309067735.3484905</v>
      </c>
      <c r="G240" s="21">
        <f>+B240+C240+E240+F240+D240</f>
        <v>4639974333.417659</v>
      </c>
      <c r="H240" s="21">
        <f>+H236+H232+H39+H37</f>
        <v>688195067.2270044</v>
      </c>
      <c r="I240" s="21">
        <f>+H240+G240</f>
        <v>5328169400.644663</v>
      </c>
      <c r="J240" s="21">
        <f>+J232+J236+J39+J37</f>
        <v>3963529659.02</v>
      </c>
      <c r="K240" s="21">
        <f>+J240-I240</f>
        <v>-1364639741.6246629</v>
      </c>
      <c r="L240" s="366">
        <f t="shared" si="29"/>
        <v>0.7438820654877164</v>
      </c>
      <c r="M240" s="209"/>
      <c r="N240" s="203"/>
    </row>
    <row r="241" spans="1:14" ht="18.75" customHeight="1" thickBot="1">
      <c r="A241" s="210"/>
      <c r="B241" s="17"/>
      <c r="C241" s="211"/>
      <c r="D241" s="211"/>
      <c r="E241" s="260"/>
      <c r="F241" s="211"/>
      <c r="G241" s="211"/>
      <c r="H241" s="211"/>
      <c r="I241" s="211"/>
      <c r="J241" s="211"/>
      <c r="K241" s="211"/>
      <c r="L241" s="212"/>
      <c r="M241" s="4"/>
      <c r="N241" s="203"/>
    </row>
    <row r="242" spans="1:13" ht="18.75" thickTop="1">
      <c r="A242" s="213"/>
      <c r="B242" s="11"/>
      <c r="C242" s="4"/>
      <c r="D242" s="4"/>
      <c r="E242" s="209"/>
      <c r="F242" s="4"/>
      <c r="G242" s="4"/>
      <c r="H242" s="209"/>
      <c r="I242" s="209"/>
      <c r="J242" s="209"/>
      <c r="K242" s="209"/>
      <c r="L242" s="205"/>
      <c r="M242" s="4"/>
    </row>
    <row r="243" spans="1:13" ht="15.75">
      <c r="A243" s="213"/>
      <c r="B243" s="4"/>
      <c r="C243" s="4"/>
      <c r="D243" s="4"/>
      <c r="E243" s="4"/>
      <c r="F243" s="214"/>
      <c r="G243" s="403"/>
      <c r="H243" s="214"/>
      <c r="I243" s="404"/>
      <c r="J243" s="404"/>
      <c r="K243" s="40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373"/>
      <c r="J244" s="373"/>
      <c r="K244" s="373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209"/>
      <c r="H245" s="209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" customHeight="1">
      <c r="A248" s="4"/>
      <c r="B248" s="4"/>
      <c r="C248" s="4"/>
      <c r="D248" s="4"/>
      <c r="E248" s="4"/>
      <c r="F248" s="4"/>
      <c r="G248" s="4"/>
      <c r="H248" s="405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</sheetData>
  <sheetProtection/>
  <mergeCells count="4">
    <mergeCell ref="A1:L1"/>
    <mergeCell ref="A2:L2"/>
    <mergeCell ref="A3:L3"/>
    <mergeCell ref="A4:L4"/>
  </mergeCells>
  <printOptions horizontalCentered="1"/>
  <pageMargins left="0.2362204724409449" right="0.2362204724409449" top="0.31496062992125984" bottom="0.2755905511811024" header="0" footer="0"/>
  <pageSetup horizontalDpi="600" verticalDpi="600" orientation="portrait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74"/>
  <sheetViews>
    <sheetView view="pageBreakPreview" zoomScale="73" zoomScaleNormal="70" zoomScaleSheetLayoutView="73" zoomScalePageLayoutView="0" workbookViewId="0" topLeftCell="A1">
      <pane xSplit="1" ySplit="7" topLeftCell="B8" activePane="bottomRight" state="frozen"/>
      <selection pane="topLeft" activeCell="A4" sqref="A4:J4"/>
      <selection pane="topRight" activeCell="A4" sqref="A4:J4"/>
      <selection pane="bottomLeft" activeCell="A4" sqref="A4:J4"/>
      <selection pane="bottomRight" activeCell="J28" sqref="J28"/>
    </sheetView>
  </sheetViews>
  <sheetFormatPr defaultColWidth="11.421875" defaultRowHeight="12.75" outlineLevelRow="1" outlineLevelCol="1"/>
  <cols>
    <col min="1" max="1" width="36.57421875" style="0" customWidth="1"/>
    <col min="2" max="2" width="21.7109375" style="0" customWidth="1"/>
    <col min="3" max="3" width="27.7109375" style="0" customWidth="1"/>
    <col min="4" max="4" width="19.140625" style="0" customWidth="1"/>
    <col min="5" max="5" width="19.28125" style="0" customWidth="1"/>
    <col min="6" max="6" width="22.7109375" style="0" customWidth="1"/>
    <col min="7" max="7" width="17.8515625" style="0" customWidth="1"/>
    <col min="8" max="8" width="16.140625" style="0" customWidth="1"/>
    <col min="9" max="9" width="15.28125" style="0" customWidth="1"/>
    <col min="10" max="10" width="18.7109375" style="0" customWidth="1"/>
    <col min="11" max="11" width="16.28125" style="0" customWidth="1"/>
    <col min="12" max="12" width="29.140625" style="0" customWidth="1"/>
    <col min="13" max="13" width="22.140625" style="0" hidden="1" customWidth="1" outlineLevel="1"/>
    <col min="14" max="14" width="22.57421875" style="0" hidden="1" customWidth="1" outlineLevel="1"/>
    <col min="15" max="16" width="19.28125" style="0" hidden="1" customWidth="1" outlineLevel="1"/>
    <col min="17" max="19" width="19.140625" style="0" hidden="1" customWidth="1" outlineLevel="1"/>
    <col min="20" max="20" width="19.140625" style="0" hidden="1" customWidth="1" collapsed="1"/>
    <col min="21" max="21" width="22.421875" style="0" hidden="1" customWidth="1"/>
    <col min="22" max="22" width="10.28125" style="0" hidden="1" customWidth="1"/>
    <col min="23" max="23" width="13.8515625" style="0" bestFit="1" customWidth="1"/>
  </cols>
  <sheetData>
    <row r="1" spans="1:26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ht="15.75">
      <c r="A2" s="448" t="s">
        <v>24</v>
      </c>
      <c r="B2" s="448"/>
      <c r="C2" s="448"/>
      <c r="D2" s="448"/>
      <c r="E2" s="448"/>
      <c r="F2" s="448"/>
      <c r="G2" s="448" t="s">
        <v>24</v>
      </c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153"/>
      <c r="X2" s="153"/>
      <c r="Y2" s="153"/>
      <c r="Z2" s="153"/>
    </row>
    <row r="3" spans="1:26" ht="12.75">
      <c r="A3" s="153"/>
      <c r="B3" s="153"/>
      <c r="C3" s="153"/>
      <c r="D3" s="153"/>
      <c r="E3" s="215"/>
      <c r="F3" s="153"/>
      <c r="G3" s="153"/>
      <c r="H3" s="215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15.75" thickBot="1">
      <c r="A4" s="184"/>
      <c r="B4" s="184"/>
      <c r="C4" s="187" t="s">
        <v>194</v>
      </c>
      <c r="D4" s="186">
        <v>1.0373</v>
      </c>
      <c r="E4" s="184" t="s">
        <v>288</v>
      </c>
      <c r="F4" s="258">
        <v>1.6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53"/>
      <c r="X4" s="153"/>
      <c r="Y4" s="153"/>
      <c r="Z4" s="153"/>
    </row>
    <row r="5" spans="1:26" ht="15.75" thickBot="1">
      <c r="A5" s="14"/>
      <c r="B5" s="450" t="s">
        <v>340</v>
      </c>
      <c r="C5" s="451"/>
      <c r="D5" s="451"/>
      <c r="E5" s="452"/>
      <c r="F5" s="455" t="s">
        <v>120</v>
      </c>
      <c r="G5" s="455" t="s">
        <v>142</v>
      </c>
      <c r="H5" s="455" t="s">
        <v>143</v>
      </c>
      <c r="I5" s="455" t="s">
        <v>144</v>
      </c>
      <c r="J5" s="455" t="s">
        <v>281</v>
      </c>
      <c r="K5" s="455" t="s">
        <v>145</v>
      </c>
      <c r="L5" s="457" t="s">
        <v>337</v>
      </c>
      <c r="M5" s="449"/>
      <c r="N5" s="449"/>
      <c r="O5" s="449"/>
      <c r="P5" s="114"/>
      <c r="Q5" s="114"/>
      <c r="R5" s="185"/>
      <c r="S5" s="185"/>
      <c r="T5" s="185"/>
      <c r="U5" s="185"/>
      <c r="V5" s="185"/>
      <c r="W5" s="153"/>
      <c r="X5" s="153"/>
      <c r="Y5" s="153"/>
      <c r="Z5" s="153"/>
    </row>
    <row r="6" spans="1:26" ht="15.75" thickBot="1">
      <c r="A6" s="120" t="s">
        <v>131</v>
      </c>
      <c r="B6" s="453"/>
      <c r="C6" s="454"/>
      <c r="D6" s="454"/>
      <c r="E6" s="454"/>
      <c r="F6" s="456"/>
      <c r="G6" s="456"/>
      <c r="H6" s="456"/>
      <c r="I6" s="456"/>
      <c r="J6" s="456"/>
      <c r="K6" s="456"/>
      <c r="L6" s="458"/>
      <c r="M6" s="121">
        <v>2004</v>
      </c>
      <c r="N6" s="122">
        <v>2005</v>
      </c>
      <c r="O6" s="122">
        <v>2006</v>
      </c>
      <c r="P6" s="122">
        <v>2007</v>
      </c>
      <c r="Q6" s="122">
        <v>2008</v>
      </c>
      <c r="R6" s="122">
        <v>2009</v>
      </c>
      <c r="S6" s="122">
        <v>2010</v>
      </c>
      <c r="T6" s="122">
        <v>2011</v>
      </c>
      <c r="U6" s="122">
        <v>2012</v>
      </c>
      <c r="V6" s="123" t="s">
        <v>242</v>
      </c>
      <c r="W6" s="153"/>
      <c r="X6" s="153"/>
      <c r="Y6" s="153"/>
      <c r="Z6" s="153"/>
    </row>
    <row r="7" spans="1:26" ht="31.5" customHeight="1">
      <c r="A7" s="179"/>
      <c r="B7" s="124" t="s">
        <v>140</v>
      </c>
      <c r="C7" s="263" t="s">
        <v>223</v>
      </c>
      <c r="D7" s="124" t="s">
        <v>222</v>
      </c>
      <c r="E7" s="124" t="s">
        <v>243</v>
      </c>
      <c r="F7" s="245"/>
      <c r="G7" s="245"/>
      <c r="H7" s="245"/>
      <c r="I7" s="246"/>
      <c r="J7" s="246"/>
      <c r="K7" s="246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77"/>
      <c r="W7" s="153"/>
      <c r="X7" s="153"/>
      <c r="Y7" s="153"/>
      <c r="Z7" s="153"/>
    </row>
    <row r="8" spans="1:26" ht="23.25" customHeight="1" thickBot="1">
      <c r="A8" s="178" t="s">
        <v>111</v>
      </c>
      <c r="B8" s="126">
        <v>21590920</v>
      </c>
      <c r="C8" s="126">
        <v>0</v>
      </c>
      <c r="D8" s="126">
        <v>0</v>
      </c>
      <c r="E8" s="264">
        <v>0</v>
      </c>
      <c r="F8" s="247">
        <f>SUM(B8:E8)</f>
        <v>21590920</v>
      </c>
      <c r="G8" s="247">
        <v>6929280</v>
      </c>
      <c r="H8" s="247">
        <v>132426</v>
      </c>
      <c r="I8" s="247">
        <v>405380</v>
      </c>
      <c r="J8" s="247">
        <v>1691821</v>
      </c>
      <c r="K8" s="247">
        <v>0</v>
      </c>
      <c r="L8" s="125">
        <f>SUM(F8:K8)</f>
        <v>30749827</v>
      </c>
      <c r="M8" s="125">
        <v>24861124</v>
      </c>
      <c r="N8" s="125">
        <v>31500000</v>
      </c>
      <c r="O8" s="125">
        <v>52500000</v>
      </c>
      <c r="P8" s="125">
        <f>+'[5]RES'!$J$27</f>
        <v>49600000</v>
      </c>
      <c r="Q8" s="125">
        <v>154623996</v>
      </c>
      <c r="R8" s="125">
        <v>48500000</v>
      </c>
      <c r="S8" s="125">
        <v>66564693.936000004</v>
      </c>
      <c r="T8" s="125">
        <v>94531061.41600001</v>
      </c>
      <c r="U8" s="125">
        <f>+L8</f>
        <v>30749827</v>
      </c>
      <c r="V8" s="182">
        <f>+(U8-T8)/T8</f>
        <v>-0.6747119249546966</v>
      </c>
      <c r="W8" s="215"/>
      <c r="X8" s="153"/>
      <c r="Y8" s="153"/>
      <c r="Z8" s="153"/>
    </row>
    <row r="9" spans="1:26" ht="15">
      <c r="A9" s="179"/>
      <c r="B9" s="124" t="s">
        <v>170</v>
      </c>
      <c r="C9" s="124" t="s">
        <v>49</v>
      </c>
      <c r="D9" s="124"/>
      <c r="E9" s="244"/>
      <c r="F9" s="26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83"/>
      <c r="W9" s="153"/>
      <c r="X9" s="153"/>
      <c r="Y9" s="153"/>
      <c r="Z9" s="153"/>
    </row>
    <row r="10" spans="1:26" ht="15" thickBot="1">
      <c r="A10" s="178" t="s">
        <v>32</v>
      </c>
      <c r="B10" s="264">
        <v>0</v>
      </c>
      <c r="C10" s="264">
        <f>1100000*D4*4/4</f>
        <v>1141030.0000000002</v>
      </c>
      <c r="D10" s="248"/>
      <c r="E10" s="266"/>
      <c r="F10" s="126">
        <f>SUM(B10:E10)</f>
        <v>1141030.0000000002</v>
      </c>
      <c r="G10" s="248"/>
      <c r="H10" s="248"/>
      <c r="I10" s="248"/>
      <c r="J10" s="248"/>
      <c r="K10" s="248"/>
      <c r="L10" s="125">
        <f>SUM(F10:K10)</f>
        <v>1141030.0000000002</v>
      </c>
      <c r="M10" s="125">
        <v>4987947</v>
      </c>
      <c r="N10" s="125">
        <v>5196911</v>
      </c>
      <c r="O10" s="125">
        <v>4924000</v>
      </c>
      <c r="P10" s="125">
        <v>5145200</v>
      </c>
      <c r="Q10" s="125">
        <v>5306073.369899999</v>
      </c>
      <c r="R10" s="125">
        <v>5226217</v>
      </c>
      <c r="S10" s="125">
        <v>6232322.688</v>
      </c>
      <c r="T10" s="125">
        <v>6349081.800000001</v>
      </c>
      <c r="U10" s="125">
        <f>+L10</f>
        <v>1141030.0000000002</v>
      </c>
      <c r="V10" s="182">
        <f>+(U10-T10)/T10</f>
        <v>-0.8202842496059825</v>
      </c>
      <c r="W10" s="215"/>
      <c r="X10" s="153"/>
      <c r="Y10" s="153"/>
      <c r="Z10" s="153"/>
    </row>
    <row r="11" spans="1:26" ht="15">
      <c r="A11" s="180"/>
      <c r="B11" s="267" t="s">
        <v>50</v>
      </c>
      <c r="C11" s="244" t="s">
        <v>51</v>
      </c>
      <c r="D11" s="249"/>
      <c r="E11" s="268"/>
      <c r="F11" s="265"/>
      <c r="G11" s="249"/>
      <c r="H11" s="249"/>
      <c r="I11" s="249"/>
      <c r="J11" s="249"/>
      <c r="K11" s="249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83"/>
      <c r="W11" s="215"/>
      <c r="X11" s="153"/>
      <c r="Y11" s="153"/>
      <c r="Z11" s="153"/>
    </row>
    <row r="12" spans="1:26" ht="15" thickBot="1">
      <c r="A12" s="181" t="s">
        <v>33</v>
      </c>
      <c r="B12" s="264">
        <f>1035000*D4/4</f>
        <v>268401.375</v>
      </c>
      <c r="C12" s="264">
        <f>(4000000*4)*D4/4</f>
        <v>4149200.0000000005</v>
      </c>
      <c r="D12" s="248"/>
      <c r="E12" s="266"/>
      <c r="F12" s="126">
        <f>SUM(B12:E12)</f>
        <v>4417601.375</v>
      </c>
      <c r="G12" s="126">
        <v>1650000</v>
      </c>
      <c r="H12" s="248"/>
      <c r="I12" s="248"/>
      <c r="J12" s="248"/>
      <c r="K12" s="248"/>
      <c r="L12" s="125">
        <f>SUM(F12:K12)</f>
        <v>6067601.375</v>
      </c>
      <c r="M12" s="125">
        <v>13481656</v>
      </c>
      <c r="N12" s="125">
        <v>15000000</v>
      </c>
      <c r="O12" s="125">
        <v>17900000</v>
      </c>
      <c r="P12" s="125">
        <v>17000000</v>
      </c>
      <c r="Q12" s="125">
        <v>21000000</v>
      </c>
      <c r="R12" s="125">
        <v>21150500</v>
      </c>
      <c r="S12" s="125">
        <v>21596520</v>
      </c>
      <c r="T12" s="125">
        <v>21999700</v>
      </c>
      <c r="U12" s="125">
        <f>+L12</f>
        <v>6067601.375</v>
      </c>
      <c r="V12" s="182">
        <f>+(U12-T12)/T12</f>
        <v>-0.724196176538771</v>
      </c>
      <c r="W12" s="215"/>
      <c r="X12" s="153"/>
      <c r="Y12" s="153"/>
      <c r="Z12" s="153"/>
    </row>
    <row r="13" spans="1:26" ht="15">
      <c r="A13" s="180"/>
      <c r="B13" s="124" t="s">
        <v>221</v>
      </c>
      <c r="C13" s="124" t="s">
        <v>52</v>
      </c>
      <c r="D13" s="124" t="s">
        <v>48</v>
      </c>
      <c r="E13" s="244" t="s">
        <v>245</v>
      </c>
      <c r="F13" s="265"/>
      <c r="G13" s="124" t="s">
        <v>221</v>
      </c>
      <c r="H13" s="124" t="s">
        <v>221</v>
      </c>
      <c r="I13" s="124" t="s">
        <v>221</v>
      </c>
      <c r="J13" s="124"/>
      <c r="K13" s="124" t="s">
        <v>221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261"/>
      <c r="W13" s="215"/>
      <c r="X13" s="153"/>
      <c r="Y13" s="153"/>
      <c r="Z13" s="153"/>
    </row>
    <row r="14" spans="1:26" ht="15" thickBot="1">
      <c r="A14" s="181" t="s">
        <v>25</v>
      </c>
      <c r="B14" s="264">
        <f>+(551250*$D$4*12)/4</f>
        <v>1715434.8750000005</v>
      </c>
      <c r="C14" s="264">
        <f>143028*D4*4/4</f>
        <v>148362.9444</v>
      </c>
      <c r="D14" s="303">
        <f>5844000/4</f>
        <v>1461000</v>
      </c>
      <c r="E14" s="264">
        <f>8106000/12*3</f>
        <v>2026500</v>
      </c>
      <c r="F14" s="126">
        <f>SUM(B14:E14)</f>
        <v>5351297.8194</v>
      </c>
      <c r="G14" s="264">
        <f>+(551250*12)*$D$4/4</f>
        <v>1715434.8750000002</v>
      </c>
      <c r="H14" s="264">
        <f>+(551250*12)*$D$4/4</f>
        <v>1715434.8750000002</v>
      </c>
      <c r="I14" s="264">
        <f>+(551250*12)*$D$4/4</f>
        <v>1715434.8750000002</v>
      </c>
      <c r="J14" s="264"/>
      <c r="K14" s="264">
        <f>+(551250*12)*$D$4/4</f>
        <v>1715434.8750000002</v>
      </c>
      <c r="L14" s="125">
        <f>+K14+I14+H14+G14+F14</f>
        <v>12213037.319400001</v>
      </c>
      <c r="M14" s="125">
        <v>14708029</v>
      </c>
      <c r="N14" s="125">
        <v>18319330</v>
      </c>
      <c r="O14" s="125">
        <v>21037738</v>
      </c>
      <c r="P14" s="125">
        <v>24558771</v>
      </c>
      <c r="Q14" s="125">
        <v>28309323.18928</v>
      </c>
      <c r="R14" s="125">
        <v>79142910</v>
      </c>
      <c r="S14" s="125">
        <v>51647654.3248</v>
      </c>
      <c r="T14" s="125">
        <v>47105066.252399996</v>
      </c>
      <c r="U14" s="125">
        <f>+L14</f>
        <v>12213037.319400001</v>
      </c>
      <c r="V14" s="262">
        <f>+(U14-T14)/T14</f>
        <v>-0.7407277328948084</v>
      </c>
      <c r="W14" s="215"/>
      <c r="X14" s="153"/>
      <c r="Y14" s="153"/>
      <c r="Z14" s="153"/>
    </row>
    <row r="15" spans="1:26" ht="15">
      <c r="A15" s="180"/>
      <c r="B15" s="124" t="s">
        <v>53</v>
      </c>
      <c r="C15" s="124" t="s">
        <v>54</v>
      </c>
      <c r="D15" s="124" t="s">
        <v>55</v>
      </c>
      <c r="E15" s="270" t="s">
        <v>56</v>
      </c>
      <c r="F15" s="265"/>
      <c r="G15" s="250"/>
      <c r="H15" s="250"/>
      <c r="I15" s="250"/>
      <c r="J15" s="250"/>
      <c r="K15" s="250"/>
      <c r="L15" s="124"/>
      <c r="M15" s="124"/>
      <c r="N15" s="124"/>
      <c r="O15" s="124"/>
      <c r="P15" s="124"/>
      <c r="Q15" s="124"/>
      <c r="R15" s="251"/>
      <c r="S15" s="124"/>
      <c r="T15" s="124"/>
      <c r="U15" s="124"/>
      <c r="V15" s="183"/>
      <c r="W15" s="215"/>
      <c r="X15" s="153"/>
      <c r="Y15" s="153"/>
      <c r="Z15" s="153"/>
    </row>
    <row r="16" spans="1:26" ht="15" thickBot="1">
      <c r="A16" s="181" t="s">
        <v>34</v>
      </c>
      <c r="B16" s="264">
        <f>8000000/4</f>
        <v>2000000</v>
      </c>
      <c r="C16" s="264">
        <f>3500000/4</f>
        <v>875000</v>
      </c>
      <c r="D16" s="264">
        <f>10000000/4</f>
        <v>2500000</v>
      </c>
      <c r="E16" s="264">
        <f>4000000/4</f>
        <v>1000000</v>
      </c>
      <c r="F16" s="126">
        <f>SUM(B16:E16)</f>
        <v>6375000</v>
      </c>
      <c r="G16" s="264">
        <f>7000000/4</f>
        <v>1750000</v>
      </c>
      <c r="H16" s="264">
        <f>9000000/4</f>
        <v>2250000</v>
      </c>
      <c r="I16" s="264">
        <f>3500000/4</f>
        <v>875000</v>
      </c>
      <c r="J16" s="264">
        <v>420000</v>
      </c>
      <c r="K16" s="126">
        <f>9000000/4</f>
        <v>2250000</v>
      </c>
      <c r="L16" s="125">
        <f>SUM(F16:K16)+G15+H15+I15+K15</f>
        <v>13920000</v>
      </c>
      <c r="M16" s="125">
        <v>38228571</v>
      </c>
      <c r="N16" s="125">
        <v>38054963</v>
      </c>
      <c r="O16" s="125">
        <v>38520000</v>
      </c>
      <c r="P16" s="125">
        <v>50128576</v>
      </c>
      <c r="Q16" s="125">
        <v>51500000</v>
      </c>
      <c r="R16" s="125">
        <v>58683202</v>
      </c>
      <c r="S16" s="125">
        <v>62004654.21479999</v>
      </c>
      <c r="T16" s="125">
        <v>60967511.8519</v>
      </c>
      <c r="U16" s="125">
        <f>+L16</f>
        <v>13920000</v>
      </c>
      <c r="V16" s="182">
        <f>+(U16-T16)/T16</f>
        <v>-0.7716816780416766</v>
      </c>
      <c r="W16" s="215"/>
      <c r="X16" s="153"/>
      <c r="Y16" s="153"/>
      <c r="Z16" s="153"/>
    </row>
    <row r="17" spans="1:26" ht="15" outlineLevel="1">
      <c r="A17" s="180"/>
      <c r="B17" s="124" t="s">
        <v>141</v>
      </c>
      <c r="C17" s="244" t="s">
        <v>57</v>
      </c>
      <c r="D17" s="124"/>
      <c r="E17" s="244"/>
      <c r="F17" s="265"/>
      <c r="G17" s="244"/>
      <c r="H17" s="252"/>
      <c r="I17" s="252"/>
      <c r="J17" s="252"/>
      <c r="K17" s="252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83"/>
      <c r="W17" s="215"/>
      <c r="X17" s="215"/>
      <c r="Y17" s="153"/>
      <c r="Z17" s="153"/>
    </row>
    <row r="18" spans="1:26" ht="15" outlineLevel="1" thickBot="1">
      <c r="A18" s="181" t="s">
        <v>26</v>
      </c>
      <c r="B18" s="264">
        <f>(2836176)*D4*12/4</f>
        <v>8825896.0944</v>
      </c>
      <c r="C18" s="264">
        <f>594449*D4*12/4</f>
        <v>1849865.8431000002</v>
      </c>
      <c r="D18" s="126"/>
      <c r="E18" s="269"/>
      <c r="F18" s="126">
        <f>SUM(B18:E18)</f>
        <v>10675761.9375</v>
      </c>
      <c r="G18" s="126">
        <v>600000</v>
      </c>
      <c r="H18" s="126">
        <v>681975</v>
      </c>
      <c r="I18" s="248"/>
      <c r="J18" s="248"/>
      <c r="K18" s="248"/>
      <c r="L18" s="125">
        <f>SUM(F18:K18)</f>
        <v>11957736.9375</v>
      </c>
      <c r="M18" s="125">
        <v>24826333</v>
      </c>
      <c r="N18" s="125">
        <v>33433111</v>
      </c>
      <c r="O18" s="125">
        <v>32843175</v>
      </c>
      <c r="P18" s="125">
        <v>34479000</v>
      </c>
      <c r="Q18" s="125">
        <v>38333394</v>
      </c>
      <c r="R18" s="125">
        <v>44396456</v>
      </c>
      <c r="S18" s="125">
        <v>44452174.3616</v>
      </c>
      <c r="T18" s="125">
        <v>48466408.5648</v>
      </c>
      <c r="U18" s="125">
        <f>+L18</f>
        <v>11957736.9375</v>
      </c>
      <c r="V18" s="182">
        <f>+(U18-T18)/T18</f>
        <v>-0.7532778414659629</v>
      </c>
      <c r="W18" s="215"/>
      <c r="X18" s="153"/>
      <c r="Y18" s="153"/>
      <c r="Z18" s="153"/>
    </row>
    <row r="19" spans="1:26" ht="15" outlineLevel="1">
      <c r="A19" s="180"/>
      <c r="B19" s="124" t="s">
        <v>58</v>
      </c>
      <c r="C19" s="271"/>
      <c r="D19" s="272"/>
      <c r="E19" s="271"/>
      <c r="F19" s="265"/>
      <c r="G19" s="252"/>
      <c r="H19" s="252"/>
      <c r="I19" s="252"/>
      <c r="J19" s="252"/>
      <c r="K19" s="252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83"/>
      <c r="W19" s="215"/>
      <c r="X19" s="153"/>
      <c r="Y19" s="153"/>
      <c r="Z19" s="153"/>
    </row>
    <row r="20" spans="1:26" ht="15" outlineLevel="1" thickBot="1">
      <c r="A20" s="181" t="s">
        <v>133</v>
      </c>
      <c r="B20" s="264">
        <f>1500000*12/4+2250000</f>
        <v>6750000</v>
      </c>
      <c r="C20" s="266"/>
      <c r="D20" s="248"/>
      <c r="E20" s="266"/>
      <c r="F20" s="126">
        <f>SUM(B20:E20)</f>
        <v>6750000</v>
      </c>
      <c r="G20" s="253">
        <v>50000000</v>
      </c>
      <c r="H20" s="253">
        <v>3000000</v>
      </c>
      <c r="I20" s="253">
        <v>6000000</v>
      </c>
      <c r="J20" s="253">
        <v>3500000</v>
      </c>
      <c r="K20" s="253">
        <v>6500000</v>
      </c>
      <c r="L20" s="125">
        <f>SUM(F20:K20)</f>
        <v>75750000</v>
      </c>
      <c r="M20" s="125">
        <v>8566019</v>
      </c>
      <c r="N20" s="125">
        <v>9353350</v>
      </c>
      <c r="O20" s="125">
        <v>9000000</v>
      </c>
      <c r="P20" s="125">
        <v>179400000</v>
      </c>
      <c r="Q20" s="125">
        <v>204044096</v>
      </c>
      <c r="R20" s="125">
        <v>174560183</v>
      </c>
      <c r="S20" s="125">
        <v>205460000</v>
      </c>
      <c r="T20" s="125">
        <v>232176000</v>
      </c>
      <c r="U20" s="125">
        <f>+L20</f>
        <v>75750000</v>
      </c>
      <c r="V20" s="182">
        <f>+(U20-T20)/T20</f>
        <v>-0.673738887740335</v>
      </c>
      <c r="W20" s="215"/>
      <c r="X20" s="153"/>
      <c r="Y20" s="153"/>
      <c r="Z20" s="153"/>
    </row>
    <row r="21" spans="1:26" ht="15" outlineLevel="1">
      <c r="A21" s="180"/>
      <c r="B21" s="124" t="s">
        <v>135</v>
      </c>
      <c r="C21" s="244" t="s">
        <v>134</v>
      </c>
      <c r="D21" s="252"/>
      <c r="E21" s="271"/>
      <c r="F21" s="265"/>
      <c r="G21" s="252"/>
      <c r="H21" s="252"/>
      <c r="I21" s="252"/>
      <c r="J21" s="252"/>
      <c r="K21" s="252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83"/>
      <c r="W21" s="215"/>
      <c r="X21" s="153"/>
      <c r="Y21" s="153"/>
      <c r="Z21" s="153"/>
    </row>
    <row r="22" spans="1:26" ht="15" outlineLevel="1" thickBot="1">
      <c r="A22" s="181" t="s">
        <v>112</v>
      </c>
      <c r="B22" s="264">
        <f>7500000*D4/4</f>
        <v>1944937.5000000002</v>
      </c>
      <c r="C22" s="264"/>
      <c r="D22" s="248"/>
      <c r="E22" s="266"/>
      <c r="F22" s="126">
        <f>SUM(B22:E22)</f>
        <v>1944937.5000000002</v>
      </c>
      <c r="G22" s="253">
        <f>12000000/4</f>
        <v>3000000</v>
      </c>
      <c r="H22" s="253">
        <v>5684116</v>
      </c>
      <c r="I22" s="253"/>
      <c r="J22" s="253"/>
      <c r="K22" s="253"/>
      <c r="L22" s="126">
        <f>SUM(F22:K22)</f>
        <v>10629053.5</v>
      </c>
      <c r="M22" s="127">
        <v>21111853</v>
      </c>
      <c r="N22" s="125">
        <v>20000000</v>
      </c>
      <c r="O22" s="125">
        <v>47100000</v>
      </c>
      <c r="P22" s="125">
        <f>+'[5]RES'!$J$34</f>
        <v>62130000</v>
      </c>
      <c r="Q22" s="125">
        <v>64295800</v>
      </c>
      <c r="R22" s="125">
        <v>44851839</v>
      </c>
      <c r="S22" s="125">
        <v>40170873</v>
      </c>
      <c r="T22" s="125">
        <v>46034945.804192</v>
      </c>
      <c r="U22" s="125">
        <f>+L22</f>
        <v>10629053.5</v>
      </c>
      <c r="V22" s="182">
        <f>+(U22-T22)/T22</f>
        <v>-0.7691090254518752</v>
      </c>
      <c r="W22" s="215"/>
      <c r="X22" s="153"/>
      <c r="Y22" s="153"/>
      <c r="Z22" s="153"/>
    </row>
    <row r="23" spans="1:26" ht="15" outlineLevel="1">
      <c r="A23" s="180"/>
      <c r="B23" s="124" t="s">
        <v>244</v>
      </c>
      <c r="C23" s="244"/>
      <c r="D23" s="124"/>
      <c r="E23" s="271"/>
      <c r="F23" s="265"/>
      <c r="G23" s="252"/>
      <c r="H23" s="252"/>
      <c r="I23" s="252"/>
      <c r="J23" s="252"/>
      <c r="K23" s="252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83"/>
      <c r="W23" s="215"/>
      <c r="X23" s="153"/>
      <c r="Y23" s="153"/>
      <c r="Z23" s="153"/>
    </row>
    <row r="24" spans="1:26" ht="15" outlineLevel="1" thickBot="1">
      <c r="A24" s="181" t="s">
        <v>27</v>
      </c>
      <c r="B24" s="264">
        <f>25000000/4</f>
        <v>6250000</v>
      </c>
      <c r="C24" s="269"/>
      <c r="D24" s="126"/>
      <c r="E24" s="266"/>
      <c r="F24" s="126">
        <f>SUM(B24:E24)</f>
        <v>6250000</v>
      </c>
      <c r="G24" s="253">
        <v>15000000</v>
      </c>
      <c r="H24" s="253">
        <v>9241029</v>
      </c>
      <c r="I24" s="253">
        <f>8210000/4</f>
        <v>2052500</v>
      </c>
      <c r="J24" s="253">
        <v>2000000</v>
      </c>
      <c r="K24" s="253">
        <f>10000000*D4/4</f>
        <v>2593250.0000000005</v>
      </c>
      <c r="L24" s="126">
        <f>SUM(F24:K24)</f>
        <v>37136779</v>
      </c>
      <c r="M24" s="126">
        <v>41213743</v>
      </c>
      <c r="N24" s="126">
        <v>28251650</v>
      </c>
      <c r="O24" s="126">
        <v>63480000</v>
      </c>
      <c r="P24" s="126">
        <f>+'[5]RES'!$J$35</f>
        <v>84000000</v>
      </c>
      <c r="Q24" s="126">
        <v>91000000</v>
      </c>
      <c r="R24" s="126">
        <v>119800000</v>
      </c>
      <c r="S24" s="126">
        <v>114328306</v>
      </c>
      <c r="T24" s="125">
        <v>133687645.59616</v>
      </c>
      <c r="U24" s="125">
        <f>+L24</f>
        <v>37136779</v>
      </c>
      <c r="V24" s="182">
        <f>+(U24-T24)/T24</f>
        <v>-0.722212334323085</v>
      </c>
      <c r="W24" s="215"/>
      <c r="X24" s="153"/>
      <c r="Y24" s="153"/>
      <c r="Z24" s="153"/>
    </row>
    <row r="25" spans="1:26" ht="15" outlineLevel="1">
      <c r="A25" s="180"/>
      <c r="B25" s="124" t="s">
        <v>59</v>
      </c>
      <c r="C25" s="244" t="s">
        <v>60</v>
      </c>
      <c r="D25" s="252"/>
      <c r="E25" s="271"/>
      <c r="F25" s="265"/>
      <c r="G25" s="252"/>
      <c r="H25" s="252"/>
      <c r="I25" s="252"/>
      <c r="J25" s="252"/>
      <c r="K25" s="252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83"/>
      <c r="W25" s="215"/>
      <c r="X25" s="153"/>
      <c r="Y25" s="153"/>
      <c r="Z25" s="153"/>
    </row>
    <row r="26" spans="1:26" ht="15" outlineLevel="1" thickBot="1">
      <c r="A26" s="181" t="s">
        <v>30</v>
      </c>
      <c r="B26" s="264">
        <f>3000000*D4/4</f>
        <v>777975.0000000001</v>
      </c>
      <c r="C26" s="264">
        <f>520000*D4/4</f>
        <v>134849</v>
      </c>
      <c r="D26" s="126"/>
      <c r="E26" s="266"/>
      <c r="F26" s="126">
        <f>SUM(B26:E26)</f>
        <v>912824.0000000001</v>
      </c>
      <c r="G26" s="264">
        <v>600000</v>
      </c>
      <c r="H26" s="126">
        <v>800000</v>
      </c>
      <c r="I26" s="126">
        <v>540000</v>
      </c>
      <c r="J26" s="126">
        <f>2200000/4</f>
        <v>550000</v>
      </c>
      <c r="K26" s="126">
        <f>2200000/4</f>
        <v>550000</v>
      </c>
      <c r="L26" s="126">
        <f>SUM(F26:K26)</f>
        <v>3952824</v>
      </c>
      <c r="M26" s="127">
        <v>2386400</v>
      </c>
      <c r="N26" s="125">
        <v>3032800</v>
      </c>
      <c r="O26" s="125">
        <v>3185000</v>
      </c>
      <c r="P26" s="125">
        <v>4000000</v>
      </c>
      <c r="Q26" s="125">
        <v>4500000</v>
      </c>
      <c r="R26" s="125">
        <v>4500000</v>
      </c>
      <c r="S26" s="125">
        <v>4609200</v>
      </c>
      <c r="T26" s="125">
        <v>4655100</v>
      </c>
      <c r="U26" s="125">
        <f>+L26</f>
        <v>3952824</v>
      </c>
      <c r="V26" s="182">
        <f>+(U26-T26)/T26</f>
        <v>-0.15086163562544305</v>
      </c>
      <c r="W26" s="215"/>
      <c r="X26" s="153"/>
      <c r="Y26" s="153"/>
      <c r="Z26" s="153"/>
    </row>
    <row r="27" spans="1:26" ht="15" outlineLevel="1">
      <c r="A27" s="180"/>
      <c r="B27" s="124" t="s">
        <v>61</v>
      </c>
      <c r="C27" s="244" t="s">
        <v>62</v>
      </c>
      <c r="D27" s="273" t="s">
        <v>199</v>
      </c>
      <c r="E27" s="271"/>
      <c r="F27" s="265"/>
      <c r="G27" s="244"/>
      <c r="H27" s="252"/>
      <c r="I27" s="252"/>
      <c r="J27" s="252"/>
      <c r="K27" s="252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83"/>
      <c r="W27" s="215"/>
      <c r="X27" s="153"/>
      <c r="Y27" s="153"/>
      <c r="Z27" s="153"/>
    </row>
    <row r="28" spans="1:26" ht="15" outlineLevel="1" thickBot="1">
      <c r="A28" s="181" t="s">
        <v>35</v>
      </c>
      <c r="B28" s="126">
        <v>6500000</v>
      </c>
      <c r="C28" s="264">
        <f>2000000/4</f>
        <v>500000</v>
      </c>
      <c r="D28" s="264">
        <f>5000000/4</f>
        <v>1250000</v>
      </c>
      <c r="E28" s="266"/>
      <c r="F28" s="126">
        <f>SUM(B28:E28)</f>
        <v>8250000</v>
      </c>
      <c r="G28" s="264">
        <v>9000000</v>
      </c>
      <c r="H28" s="264">
        <v>1000000</v>
      </c>
      <c r="I28" s="126"/>
      <c r="J28" s="126">
        <v>12000000</v>
      </c>
      <c r="K28" s="248"/>
      <c r="L28" s="125">
        <f>SUM(F28:K28)</f>
        <v>30250000</v>
      </c>
      <c r="M28" s="125">
        <v>29501988</v>
      </c>
      <c r="N28" s="125">
        <v>21914847</v>
      </c>
      <c r="O28" s="125">
        <v>16000000</v>
      </c>
      <c r="P28" s="125">
        <v>15500000</v>
      </c>
      <c r="Q28" s="125">
        <v>46500000</v>
      </c>
      <c r="R28" s="125">
        <v>87096252</v>
      </c>
      <c r="S28" s="125">
        <v>75200000</v>
      </c>
      <c r="T28" s="125">
        <v>71505410.80236</v>
      </c>
      <c r="U28" s="125">
        <f>+L28</f>
        <v>30250000</v>
      </c>
      <c r="V28" s="182">
        <f>+(U28-T28)/T28</f>
        <v>-0.5769550910823994</v>
      </c>
      <c r="W28" s="215"/>
      <c r="X28" s="153"/>
      <c r="Y28" s="153"/>
      <c r="Z28" s="153"/>
    </row>
    <row r="29" spans="1:26" ht="15" outlineLevel="1">
      <c r="A29" s="180"/>
      <c r="B29" s="124" t="s">
        <v>63</v>
      </c>
      <c r="C29" s="244" t="s">
        <v>138</v>
      </c>
      <c r="D29" s="124" t="s">
        <v>139</v>
      </c>
      <c r="E29" s="244"/>
      <c r="F29" s="265"/>
      <c r="G29" s="252"/>
      <c r="H29" s="252"/>
      <c r="I29" s="252"/>
      <c r="J29" s="252"/>
      <c r="K29" s="252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83"/>
      <c r="W29" s="215"/>
      <c r="X29" s="153"/>
      <c r="Y29" s="153"/>
      <c r="Z29" s="153"/>
    </row>
    <row r="30" spans="1:26" ht="15" outlineLevel="1" thickBot="1">
      <c r="A30" s="181" t="s">
        <v>36</v>
      </c>
      <c r="B30" s="264">
        <f>12400000*D4/4</f>
        <v>3215630.0000000005</v>
      </c>
      <c r="C30" s="264">
        <f>4150000*D4/4</f>
        <v>1076198.75</v>
      </c>
      <c r="D30" s="264">
        <f>(420000*5)*D4/4</f>
        <v>544582.5</v>
      </c>
      <c r="E30" s="269"/>
      <c r="F30" s="126">
        <f>SUM(B30:E30)</f>
        <v>4836411.25</v>
      </c>
      <c r="G30" s="248"/>
      <c r="H30" s="248"/>
      <c r="I30" s="248"/>
      <c r="J30" s="248"/>
      <c r="K30" s="248"/>
      <c r="L30" s="125">
        <f>SUM(F30:K30)</f>
        <v>4836411.25</v>
      </c>
      <c r="M30" s="125">
        <v>6804508</v>
      </c>
      <c r="N30" s="125">
        <v>10425298</v>
      </c>
      <c r="O30" s="125">
        <v>10400000</v>
      </c>
      <c r="P30" s="125">
        <v>13400000</v>
      </c>
      <c r="Q30" s="125">
        <v>14073000</v>
      </c>
      <c r="R30" s="125">
        <v>18000000</v>
      </c>
      <c r="S30" s="125">
        <v>18655200</v>
      </c>
      <c r="T30" s="125">
        <v>18570600</v>
      </c>
      <c r="U30" s="125">
        <f>+L30</f>
        <v>4836411.25</v>
      </c>
      <c r="V30" s="182">
        <f>+(U30-T30)/T30</f>
        <v>-0.7395662364167017</v>
      </c>
      <c r="W30" s="215"/>
      <c r="X30" s="153"/>
      <c r="Y30" s="153"/>
      <c r="Z30" s="153"/>
    </row>
    <row r="31" spans="1:26" ht="15" outlineLevel="1">
      <c r="A31" s="180"/>
      <c r="B31" s="124" t="s">
        <v>64</v>
      </c>
      <c r="C31" s="271"/>
      <c r="D31" s="252"/>
      <c r="E31" s="271"/>
      <c r="F31" s="265"/>
      <c r="G31" s="124"/>
      <c r="H31" s="252"/>
      <c r="I31" s="252"/>
      <c r="J31" s="252"/>
      <c r="K31" s="252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83"/>
      <c r="W31" s="215"/>
      <c r="X31" s="153"/>
      <c r="Y31" s="153"/>
      <c r="Z31" s="153"/>
    </row>
    <row r="32" spans="1:26" ht="15" outlineLevel="1" thickBot="1">
      <c r="A32" s="181" t="s">
        <v>37</v>
      </c>
      <c r="B32" s="264">
        <v>20000000</v>
      </c>
      <c r="C32" s="266"/>
      <c r="D32" s="248"/>
      <c r="E32" s="266"/>
      <c r="F32" s="126">
        <f>SUM(B32:E32)</f>
        <v>20000000</v>
      </c>
      <c r="G32" s="264">
        <v>14000000</v>
      </c>
      <c r="H32" s="126"/>
      <c r="I32" s="126"/>
      <c r="J32" s="126"/>
      <c r="K32" s="126"/>
      <c r="L32" s="125">
        <f>SUM(F32:K32)</f>
        <v>34000000</v>
      </c>
      <c r="M32" s="125">
        <v>40939829</v>
      </c>
      <c r="N32" s="125">
        <v>37962215</v>
      </c>
      <c r="O32" s="125">
        <v>42000000</v>
      </c>
      <c r="P32" s="125">
        <v>93000000</v>
      </c>
      <c r="Q32" s="125">
        <v>110000000</v>
      </c>
      <c r="R32" s="125">
        <v>95000000</v>
      </c>
      <c r="S32" s="125">
        <v>93057937</v>
      </c>
      <c r="T32" s="125">
        <v>88000000</v>
      </c>
      <c r="U32" s="125">
        <f>+L32</f>
        <v>34000000</v>
      </c>
      <c r="V32" s="182">
        <f>+(U32-T32)/T32</f>
        <v>-0.6136363636363636</v>
      </c>
      <c r="W32" s="215"/>
      <c r="X32" s="153"/>
      <c r="Y32" s="153"/>
      <c r="Z32" s="153"/>
    </row>
    <row r="33" spans="1:26" ht="15" outlineLevel="1">
      <c r="A33" s="180"/>
      <c r="B33" s="124" t="s">
        <v>195</v>
      </c>
      <c r="C33" s="263" t="s">
        <v>196</v>
      </c>
      <c r="D33" s="124" t="s">
        <v>197</v>
      </c>
      <c r="E33" s="271"/>
      <c r="F33" s="265"/>
      <c r="G33" s="252"/>
      <c r="H33" s="252"/>
      <c r="I33" s="252"/>
      <c r="J33" s="252"/>
      <c r="K33" s="252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83"/>
      <c r="W33" s="215"/>
      <c r="X33" s="153"/>
      <c r="Y33" s="153"/>
      <c r="Z33" s="153"/>
    </row>
    <row r="34" spans="1:26" ht="15" outlineLevel="1" thickBot="1">
      <c r="A34" s="181" t="s">
        <v>38</v>
      </c>
      <c r="B34" s="264">
        <v>0</v>
      </c>
      <c r="C34" s="264">
        <v>0</v>
      </c>
      <c r="D34" s="264">
        <v>0</v>
      </c>
      <c r="E34" s="266"/>
      <c r="F34" s="126">
        <f>SUM(B34:E34)</f>
        <v>0</v>
      </c>
      <c r="G34" s="248"/>
      <c r="H34" s="248"/>
      <c r="I34" s="248"/>
      <c r="J34" s="248"/>
      <c r="K34" s="248"/>
      <c r="L34" s="125">
        <f>SUM(F34:K34)</f>
        <v>0</v>
      </c>
      <c r="M34" s="127">
        <v>11545969</v>
      </c>
      <c r="N34" s="127">
        <v>11776888</v>
      </c>
      <c r="O34" s="127">
        <v>15000000</v>
      </c>
      <c r="P34" s="125">
        <v>19000000</v>
      </c>
      <c r="Q34" s="125">
        <v>19000000</v>
      </c>
      <c r="R34" s="125">
        <v>32700000</v>
      </c>
      <c r="S34" s="125">
        <v>34335000</v>
      </c>
      <c r="T34" s="125">
        <v>31186455</v>
      </c>
      <c r="U34" s="125">
        <f>+L34</f>
        <v>0</v>
      </c>
      <c r="V34" s="182">
        <f>+(U34-T34)/T34</f>
        <v>-1</v>
      </c>
      <c r="W34" s="215"/>
      <c r="X34" s="153"/>
      <c r="Y34" s="153"/>
      <c r="Z34" s="153"/>
    </row>
    <row r="35" spans="1:26" ht="15.75" thickBot="1">
      <c r="A35" s="446" t="s">
        <v>65</v>
      </c>
      <c r="B35" s="447"/>
      <c r="C35" s="447"/>
      <c r="D35" s="447"/>
      <c r="E35" s="447"/>
      <c r="F35" s="128">
        <f>SUM(F8:F34)</f>
        <v>98495783.8819</v>
      </c>
      <c r="G35" s="176">
        <f>+G32+G28+G26+G24+G22+G20+G18+G16+G12+G15+G14+G8</f>
        <v>104244714.875</v>
      </c>
      <c r="H35" s="176">
        <f>SUM(H8,H10,H12,H14,H16,H18,H20,H22,H24,H26,H28,H30,H32,H34)+H15</f>
        <v>24504980.875</v>
      </c>
      <c r="I35" s="176">
        <f>SUM(I8,I10,I12,I14,I16,I18,I20,I22,I24,I26,I28,I30,I32,I34)+I15</f>
        <v>11588314.875</v>
      </c>
      <c r="J35" s="176">
        <f>SUM(J8:J34)</f>
        <v>20161821</v>
      </c>
      <c r="K35" s="176">
        <f>SUM(K8,K10,K12,K14,K16,K18,K20,K22,K24,K26,K28,K30,K32,K34)+K15</f>
        <v>13608684.875</v>
      </c>
      <c r="L35" s="176">
        <f>+L34+L32+L30+L28+L26+L24+L22+L20+L18+L16+L14+L12+L10+L8</f>
        <v>272604300.3819</v>
      </c>
      <c r="M35" s="129">
        <f>SUM(M8:M34)</f>
        <v>283163969</v>
      </c>
      <c r="N35" s="129">
        <f>SUM(N8:N34)</f>
        <v>284221363</v>
      </c>
      <c r="O35" s="129">
        <f>SUM(O7:O34)</f>
        <v>373889913</v>
      </c>
      <c r="P35" s="141">
        <f>SUM(P7:P34)</f>
        <v>651341547</v>
      </c>
      <c r="Q35" s="140">
        <f>SUM(Q8:Q34)</f>
        <v>852485682.55918</v>
      </c>
      <c r="R35" s="193">
        <f>SUM(R8:R34)</f>
        <v>833607559</v>
      </c>
      <c r="S35" s="193">
        <f>SUM(S8:S34)</f>
        <v>838314535.5252</v>
      </c>
      <c r="T35" s="193">
        <f>SUM(T8:T34)</f>
        <v>905234987.087812</v>
      </c>
      <c r="U35" s="193">
        <f>SUM(U8:U34)</f>
        <v>272604300.3819</v>
      </c>
      <c r="V35" s="256">
        <f>+(U35-T35)/T35</f>
        <v>-0.6988579713883107</v>
      </c>
      <c r="W35" s="215"/>
      <c r="X35" s="153"/>
      <c r="Y35" s="153"/>
      <c r="Z35" s="153"/>
    </row>
    <row r="36" spans="1:26" ht="16.5">
      <c r="A36" s="236"/>
      <c r="B36" s="236"/>
      <c r="C36" s="237"/>
      <c r="D36" s="190"/>
      <c r="E36" s="190"/>
      <c r="F36" s="190"/>
      <c r="G36" s="190"/>
      <c r="H36" s="190"/>
      <c r="I36" s="190"/>
      <c r="J36" s="190"/>
      <c r="K36" s="190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8"/>
      <c r="X36" s="153"/>
      <c r="Y36" s="153"/>
      <c r="Z36" s="153"/>
    </row>
    <row r="37" spans="1:26" ht="16.5">
      <c r="A37" s="236"/>
      <c r="B37" s="236"/>
      <c r="C37" s="237"/>
      <c r="D37" s="190"/>
      <c r="E37" s="190"/>
      <c r="F37" s="190"/>
      <c r="G37" s="190"/>
      <c r="H37" s="190"/>
      <c r="I37" s="190"/>
      <c r="J37" s="190"/>
      <c r="K37" s="190"/>
      <c r="L37" s="236"/>
      <c r="M37" s="236">
        <v>5739998.8</v>
      </c>
      <c r="N37" s="236">
        <v>58683202.145828575</v>
      </c>
      <c r="O37" s="236">
        <v>38228571</v>
      </c>
      <c r="P37" s="236">
        <v>38054963</v>
      </c>
      <c r="Q37" s="236">
        <v>38520000</v>
      </c>
      <c r="R37" s="236"/>
      <c r="S37" s="236"/>
      <c r="T37" s="236"/>
      <c r="U37" s="236"/>
      <c r="V37" s="236"/>
      <c r="W37" s="238"/>
      <c r="X37" s="153"/>
      <c r="Y37" s="153"/>
      <c r="Z37" s="153"/>
    </row>
    <row r="38" spans="1:26" ht="16.5">
      <c r="A38" s="188"/>
      <c r="B38" s="188"/>
      <c r="C38" s="189"/>
      <c r="D38" s="190"/>
      <c r="E38" s="190"/>
      <c r="F38" s="191"/>
      <c r="G38" s="190"/>
      <c r="H38" s="190"/>
      <c r="I38" s="190"/>
      <c r="J38" s="190"/>
      <c r="K38" s="190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53"/>
      <c r="X38" s="153"/>
      <c r="Y38" s="153"/>
      <c r="Z38" s="153"/>
    </row>
    <row r="39" spans="1:26" ht="16.5">
      <c r="A39" s="188"/>
      <c r="B39" s="188"/>
      <c r="C39" s="189"/>
      <c r="D39" s="190"/>
      <c r="E39" s="190"/>
      <c r="F39" s="191"/>
      <c r="G39" s="191"/>
      <c r="H39" s="191"/>
      <c r="I39" s="191"/>
      <c r="J39" s="191"/>
      <c r="K39" s="191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53"/>
      <c r="X39" s="153"/>
      <c r="Y39" s="153"/>
      <c r="Z39" s="153"/>
    </row>
    <row r="40" spans="1:26" ht="16.5">
      <c r="A40" s="188"/>
      <c r="B40" s="188"/>
      <c r="C40" s="189"/>
      <c r="D40" s="190"/>
      <c r="E40" s="190"/>
      <c r="F40" s="191"/>
      <c r="G40" s="191"/>
      <c r="H40" s="191"/>
      <c r="I40" s="191"/>
      <c r="J40" s="191"/>
      <c r="K40" s="191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53"/>
      <c r="X40" s="153"/>
      <c r="Y40" s="153"/>
      <c r="Z40" s="153"/>
    </row>
    <row r="41" spans="1:26" ht="16.5">
      <c r="A41" s="188"/>
      <c r="B41" s="188"/>
      <c r="C41" s="191"/>
      <c r="D41" s="190"/>
      <c r="E41" s="190"/>
      <c r="F41" s="190"/>
      <c r="G41" s="190"/>
      <c r="H41" s="190"/>
      <c r="I41" s="190"/>
      <c r="J41" s="190"/>
      <c r="K41" s="190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53"/>
      <c r="X41" s="153"/>
      <c r="Y41" s="153"/>
      <c r="Z41" s="153"/>
    </row>
    <row r="42" spans="1:22" ht="16.5">
      <c r="A42" s="188"/>
      <c r="B42" s="188"/>
      <c r="C42" s="191"/>
      <c r="D42" s="192"/>
      <c r="E42" s="191"/>
      <c r="F42" s="191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</row>
    <row r="43" spans="1:22" ht="16.5">
      <c r="A43" s="188"/>
      <c r="B43" s="188"/>
      <c r="C43" s="10"/>
      <c r="D43" s="10"/>
      <c r="E43" s="10"/>
      <c r="F43" s="10"/>
      <c r="G43" s="7"/>
      <c r="H43" s="7"/>
      <c r="I43" s="7"/>
      <c r="J43" s="7"/>
      <c r="K43" s="7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6.5">
      <c r="A44" s="7"/>
      <c r="B44" s="7"/>
      <c r="C44" s="10"/>
      <c r="D44" s="10"/>
      <c r="E44" s="10"/>
      <c r="F44" s="10"/>
      <c r="G44" s="7"/>
      <c r="H44" s="7"/>
      <c r="I44" s="7"/>
      <c r="J44" s="7"/>
      <c r="K44" s="7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6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6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1:12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1:12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1:12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1:12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1:12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1:12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1:12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1:12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1:12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1:12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1:12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1:12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1:12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1:12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1:12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1:12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1:12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1:12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1:12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1:12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1:12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1:12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1:12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1:12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1:12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1:12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1:12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1:12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1:12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1:12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1:12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1:12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1:12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1:12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1:12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1:12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1:12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1:12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1:12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1:12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1:12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1:12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1:12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1:12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1:12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1:12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1:12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1:12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1:12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1:12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1:12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1:12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1:12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1:12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1:12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1:12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1:12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1:12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1:12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1:12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1:12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1:12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1:12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1:12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1:12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1:12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1:12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1:12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1:12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1:12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1:12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1:12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1:12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1:12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1:12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1:12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1:12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1:12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1:12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1:12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1:12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1:12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1:12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1:12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1:12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1:12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1:12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1:12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1:12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1:12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1:12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1:12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1:12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1:12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1:12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1:12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1:12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1:12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1:12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1:12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1:12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1:12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1:12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1:12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1:12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1:12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1:12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1:12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1:12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1:12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1:12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1:12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1:12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1:12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1:12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1:12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1:12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1:12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1:12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1:12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1:12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1:12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1:12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1:12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1:12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1:12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1:12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1:12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1:12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1:12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1:12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1:12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1:12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1:12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1:12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1:12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1:12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1:12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1:12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1:12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1:12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1:12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1:12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1:12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1:12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1:12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1:12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1:12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1:12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1:12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1:12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1:12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1:12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1:12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1:12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1:12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1:12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1:12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1:12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1:12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</row>
    <row r="1163" spans="1:12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</row>
    <row r="1164" spans="1:12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1:12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</row>
    <row r="1166" spans="1:12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</row>
    <row r="1167" spans="1:12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</row>
    <row r="1168" spans="1:12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1:12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1:12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</row>
    <row r="1171" spans="1:12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</row>
    <row r="1172" spans="1:12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</row>
    <row r="1173" spans="1:12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</row>
    <row r="1174" spans="1:12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</row>
    <row r="1175" spans="1:12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1:12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</row>
    <row r="1177" spans="1:12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</row>
    <row r="1178" spans="1:12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1:12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1:12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1:12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1:12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1:12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1:12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1:12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1:12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1:12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</row>
    <row r="1188" spans="1:12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1:12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1:12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1:12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1:12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1:12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1:12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1:12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1:12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1:12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1:12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1:12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1:12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1:12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1:12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1:12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1:12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1:12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1:12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1:12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1:12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1:12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1:12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1:12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1:12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1:12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1:12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1:12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1:12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1:12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1:12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1:12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1:12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1:12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  <row r="1222" spans="1:12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</row>
    <row r="1223" spans="1:12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</row>
    <row r="1224" spans="1:12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1:12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1:12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</row>
    <row r="1227" spans="1:12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</row>
    <row r="1228" spans="1:12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1:12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</row>
    <row r="1230" spans="1:12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</row>
    <row r="1231" spans="1:12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</row>
    <row r="1232" spans="1:12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</row>
    <row r="1233" spans="1:12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</row>
    <row r="1234" spans="1:12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</row>
    <row r="1235" spans="1:12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</row>
    <row r="1236" spans="1:12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</row>
    <row r="1237" spans="1:12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1:12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1:12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</row>
    <row r="1240" spans="1:12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</row>
    <row r="1241" spans="1:12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</row>
    <row r="1242" spans="1:12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</row>
    <row r="1243" spans="1:12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</row>
    <row r="1244" spans="1:12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</row>
    <row r="1245" spans="1:12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</row>
    <row r="1246" spans="1:12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</row>
    <row r="1247" spans="1:12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</row>
    <row r="1248" spans="1:12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</row>
    <row r="1249" spans="1:12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</row>
    <row r="1250" spans="1:12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</row>
    <row r="1251" spans="1:12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</row>
    <row r="1252" spans="1:12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1:12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1:12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</row>
    <row r="1255" spans="1:12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56" spans="1:12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1:12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</row>
    <row r="1258" spans="1:12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</row>
    <row r="1259" spans="1:12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</row>
    <row r="1260" spans="1:12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</row>
    <row r="1261" spans="1:12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</row>
    <row r="1262" spans="1:12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</row>
    <row r="1263" spans="1:12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1:12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1:12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</row>
    <row r="1266" spans="1:12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</row>
    <row r="1267" spans="1:12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1:12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</row>
    <row r="1269" spans="1:12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</row>
    <row r="1270" spans="1:12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</row>
    <row r="1271" spans="1:12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</row>
    <row r="1272" spans="1:12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</row>
    <row r="1273" spans="1:12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</row>
    <row r="1274" spans="1:12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</row>
    <row r="1275" spans="1:12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</row>
    <row r="1276" spans="1:12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</row>
    <row r="1277" spans="1:12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</row>
    <row r="1278" spans="1:12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1:12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</row>
    <row r="1280" spans="1:12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</row>
    <row r="1281" spans="1:12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</row>
    <row r="1282" spans="1:12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</row>
    <row r="1283" spans="1:12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</row>
    <row r="1284" spans="1:12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</row>
    <row r="1285" spans="1:12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</row>
    <row r="1286" spans="1:12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</row>
    <row r="1287" spans="1:12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</row>
    <row r="1288" spans="1:12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</row>
    <row r="1289" spans="1:12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</row>
    <row r="1290" spans="1:12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</row>
    <row r="1291" spans="1:12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</row>
    <row r="1292" spans="1:12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</row>
    <row r="1293" spans="1:12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</row>
    <row r="1294" spans="1:12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</row>
    <row r="1295" spans="1:12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1:12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1:12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</row>
    <row r="1298" spans="1:12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1:12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1:12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</row>
    <row r="1301" spans="1:12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</row>
    <row r="1302" spans="1:12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</row>
    <row r="1303" spans="1:12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</row>
    <row r="1304" spans="1:12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</row>
    <row r="1305" spans="1:12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</row>
    <row r="1306" spans="1:12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1:12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1:12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</row>
    <row r="1309" spans="1:12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</row>
    <row r="1310" spans="1:12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</row>
    <row r="1311" spans="1:12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</row>
    <row r="1312" spans="1:12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1:12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</row>
    <row r="1314" spans="1:12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</row>
    <row r="1315" spans="1:12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</row>
    <row r="1316" spans="1:12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</row>
    <row r="1317" spans="1:12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</row>
    <row r="1318" spans="1:12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1:12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1:12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</row>
    <row r="1321" spans="1:12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</row>
    <row r="1322" spans="1:12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1:12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</row>
    <row r="1324" spans="1:12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</row>
    <row r="1325" spans="1:12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</row>
    <row r="1326" spans="1:12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</row>
    <row r="1327" spans="1:12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</row>
    <row r="1328" spans="1:12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</row>
    <row r="1329" spans="1:12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</row>
    <row r="1330" spans="1:12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</row>
    <row r="1331" spans="1:12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</row>
    <row r="1332" spans="1:12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1:12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</row>
    <row r="1334" spans="1:12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</row>
    <row r="1335" spans="1:12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</row>
    <row r="1336" spans="1:12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</row>
    <row r="1337" spans="1:12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1:12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1:12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1:12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1:12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1:12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1:12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1:12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1:12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1:12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1:12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1:12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1:12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1:12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1:12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1:12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</row>
    <row r="1353" spans="1:12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1:12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1:12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1:12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1:12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12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12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12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  <row r="1386" spans="1:12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</row>
    <row r="1387" spans="1:12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</row>
    <row r="1388" spans="1:12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</row>
    <row r="1389" spans="1:12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</row>
    <row r="1390" spans="1:12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</row>
    <row r="1391" spans="1:12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</row>
    <row r="1392" spans="1:12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</row>
    <row r="1393" spans="1:12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1:12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5" spans="1:12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</row>
    <row r="1396" spans="1:12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</row>
    <row r="1397" spans="1:12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1:12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</row>
    <row r="1399" spans="1:12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</row>
    <row r="1400" spans="1:12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</row>
    <row r="1401" spans="1:12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</row>
    <row r="1402" spans="1:12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</row>
    <row r="1403" spans="1:12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</row>
    <row r="1404" spans="1:12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</row>
    <row r="1405" spans="1:12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</row>
    <row r="1406" spans="1:12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1:12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1:12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</row>
    <row r="1409" spans="1:12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</row>
    <row r="1410" spans="1:12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1:12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</row>
    <row r="1412" spans="1:12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</row>
    <row r="1413" spans="1:12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</row>
    <row r="1414" spans="1:12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</row>
    <row r="1415" spans="1:12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</row>
    <row r="1416" spans="1:12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</row>
    <row r="1417" spans="1:12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</row>
    <row r="1418" spans="1:12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</row>
    <row r="1419" spans="1:12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</row>
    <row r="1420" spans="1:12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</row>
    <row r="1421" spans="1:12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</row>
    <row r="1422" spans="1:12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</row>
    <row r="1423" spans="1:12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</row>
    <row r="1424" spans="1:12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</row>
    <row r="1425" spans="1:12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</row>
    <row r="1426" spans="1:12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</row>
    <row r="1427" spans="1:12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</row>
    <row r="1428" spans="1:12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</row>
    <row r="1429" spans="1:12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</row>
    <row r="1430" spans="1:12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</row>
    <row r="1431" spans="1:12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</row>
    <row r="1432" spans="1:12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</row>
    <row r="1433" spans="1:12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</row>
    <row r="1434" spans="1:12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</row>
    <row r="1435" spans="1:12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</row>
    <row r="1436" spans="1:12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</row>
    <row r="1437" spans="1:12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</row>
    <row r="1438" spans="1:12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</row>
    <row r="1439" spans="1:12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</row>
    <row r="1440" spans="1:12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</row>
    <row r="1441" spans="1:12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</row>
    <row r="1442" spans="1:12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</row>
    <row r="1443" spans="1:12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</row>
    <row r="1444" spans="1:12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</row>
    <row r="1445" spans="1:12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</row>
    <row r="1446" spans="1:12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</row>
    <row r="1447" spans="1:12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</row>
    <row r="1448" spans="1:12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</row>
    <row r="1449" spans="1:12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</row>
    <row r="1450" spans="1:12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</row>
    <row r="1451" spans="1:12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</row>
    <row r="1452" spans="1:12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</row>
    <row r="1453" spans="1:12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</row>
    <row r="1454" spans="1:12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</row>
    <row r="1455" spans="1:12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</row>
    <row r="1456" spans="1:12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</row>
    <row r="1457" spans="1:12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</row>
    <row r="1458" spans="1:12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</row>
    <row r="1459" spans="1:12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</row>
    <row r="1460" spans="1:12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</row>
    <row r="1461" spans="1:12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</row>
    <row r="1462" spans="1:12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</row>
    <row r="1463" spans="1:12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</row>
    <row r="1464" spans="1:12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1:12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1:12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</row>
    <row r="1467" spans="1:12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</row>
    <row r="1468" spans="1:12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1:12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</row>
    <row r="1470" spans="1:12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</row>
    <row r="1471" spans="1:12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</row>
    <row r="1472" spans="1:12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</row>
    <row r="1473" spans="1:12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</row>
    <row r="1474" spans="1:12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</row>
    <row r="1475" spans="1:12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</row>
    <row r="1476" spans="1:12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</row>
    <row r="1477" spans="1:12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</row>
    <row r="1478" spans="1:12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1:12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</row>
    <row r="1480" spans="1:12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</row>
    <row r="1481" spans="1:12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</row>
    <row r="1482" spans="1:12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</row>
    <row r="1483" spans="1:12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</row>
    <row r="1484" spans="1:12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</row>
    <row r="1485" spans="1:12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</row>
    <row r="1486" spans="1:12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</row>
    <row r="1487" spans="1:12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</row>
    <row r="1488" spans="1:12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</row>
    <row r="1489" spans="1:12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</row>
    <row r="1490" spans="1:12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</row>
    <row r="1491" spans="1:12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</row>
    <row r="1492" spans="1:12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</row>
    <row r="1493" spans="1:12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</row>
    <row r="1494" spans="1:12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</row>
    <row r="1495" spans="1:12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</row>
    <row r="1496" spans="1:12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</row>
    <row r="1497" spans="1:12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</row>
    <row r="1498" spans="1:12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</row>
    <row r="1499" spans="1:12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</row>
    <row r="1500" spans="1:12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</row>
    <row r="1501" spans="1:12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</row>
    <row r="1502" spans="1:12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</row>
    <row r="1503" spans="1:12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</row>
    <row r="1504" spans="1:12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</row>
    <row r="1505" spans="1:12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</row>
    <row r="1506" spans="1:12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</row>
    <row r="1507" spans="1:12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</row>
    <row r="1508" spans="1:12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</row>
    <row r="1509" spans="1:12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</row>
    <row r="1510" spans="1:12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</row>
    <row r="1511" spans="1:12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</row>
    <row r="1512" spans="1:12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</row>
    <row r="1513" spans="1:12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</row>
    <row r="1514" spans="1:12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</row>
    <row r="1515" spans="1:12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</row>
    <row r="1516" spans="1:12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</row>
    <row r="1517" spans="1:12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</row>
    <row r="1518" spans="1:12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</row>
    <row r="1519" spans="1:12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</row>
    <row r="1520" spans="1:12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</row>
    <row r="1521" spans="1:12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</row>
    <row r="1522" spans="1:12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</row>
    <row r="1523" spans="1:12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</row>
    <row r="1524" spans="1:12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</row>
    <row r="1525" spans="1:12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</row>
    <row r="1526" spans="1:12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</row>
    <row r="1527" spans="1:12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</row>
    <row r="1528" spans="1:12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</row>
    <row r="1529" spans="1:12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</row>
    <row r="1530" spans="1:12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</row>
    <row r="1531" spans="1:12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</row>
    <row r="1532" spans="1:12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</row>
    <row r="1533" spans="1:12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</row>
    <row r="1534" spans="1:12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</row>
    <row r="1535" spans="1:12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</row>
    <row r="1536" spans="1:12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</row>
    <row r="1537" spans="1:12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</row>
    <row r="1538" spans="1:12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</row>
    <row r="1539" spans="1:12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</row>
    <row r="1540" spans="1:12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</row>
    <row r="1541" spans="1:12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</row>
    <row r="1542" spans="1:12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</row>
    <row r="1543" spans="1:12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</row>
    <row r="1544" spans="1:12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</row>
    <row r="1545" spans="1:12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</row>
    <row r="1546" spans="1:12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</row>
    <row r="1547" spans="1:12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</row>
    <row r="1548" spans="1:12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</row>
    <row r="1549" spans="1:12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</row>
    <row r="1550" spans="1:12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</row>
    <row r="1551" spans="1:12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</row>
    <row r="1552" spans="1:12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</row>
    <row r="1553" spans="1:12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</row>
    <row r="1554" spans="1:12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</row>
    <row r="1555" spans="1:12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</row>
    <row r="1556" spans="1:12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</row>
    <row r="1557" spans="1:12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</row>
    <row r="1558" spans="1:12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</row>
    <row r="1559" spans="1:12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</row>
    <row r="1560" spans="1:12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</row>
    <row r="1561" spans="1:12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</row>
    <row r="1562" spans="1:12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</row>
    <row r="1563" spans="1:12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</row>
    <row r="1564" spans="1:12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</row>
    <row r="1565" spans="1:12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</row>
    <row r="1566" spans="1:12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</row>
    <row r="1567" spans="1:12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</row>
    <row r="1568" spans="1:12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</row>
    <row r="1569" spans="1:12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</row>
    <row r="1570" spans="1:12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</row>
    <row r="1571" spans="1:12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</row>
    <row r="1572" spans="1:12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</row>
    <row r="1573" spans="1:12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</row>
    <row r="1574" spans="1:12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</row>
    <row r="1575" spans="1:12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</row>
    <row r="1576" spans="1:12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</row>
    <row r="1577" spans="1:12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</row>
    <row r="1578" spans="1:12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</row>
    <row r="1582" spans="1:12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</row>
    <row r="1583" spans="1:12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</row>
    <row r="1584" spans="1:12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</row>
    <row r="1585" spans="1:12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</row>
    <row r="1586" spans="1:12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</row>
    <row r="1587" spans="1:12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</row>
    <row r="1588" spans="1:12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</row>
    <row r="1589" spans="1:12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</row>
    <row r="1590" spans="1:12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</row>
    <row r="1591" spans="1:12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</row>
    <row r="1592" spans="1:12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</row>
    <row r="1593" spans="1:12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</row>
    <row r="1594" spans="1:12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</row>
    <row r="1595" spans="1:12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1:12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</row>
    <row r="1597" spans="1:12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</row>
    <row r="1598" spans="1:12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</row>
    <row r="1599" spans="1:12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</row>
    <row r="1600" spans="1:12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</row>
    <row r="1601" spans="1:12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</row>
    <row r="1602" spans="1:12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</row>
    <row r="1603" spans="1:12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</row>
    <row r="1604" spans="1:12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</row>
    <row r="1605" spans="1:12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</row>
    <row r="1606" spans="1:12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</row>
    <row r="1607" spans="1:12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</row>
    <row r="1608" spans="1:12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</row>
    <row r="1609" spans="1:12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</row>
    <row r="1610" spans="1:12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</row>
    <row r="1611" spans="1:12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</row>
    <row r="1612" spans="1:12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</row>
    <row r="1613" spans="1:12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</row>
    <row r="1614" spans="1:12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</row>
    <row r="1615" spans="1:12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</row>
    <row r="1616" spans="1:12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</row>
    <row r="1617" spans="1:12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</row>
    <row r="1618" spans="1:12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</row>
    <row r="1619" spans="1:12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</row>
    <row r="1620" spans="1:12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</row>
    <row r="1621" spans="1:12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</row>
    <row r="1622" spans="1:12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</row>
    <row r="1623" spans="1:12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</row>
    <row r="1624" spans="1:12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</row>
    <row r="1625" spans="1:12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</row>
    <row r="1626" spans="1:12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</row>
    <row r="1627" spans="1:12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</row>
    <row r="1628" spans="1:12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</row>
    <row r="1629" spans="1:12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</row>
    <row r="1630" spans="1:12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</row>
    <row r="1631" spans="1:12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</row>
    <row r="1632" spans="1:12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</row>
    <row r="1633" spans="1:12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</row>
    <row r="1634" spans="1:12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</row>
    <row r="1635" spans="1:12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</row>
    <row r="1636" spans="1:12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</row>
    <row r="1637" spans="1:12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</row>
    <row r="1638" spans="1:12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</row>
    <row r="1639" spans="1:12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</row>
    <row r="1640" spans="1:12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</row>
    <row r="1641" spans="1:12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</row>
    <row r="1642" spans="1:12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</row>
    <row r="1643" spans="1:12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</row>
    <row r="1644" spans="1:12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</row>
    <row r="1645" spans="1:12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</row>
    <row r="1646" spans="1:12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</row>
    <row r="1647" spans="1:12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</row>
    <row r="1648" spans="1:12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</row>
    <row r="1649" spans="1:12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</row>
    <row r="1650" spans="1:12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</row>
    <row r="1651" spans="1:12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</row>
    <row r="1652" spans="1:12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</row>
    <row r="1653" spans="1:12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</row>
    <row r="1654" spans="1:12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</row>
    <row r="1655" spans="1:12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</row>
    <row r="1656" spans="1:12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</row>
    <row r="1657" spans="1:12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</row>
    <row r="1658" spans="1:12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</row>
    <row r="1659" spans="1:12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</row>
    <row r="1660" spans="1:12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</row>
    <row r="1661" spans="1:12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</row>
    <row r="1662" spans="1:12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</row>
    <row r="1663" spans="1:12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</row>
    <row r="1664" spans="1:12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</row>
    <row r="1665" spans="1:12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</row>
    <row r="1666" spans="1:12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</row>
    <row r="1667" spans="1:12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</row>
    <row r="1668" spans="1:12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</row>
    <row r="1669" spans="1:12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</row>
    <row r="1670" spans="1:12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</row>
    <row r="1671" spans="1:12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</row>
    <row r="1672" spans="1:12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</row>
    <row r="1673" spans="1:12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</row>
    <row r="1674" spans="1:12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</row>
    <row r="1675" spans="1:12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</row>
    <row r="1676" spans="1:12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</row>
    <row r="1677" spans="1:12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</row>
    <row r="1678" spans="1:12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</row>
    <row r="1679" spans="1:12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</row>
    <row r="1680" spans="1:12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</row>
    <row r="1681" spans="1:12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</row>
    <row r="1682" spans="1:12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</row>
    <row r="1683" spans="1:12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</row>
    <row r="1684" spans="1:12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</row>
    <row r="1685" spans="1:12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</row>
    <row r="1686" spans="1:12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</row>
    <row r="1687" spans="1:12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</row>
    <row r="1688" spans="1:12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</row>
    <row r="1689" spans="1:12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</row>
    <row r="1690" spans="1:12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</row>
    <row r="1691" spans="1:12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</row>
    <row r="1692" spans="1:12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</row>
    <row r="1693" spans="1:12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</row>
    <row r="1694" spans="1:12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</row>
    <row r="1695" spans="1:12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</row>
    <row r="1696" spans="1:12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</row>
    <row r="1697" spans="1:12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</row>
    <row r="1698" spans="1:12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</row>
    <row r="1699" spans="1:12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</row>
    <row r="1700" spans="1:12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</row>
    <row r="1701" spans="1:12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</row>
    <row r="1702" spans="1:12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</row>
    <row r="1703" spans="1:12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</row>
    <row r="1704" spans="1:12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</row>
    <row r="1705" spans="1:12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</row>
    <row r="1706" spans="1:12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</row>
    <row r="1707" spans="1:12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</row>
    <row r="1708" spans="1:12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</row>
    <row r="1709" spans="1:12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</row>
    <row r="1710" spans="1:12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</row>
    <row r="1711" spans="1:12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</row>
    <row r="1712" spans="1:12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</row>
    <row r="1713" spans="1:12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</row>
    <row r="1714" spans="1:12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</row>
    <row r="1715" spans="1:12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</row>
    <row r="1716" spans="1:12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</row>
    <row r="1717" spans="1:12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</row>
    <row r="1718" spans="1:12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</row>
    <row r="1719" spans="1:12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</row>
    <row r="1720" spans="1:12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</row>
    <row r="1721" spans="1:12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</row>
    <row r="1722" spans="1:12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</row>
    <row r="1723" spans="1:12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</row>
    <row r="1724" spans="1:12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</row>
    <row r="1725" spans="1:12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</row>
    <row r="1726" spans="1:12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</row>
    <row r="1727" spans="1:12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</row>
    <row r="1728" spans="1:12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</row>
    <row r="1729" spans="1:12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</row>
    <row r="1730" spans="1:12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</row>
    <row r="1731" spans="1:12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</row>
    <row r="1732" spans="1:12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</row>
    <row r="1733" spans="1:12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</row>
    <row r="1734" spans="1:12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</row>
    <row r="1735" spans="1:12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</row>
    <row r="1736" spans="1:12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</row>
    <row r="1737" spans="1:12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</row>
    <row r="1738" spans="1:12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</row>
    <row r="1739" spans="1:12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</row>
    <row r="1740" spans="1:12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</row>
    <row r="1741" spans="1:12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</row>
    <row r="1742" spans="1:12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</row>
    <row r="1743" spans="1:12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</row>
    <row r="1744" spans="1:12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</row>
    <row r="1745" spans="1:12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</row>
    <row r="1746" spans="1:12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</row>
    <row r="1747" spans="1:12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</row>
    <row r="1748" spans="1:12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</row>
    <row r="1749" spans="1:12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</row>
    <row r="1750" spans="1:12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</row>
    <row r="1751" spans="1:12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</row>
    <row r="1752" spans="1:12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</row>
    <row r="1753" spans="1:12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</row>
    <row r="1754" spans="1:12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</row>
    <row r="1755" spans="1:12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</row>
    <row r="1756" spans="1:12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</row>
    <row r="1757" spans="1:12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</row>
    <row r="1758" spans="1:12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</row>
    <row r="1759" spans="1:12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</row>
    <row r="1760" spans="1:12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</row>
    <row r="1761" spans="1:12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</row>
    <row r="1762" spans="1:12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</row>
    <row r="1763" spans="1:12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</row>
    <row r="1764" spans="1:12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</row>
    <row r="1765" spans="1:12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</row>
    <row r="1766" spans="1:12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</row>
    <row r="1767" spans="1:12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</row>
    <row r="1768" spans="1:12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</row>
    <row r="1769" spans="1:12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</row>
    <row r="1770" spans="1:12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</row>
    <row r="1771" spans="1:12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</row>
    <row r="1772" spans="1:12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</row>
    <row r="1773" spans="1:12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</row>
    <row r="1774" spans="1:12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</row>
    <row r="1775" spans="1:12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</row>
    <row r="1776" spans="1:12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</row>
    <row r="1777" spans="1:12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</row>
    <row r="1778" spans="1:12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</row>
    <row r="1779" spans="1:12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</row>
    <row r="1780" spans="1:12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</row>
    <row r="1781" spans="1:12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</row>
    <row r="1782" spans="1:12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</row>
    <row r="1783" spans="1:12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</row>
    <row r="1784" spans="1:12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</row>
    <row r="1785" spans="1:12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</row>
    <row r="1786" spans="1:12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</row>
    <row r="1787" spans="1:12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</row>
    <row r="1788" spans="1:12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</row>
    <row r="1789" spans="1:12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</row>
    <row r="1790" spans="1:12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</row>
    <row r="1791" spans="1:12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</row>
    <row r="1792" spans="1:12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</row>
    <row r="1793" spans="1:12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</row>
    <row r="1794" spans="1:12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</row>
    <row r="1795" spans="1:12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</row>
    <row r="1796" spans="1:12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</row>
    <row r="1797" spans="1:12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</row>
    <row r="1798" spans="1:12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</row>
    <row r="1799" spans="1:12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</row>
    <row r="1800" spans="1:12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</row>
    <row r="1801" spans="1:12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</row>
    <row r="1802" spans="1:12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</row>
    <row r="1803" spans="1:12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</row>
    <row r="1804" spans="1:12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</row>
    <row r="1805" spans="1:12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</row>
    <row r="1806" spans="1:12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</row>
    <row r="1807" spans="1:12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</row>
    <row r="1808" spans="1:12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</row>
    <row r="1809" spans="1:12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</row>
    <row r="1810" spans="1:12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</row>
    <row r="1811" spans="1:12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</row>
    <row r="1812" spans="1:12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</row>
    <row r="1813" spans="1:12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</row>
    <row r="1814" spans="1:12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</row>
    <row r="1815" spans="1:12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</row>
    <row r="1816" spans="1:12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</row>
    <row r="1817" spans="1:12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</row>
    <row r="1818" spans="1:12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</row>
    <row r="1819" spans="1:12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</row>
    <row r="1820" spans="1:12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</row>
    <row r="1821" spans="1:12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</row>
    <row r="1822" spans="1:12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</row>
    <row r="1823" spans="1:12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</row>
    <row r="1824" spans="1:12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</row>
    <row r="1825" spans="1:12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</row>
    <row r="1826" spans="1:12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</row>
    <row r="1827" spans="1:12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</row>
    <row r="1828" spans="1:12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</row>
    <row r="1829" spans="1:12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</row>
    <row r="1830" spans="1:12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</row>
    <row r="1831" spans="1:12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</row>
    <row r="1832" spans="1:12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</row>
    <row r="1833" spans="1:12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</row>
    <row r="1834" spans="1:12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</row>
    <row r="1835" spans="1:12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</row>
    <row r="1836" spans="1:12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</row>
    <row r="1837" spans="1:12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</row>
    <row r="1838" spans="1:12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</row>
    <row r="1839" spans="1:12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</row>
    <row r="1840" spans="1:12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</row>
    <row r="1841" spans="1:12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</row>
    <row r="1842" spans="1:12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</row>
    <row r="1843" spans="1:12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</row>
    <row r="1844" spans="1:12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</row>
    <row r="1845" spans="1:12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</row>
    <row r="1846" spans="1:12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</row>
    <row r="1847" spans="1:12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</row>
    <row r="1848" spans="1:12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</row>
    <row r="1849" spans="1:12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</row>
    <row r="1850" spans="1:12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</row>
    <row r="1851" spans="1:12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</row>
    <row r="1852" spans="1:12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</row>
    <row r="1853" spans="1:12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</row>
    <row r="1854" spans="1:12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</row>
    <row r="1855" spans="1:12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</row>
    <row r="1856" spans="1:12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</row>
    <row r="1857" spans="1:12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</row>
    <row r="1858" spans="1:12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</row>
    <row r="1859" spans="1:12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</row>
    <row r="1860" spans="1:12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</row>
    <row r="1861" spans="1:12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</row>
    <row r="1862" spans="1:12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</row>
    <row r="1863" spans="1:12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</row>
    <row r="1864" spans="1:12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</row>
    <row r="1865" spans="1:12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</row>
    <row r="1866" spans="1:12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</row>
    <row r="1867" spans="1:12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</row>
    <row r="1868" spans="1:12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</row>
    <row r="1869" spans="1:12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</row>
    <row r="1870" spans="1:12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</row>
    <row r="1871" spans="1:12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</row>
    <row r="1872" spans="1:12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</row>
    <row r="1873" spans="1:12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</row>
    <row r="1874" spans="1:12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</row>
  </sheetData>
  <sheetProtection/>
  <mergeCells count="12">
    <mergeCell ref="L5:L6"/>
    <mergeCell ref="J5:J6"/>
    <mergeCell ref="A35:E35"/>
    <mergeCell ref="A2:F2"/>
    <mergeCell ref="G2:V2"/>
    <mergeCell ref="M5:O5"/>
    <mergeCell ref="B5:E6"/>
    <mergeCell ref="F5:F6"/>
    <mergeCell ref="G5:G6"/>
    <mergeCell ref="H5:H6"/>
    <mergeCell ref="I5:I6"/>
    <mergeCell ref="K5:K6"/>
  </mergeCells>
  <printOptions horizontalCentered="1" verticalCentered="1"/>
  <pageMargins left="0.5118110236220472" right="0.4724409448818898" top="0.7086614173228347" bottom="1.1023622047244095" header="0" footer="0"/>
  <pageSetup horizontalDpi="600" verticalDpi="600" orientation="landscape" scale="50" r:id="rId3"/>
  <colBreaks count="2" manualBreakCount="2">
    <brk id="12" max="37" man="1"/>
    <brk id="22" max="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E135"/>
  <sheetViews>
    <sheetView view="pageBreakPreview" zoomScale="80" zoomScaleNormal="75" zoomScaleSheetLayoutView="80" zoomScalePageLayoutView="0" workbookViewId="0" topLeftCell="A1">
      <pane xSplit="1" ySplit="11" topLeftCell="B16" activePane="bottomRight" state="frozen"/>
      <selection pane="topLeft" activeCell="A4" sqref="A4:J4"/>
      <selection pane="topRight" activeCell="A4" sqref="A4:J4"/>
      <selection pane="bottomLeft" activeCell="A4" sqref="A4:J4"/>
      <selection pane="bottomRight" activeCell="A16" sqref="A16"/>
    </sheetView>
  </sheetViews>
  <sheetFormatPr defaultColWidth="11.421875" defaultRowHeight="12.75"/>
  <cols>
    <col min="1" max="1" width="48.28125" style="0" customWidth="1"/>
    <col min="2" max="2" width="36.57421875" style="0" bestFit="1" customWidth="1"/>
    <col min="3" max="3" width="10.57421875" style="0" bestFit="1" customWidth="1"/>
    <col min="4" max="4" width="21.57421875" style="0" bestFit="1" customWidth="1"/>
    <col min="5" max="5" width="12.28125" style="0" customWidth="1"/>
    <col min="6" max="6" width="8.7109375" style="0" customWidth="1"/>
    <col min="7" max="7" width="13.8515625" style="0" customWidth="1"/>
    <col min="8" max="8" width="22.57421875" style="0" customWidth="1"/>
    <col min="9" max="9" width="22.421875" style="0" customWidth="1"/>
    <col min="10" max="10" width="21.57421875" style="0" customWidth="1"/>
    <col min="11" max="11" width="18.57421875" style="0" customWidth="1"/>
    <col min="12" max="12" width="23.421875" style="0" customWidth="1"/>
    <col min="13" max="13" width="15.140625" style="0" customWidth="1"/>
    <col min="14" max="14" width="21.8515625" style="0" customWidth="1"/>
    <col min="15" max="15" width="18.421875" style="0" customWidth="1"/>
    <col min="16" max="16" width="18.57421875" style="0" customWidth="1"/>
    <col min="17" max="17" width="16.7109375" style="0" customWidth="1"/>
    <col min="18" max="18" width="13.7109375" style="0" customWidth="1"/>
    <col min="19" max="19" width="16.28125" style="0" customWidth="1"/>
    <col min="20" max="20" width="15.140625" style="0" customWidth="1"/>
    <col min="21" max="21" width="18.421875" style="0" customWidth="1"/>
    <col min="22" max="22" width="14.421875" style="0" customWidth="1"/>
    <col min="23" max="23" width="14.140625" style="0" customWidth="1"/>
    <col min="24" max="24" width="17.140625" style="0" customWidth="1"/>
    <col min="25" max="25" width="20.28125" style="0" customWidth="1"/>
    <col min="26" max="26" width="16.28125" style="0" customWidth="1"/>
    <col min="27" max="27" width="35.28125" style="0" customWidth="1"/>
    <col min="28" max="28" width="16.140625" style="0" customWidth="1"/>
    <col min="29" max="29" width="15.7109375" style="0" customWidth="1"/>
    <col min="30" max="30" width="17.28125" style="0" customWidth="1"/>
  </cols>
  <sheetData>
    <row r="3" ht="12.75">
      <c r="F3" s="143"/>
    </row>
    <row r="4" spans="3:26" ht="18">
      <c r="C4" s="470" t="s">
        <v>41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 t="s">
        <v>41</v>
      </c>
      <c r="Q4" s="470"/>
      <c r="R4" s="470"/>
      <c r="S4" s="470"/>
      <c r="T4" s="470"/>
      <c r="U4" s="470"/>
      <c r="V4" s="470"/>
      <c r="W4" s="470"/>
      <c r="X4" s="470"/>
      <c r="Y4" s="470"/>
      <c r="Z4" s="470"/>
    </row>
    <row r="5" spans="1:29" ht="18">
      <c r="A5" s="38"/>
      <c r="B5" s="38"/>
      <c r="C5" s="470" t="s">
        <v>80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 t="s">
        <v>80</v>
      </c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39"/>
      <c r="AB5" s="39"/>
      <c r="AC5" s="39"/>
    </row>
    <row r="6" spans="1:29" ht="18">
      <c r="A6" s="38"/>
      <c r="C6" s="470" t="s">
        <v>338</v>
      </c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 t="s">
        <v>235</v>
      </c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39"/>
      <c r="AB6" s="39"/>
      <c r="AC6" s="39"/>
    </row>
    <row r="7" spans="1:29" ht="18.75" thickBot="1">
      <c r="A7" s="38"/>
      <c r="B7" s="172" t="s">
        <v>200</v>
      </c>
      <c r="C7" s="173">
        <v>0.058</v>
      </c>
      <c r="D7" s="172" t="s">
        <v>202</v>
      </c>
      <c r="E7" s="174">
        <v>566700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ht="16.5" customHeight="1" thickBot="1">
      <c r="A8" s="38"/>
      <c r="B8" s="172" t="s">
        <v>201</v>
      </c>
      <c r="C8" s="175">
        <v>0.0373</v>
      </c>
      <c r="D8" s="172" t="s">
        <v>217</v>
      </c>
      <c r="E8" s="174">
        <v>67800</v>
      </c>
      <c r="F8" s="38"/>
      <c r="G8" s="38"/>
      <c r="H8" s="38"/>
      <c r="I8" s="38"/>
      <c r="J8" s="38"/>
      <c r="K8" s="38"/>
      <c r="L8" s="40"/>
      <c r="M8" s="40"/>
      <c r="N8" s="40"/>
      <c r="O8" s="40"/>
      <c r="P8" s="446" t="s">
        <v>81</v>
      </c>
      <c r="Q8" s="447"/>
      <c r="R8" s="465"/>
      <c r="S8" s="468" t="s">
        <v>319</v>
      </c>
      <c r="T8" s="41"/>
      <c r="U8" s="463" t="s">
        <v>318</v>
      </c>
      <c r="V8" s="41"/>
      <c r="W8" s="41"/>
      <c r="X8" s="463" t="s">
        <v>82</v>
      </c>
      <c r="Y8" s="42"/>
      <c r="Z8" s="38"/>
      <c r="AA8" s="38"/>
      <c r="AB8" s="38"/>
      <c r="AC8" s="38"/>
    </row>
    <row r="9" spans="1:29" ht="39" thickBot="1">
      <c r="A9" s="107"/>
      <c r="B9" s="170" t="s">
        <v>176</v>
      </c>
      <c r="C9" s="171" t="s">
        <v>83</v>
      </c>
      <c r="D9" s="171" t="s">
        <v>148</v>
      </c>
      <c r="E9" s="171" t="s">
        <v>149</v>
      </c>
      <c r="F9" s="100" t="s">
        <v>150</v>
      </c>
      <c r="G9" s="100" t="s">
        <v>97</v>
      </c>
      <c r="H9" s="100" t="s">
        <v>84</v>
      </c>
      <c r="I9" s="100" t="s">
        <v>85</v>
      </c>
      <c r="J9" s="100" t="s">
        <v>86</v>
      </c>
      <c r="K9" s="100" t="s">
        <v>316</v>
      </c>
      <c r="L9" s="100" t="s">
        <v>323</v>
      </c>
      <c r="M9" s="100" t="s">
        <v>322</v>
      </c>
      <c r="N9" s="100" t="s">
        <v>321</v>
      </c>
      <c r="O9" s="100" t="s">
        <v>320</v>
      </c>
      <c r="P9" s="104" t="s">
        <v>130</v>
      </c>
      <c r="Q9" s="105" t="s">
        <v>189</v>
      </c>
      <c r="R9" s="106" t="s">
        <v>87</v>
      </c>
      <c r="S9" s="469"/>
      <c r="T9" s="103" t="s">
        <v>175</v>
      </c>
      <c r="U9" s="464"/>
      <c r="V9" s="103" t="s">
        <v>88</v>
      </c>
      <c r="W9" s="102" t="s">
        <v>89</v>
      </c>
      <c r="X9" s="464"/>
      <c r="Y9" s="101" t="s">
        <v>317</v>
      </c>
      <c r="Z9" s="100" t="s">
        <v>98</v>
      </c>
      <c r="AA9" s="75"/>
      <c r="AB9" s="75"/>
      <c r="AC9" s="38"/>
    </row>
    <row r="10" spans="1:32" ht="12.75">
      <c r="A10" s="41"/>
      <c r="B10" s="41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45"/>
      <c r="R10" s="45"/>
      <c r="S10" s="46"/>
      <c r="T10" s="45"/>
      <c r="U10" s="46"/>
      <c r="V10" s="45"/>
      <c r="W10" s="45"/>
      <c r="X10" s="46"/>
      <c r="Y10" s="43"/>
      <c r="Z10" s="43"/>
      <c r="AA10" s="43"/>
      <c r="AB10" s="40"/>
      <c r="AC10" s="40"/>
      <c r="AD10" s="2"/>
      <c r="AE10" s="2"/>
      <c r="AF10" s="2"/>
    </row>
    <row r="11" spans="1:33" ht="13.5" customHeight="1">
      <c r="A11" s="81" t="s">
        <v>113</v>
      </c>
      <c r="B11" s="81" t="s">
        <v>176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45"/>
      <c r="R11" s="45"/>
      <c r="S11" s="46"/>
      <c r="T11" s="45"/>
      <c r="U11" s="46"/>
      <c r="V11" s="45"/>
      <c r="W11" s="45"/>
      <c r="X11" s="46"/>
      <c r="Y11" s="84">
        <f>+Y12</f>
        <v>70105589.75176704</v>
      </c>
      <c r="Z11" s="43"/>
      <c r="AA11" s="43"/>
      <c r="AB11" s="42"/>
      <c r="AC11" s="42"/>
      <c r="AD11" s="32"/>
      <c r="AE11" s="32"/>
      <c r="AF11" s="32"/>
      <c r="AG11" s="32"/>
    </row>
    <row r="12" spans="1:33" ht="12.75">
      <c r="A12" s="165" t="s">
        <v>90</v>
      </c>
      <c r="B12" s="82"/>
      <c r="C12" s="49">
        <f>SUM(C13:C23)</f>
        <v>14</v>
      </c>
      <c r="D12" s="49"/>
      <c r="E12" s="49"/>
      <c r="F12" s="49"/>
      <c r="G12" s="49"/>
      <c r="H12" s="83">
        <f aca="true" t="shared" si="0" ref="H12:Z12">SUM(H13:H23)</f>
        <v>15557259.152300002</v>
      </c>
      <c r="I12" s="83">
        <f>SUM(I13:I23)</f>
        <v>271200</v>
      </c>
      <c r="J12" s="83">
        <f>SUM(J13:J23)</f>
        <v>15828459.152300002</v>
      </c>
      <c r="K12" s="83">
        <f t="shared" si="0"/>
        <v>47485377.45690001</v>
      </c>
      <c r="L12" s="320">
        <f t="shared" si="0"/>
        <v>3532089.7880750005</v>
      </c>
      <c r="M12" s="83">
        <f t="shared" si="0"/>
        <v>423850.774569</v>
      </c>
      <c r="N12" s="83">
        <f t="shared" si="0"/>
        <v>3532089.7880750005</v>
      </c>
      <c r="O12" s="320">
        <f>SUM(O13:O23)</f>
        <v>1766044.8940375003</v>
      </c>
      <c r="P12" s="83">
        <f t="shared" si="0"/>
        <v>1248696.0279455003</v>
      </c>
      <c r="Q12" s="83">
        <f t="shared" si="0"/>
        <v>1662859.098276</v>
      </c>
      <c r="R12" s="83">
        <f t="shared" si="0"/>
        <v>75292.544775006</v>
      </c>
      <c r="S12" s="83">
        <f t="shared" si="0"/>
        <v>9624704.078989519</v>
      </c>
      <c r="T12" s="83">
        <f t="shared" si="0"/>
        <v>554286.366092</v>
      </c>
      <c r="U12" s="83">
        <f t="shared" si="0"/>
        <v>1662859.098276</v>
      </c>
      <c r="V12" s="83">
        <f t="shared" si="0"/>
        <v>415714.774569</v>
      </c>
      <c r="W12" s="83">
        <f t="shared" si="0"/>
        <v>277143.183046</v>
      </c>
      <c r="X12" s="83">
        <f t="shared" si="0"/>
        <v>2078573.8728450001</v>
      </c>
      <c r="Y12" s="83">
        <f t="shared" si="0"/>
        <v>70105589.75176704</v>
      </c>
      <c r="Z12" s="83">
        <f t="shared" si="0"/>
        <v>5842132.4793139165</v>
      </c>
      <c r="AA12" s="43"/>
      <c r="AB12" s="42"/>
      <c r="AC12" s="42"/>
      <c r="AD12" s="32"/>
      <c r="AE12" s="32"/>
      <c r="AF12" s="32"/>
      <c r="AG12" s="32"/>
    </row>
    <row r="13" spans="1:33" ht="14.25">
      <c r="A13" s="134" t="s">
        <v>193</v>
      </c>
      <c r="B13" s="134" t="s">
        <v>181</v>
      </c>
      <c r="C13" s="48">
        <v>1</v>
      </c>
      <c r="D13" s="99">
        <v>41091</v>
      </c>
      <c r="E13" s="318">
        <v>41182</v>
      </c>
      <c r="F13" s="98">
        <f aca="true" t="shared" si="1" ref="F13:F23">DAYS360(D13,E13,0)+1</f>
        <v>90</v>
      </c>
      <c r="G13" s="48"/>
      <c r="H13" s="50">
        <f>2888729*(1+$C$8)</f>
        <v>2996478.5917</v>
      </c>
      <c r="I13" s="50">
        <v>0</v>
      </c>
      <c r="J13" s="50">
        <f aca="true" t="shared" si="2" ref="J13:J23">+I13+H13</f>
        <v>2996478.5917</v>
      </c>
      <c r="K13" s="50">
        <f aca="true" t="shared" si="3" ref="K13:K23">+J13/30*F13</f>
        <v>8989435.7751</v>
      </c>
      <c r="L13" s="321">
        <f>+J13*F13/360</f>
        <v>749119.647925</v>
      </c>
      <c r="M13" s="50">
        <f>+L13*12%</f>
        <v>89894.357751</v>
      </c>
      <c r="N13" s="50">
        <f>+L13</f>
        <v>749119.647925</v>
      </c>
      <c r="O13" s="321">
        <f>+J13*F13/720</f>
        <v>374559.8239625</v>
      </c>
      <c r="P13" s="50">
        <f>+H13*0.085</f>
        <v>254700.68029450002</v>
      </c>
      <c r="Q13" s="50">
        <f aca="true" t="shared" si="4" ref="Q13:Q22">+H13*12%</f>
        <v>359577.431004</v>
      </c>
      <c r="R13" s="50">
        <f>+H13*0.522%</f>
        <v>15641.618248674</v>
      </c>
      <c r="S13" s="50">
        <f>+((P13+Q13+R13)/30*F13)</f>
        <v>1889759.188641522</v>
      </c>
      <c r="T13" s="50">
        <f>+H13*0.04</f>
        <v>119859.143668</v>
      </c>
      <c r="U13" s="50">
        <f>+(T13/30)*F13</f>
        <v>359577.431004</v>
      </c>
      <c r="V13" s="50">
        <f>+H13*0.03</f>
        <v>89894.357751</v>
      </c>
      <c r="W13" s="50">
        <f>+H13*0.02</f>
        <v>59929.571834</v>
      </c>
      <c r="X13" s="50">
        <f>+((V13+W13)/30*F13)</f>
        <v>449471.788755</v>
      </c>
      <c r="Y13" s="50">
        <f aca="true" t="shared" si="5" ref="Y13:Y22">K13+L13+M13+N13+O13+S13+U13+X13</f>
        <v>13650937.661064025</v>
      </c>
      <c r="Z13" s="50">
        <f>+Y13/12</f>
        <v>1137578.138422002</v>
      </c>
      <c r="AA13" s="43"/>
      <c r="AB13" s="42"/>
      <c r="AC13" s="42"/>
      <c r="AD13" s="32"/>
      <c r="AE13" s="32"/>
      <c r="AF13" s="32"/>
      <c r="AG13" s="32"/>
    </row>
    <row r="14" spans="1:33" ht="14.25">
      <c r="A14" s="290" t="s">
        <v>290</v>
      </c>
      <c r="B14" s="135" t="s">
        <v>214</v>
      </c>
      <c r="C14" s="48">
        <v>1</v>
      </c>
      <c r="D14" s="99">
        <v>41091</v>
      </c>
      <c r="E14" s="318">
        <v>41182</v>
      </c>
      <c r="F14" s="98">
        <f>DAYS360(D14,E14,0)+1</f>
        <v>90</v>
      </c>
      <c r="G14" s="49"/>
      <c r="H14" s="50">
        <f>2052051*(1+$C$8)</f>
        <v>2128592.5023000003</v>
      </c>
      <c r="I14" s="50">
        <v>0</v>
      </c>
      <c r="J14" s="50">
        <f t="shared" si="2"/>
        <v>2128592.5023000003</v>
      </c>
      <c r="K14" s="50">
        <f>+J14/30*F14</f>
        <v>6385777.5069</v>
      </c>
      <c r="L14" s="321">
        <f aca="true" t="shared" si="6" ref="L14:L22">+J14*F14/360</f>
        <v>532148.1255750001</v>
      </c>
      <c r="M14" s="50">
        <f aca="true" t="shared" si="7" ref="M14:M22">+L14*12%</f>
        <v>63857.775069</v>
      </c>
      <c r="N14" s="50">
        <f aca="true" t="shared" si="8" ref="N14:N22">+L14</f>
        <v>532148.1255750001</v>
      </c>
      <c r="O14" s="321">
        <f aca="true" t="shared" si="9" ref="O14:O22">+J14*F14/720</f>
        <v>266074.06278750004</v>
      </c>
      <c r="P14" s="50">
        <f aca="true" t="shared" si="10" ref="P14:P22">+H14*0.085</f>
        <v>180930.36269550005</v>
      </c>
      <c r="Q14" s="50">
        <f t="shared" si="4"/>
        <v>255431.100276</v>
      </c>
      <c r="R14" s="50">
        <f aca="true" t="shared" si="11" ref="R14:R22">+H14*0.522%</f>
        <v>11111.252862006</v>
      </c>
      <c r="S14" s="50">
        <f aca="true" t="shared" si="12" ref="S14:S22">+((P14+Q14+R14)/30*F14)</f>
        <v>1342418.1475005182</v>
      </c>
      <c r="T14" s="50">
        <f>+H14*0.04</f>
        <v>85143.70009200001</v>
      </c>
      <c r="U14" s="50">
        <f aca="true" t="shared" si="13" ref="U14:U22">+(T14/30)*F14</f>
        <v>255431.10027600004</v>
      </c>
      <c r="V14" s="50">
        <f>+H14*0.03</f>
        <v>63857.775069</v>
      </c>
      <c r="W14" s="50">
        <f>+H14*0.02</f>
        <v>42571.85004600001</v>
      </c>
      <c r="X14" s="50">
        <f aca="true" t="shared" si="14" ref="X14:X22">+((V14+W14)/30*F14)</f>
        <v>319288.875345</v>
      </c>
      <c r="Y14" s="50">
        <f t="shared" si="5"/>
        <v>9697143.71902802</v>
      </c>
      <c r="Z14" s="50">
        <f>+Y14/12</f>
        <v>808095.3099190017</v>
      </c>
      <c r="AA14" s="231"/>
      <c r="AB14" s="228"/>
      <c r="AC14" s="229"/>
      <c r="AD14" s="32"/>
      <c r="AE14" s="32"/>
      <c r="AF14" s="32"/>
      <c r="AG14" s="32"/>
    </row>
    <row r="15" spans="1:33" ht="14.25">
      <c r="A15" s="288" t="s">
        <v>188</v>
      </c>
      <c r="B15" s="47" t="s">
        <v>177</v>
      </c>
      <c r="C15" s="48">
        <v>1</v>
      </c>
      <c r="D15" s="99">
        <v>41091</v>
      </c>
      <c r="E15" s="318">
        <v>41182</v>
      </c>
      <c r="F15" s="98">
        <f t="shared" si="1"/>
        <v>90</v>
      </c>
      <c r="G15" s="48"/>
      <c r="H15" s="276">
        <f>1296447*(1+$C$8)</f>
        <v>1344804.4731</v>
      </c>
      <c r="I15" s="50">
        <v>0</v>
      </c>
      <c r="J15" s="50">
        <f t="shared" si="2"/>
        <v>1344804.4731</v>
      </c>
      <c r="K15" s="50">
        <f t="shared" si="3"/>
        <v>4034413.4193</v>
      </c>
      <c r="L15" s="321">
        <f t="shared" si="6"/>
        <v>336201.118275</v>
      </c>
      <c r="M15" s="50">
        <f t="shared" si="7"/>
        <v>40344.134193</v>
      </c>
      <c r="N15" s="50">
        <f t="shared" si="8"/>
        <v>336201.118275</v>
      </c>
      <c r="O15" s="321">
        <f t="shared" si="9"/>
        <v>168100.5591375</v>
      </c>
      <c r="P15" s="50">
        <f t="shared" si="10"/>
        <v>114308.38021350002</v>
      </c>
      <c r="Q15" s="50">
        <f t="shared" si="4"/>
        <v>161376.536772</v>
      </c>
      <c r="R15" s="50">
        <f>+H15*0.522%</f>
        <v>7019.879349582</v>
      </c>
      <c r="S15" s="50">
        <f t="shared" si="12"/>
        <v>848114.3890052461</v>
      </c>
      <c r="T15" s="50">
        <f aca="true" t="shared" si="15" ref="T15:T22">+H15*0.04</f>
        <v>53792.17892400001</v>
      </c>
      <c r="U15" s="50">
        <f t="shared" si="13"/>
        <v>161376.53677200002</v>
      </c>
      <c r="V15" s="50">
        <f aca="true" t="shared" si="16" ref="V15:V22">+H15*0.03</f>
        <v>40344.134193</v>
      </c>
      <c r="W15" s="50">
        <f aca="true" t="shared" si="17" ref="W15:W22">+H15*0.02</f>
        <v>26896.089462000004</v>
      </c>
      <c r="X15" s="50">
        <f t="shared" si="14"/>
        <v>201720.67096500003</v>
      </c>
      <c r="Y15" s="50">
        <f t="shared" si="5"/>
        <v>6126471.945922746</v>
      </c>
      <c r="Z15" s="50">
        <f aca="true" t="shared" si="18" ref="Z15:Z23">+Y15/12</f>
        <v>510539.3288268955</v>
      </c>
      <c r="AA15" s="43"/>
      <c r="AB15" s="42"/>
      <c r="AC15" s="42"/>
      <c r="AD15" s="32"/>
      <c r="AE15" s="32"/>
      <c r="AF15" s="32"/>
      <c r="AG15" s="32"/>
    </row>
    <row r="16" spans="1:33" ht="14.25">
      <c r="A16" s="290" t="s">
        <v>291</v>
      </c>
      <c r="B16" s="135" t="s">
        <v>214</v>
      </c>
      <c r="C16" s="48">
        <v>1</v>
      </c>
      <c r="D16" s="99">
        <v>41091</v>
      </c>
      <c r="E16" s="318">
        <v>41182</v>
      </c>
      <c r="F16" s="98">
        <f>DAYS360(D16,E16,0)+1</f>
        <v>90</v>
      </c>
      <c r="G16" s="49"/>
      <c r="H16" s="50">
        <f>2052051*(1+$C$8)</f>
        <v>2128592.5023000003</v>
      </c>
      <c r="I16" s="50">
        <v>0</v>
      </c>
      <c r="J16" s="50">
        <f t="shared" si="2"/>
        <v>2128592.5023000003</v>
      </c>
      <c r="K16" s="50">
        <f>+J16/30*F16</f>
        <v>6385777.5069</v>
      </c>
      <c r="L16" s="321">
        <f t="shared" si="6"/>
        <v>532148.1255750001</v>
      </c>
      <c r="M16" s="50">
        <f t="shared" si="7"/>
        <v>63857.775069</v>
      </c>
      <c r="N16" s="50">
        <f t="shared" si="8"/>
        <v>532148.1255750001</v>
      </c>
      <c r="O16" s="321">
        <f t="shared" si="9"/>
        <v>266074.06278750004</v>
      </c>
      <c r="P16" s="50">
        <f t="shared" si="10"/>
        <v>180930.36269550005</v>
      </c>
      <c r="Q16" s="50">
        <f t="shared" si="4"/>
        <v>255431.100276</v>
      </c>
      <c r="R16" s="50">
        <f t="shared" si="11"/>
        <v>11111.252862006</v>
      </c>
      <c r="S16" s="50">
        <f t="shared" si="12"/>
        <v>1342418.1475005182</v>
      </c>
      <c r="T16" s="50">
        <f>+H16*0.04</f>
        <v>85143.70009200001</v>
      </c>
      <c r="U16" s="50">
        <f t="shared" si="13"/>
        <v>255431.10027600004</v>
      </c>
      <c r="V16" s="50">
        <f>+H16*0.03</f>
        <v>63857.775069</v>
      </c>
      <c r="W16" s="50">
        <f>+H16*0.02</f>
        <v>42571.85004600001</v>
      </c>
      <c r="X16" s="50">
        <f t="shared" si="14"/>
        <v>319288.875345</v>
      </c>
      <c r="Y16" s="50">
        <f t="shared" si="5"/>
        <v>9697143.71902802</v>
      </c>
      <c r="Z16" s="50">
        <f>+Y16/12</f>
        <v>808095.3099190017</v>
      </c>
      <c r="AA16" s="231"/>
      <c r="AB16" s="228"/>
      <c r="AC16" s="229"/>
      <c r="AD16" s="32"/>
      <c r="AE16" s="32"/>
      <c r="AF16" s="32"/>
      <c r="AG16" s="32"/>
    </row>
    <row r="17" spans="1:33" ht="14.25">
      <c r="A17" s="289" t="s">
        <v>292</v>
      </c>
      <c r="B17" s="47" t="s">
        <v>177</v>
      </c>
      <c r="C17" s="48">
        <v>1</v>
      </c>
      <c r="D17" s="99">
        <v>41091</v>
      </c>
      <c r="E17" s="318">
        <v>41182</v>
      </c>
      <c r="F17" s="98">
        <f>DAYS360(D17,E17,0)+1</f>
        <v>90</v>
      </c>
      <c r="G17" s="48"/>
      <c r="H17" s="276">
        <f>1296447*(1+$C$8)</f>
        <v>1344804.4731</v>
      </c>
      <c r="I17" s="50">
        <v>0</v>
      </c>
      <c r="J17" s="50">
        <f t="shared" si="2"/>
        <v>1344804.4731</v>
      </c>
      <c r="K17" s="50">
        <f>+J17/30*F17</f>
        <v>4034413.4193</v>
      </c>
      <c r="L17" s="321">
        <f t="shared" si="6"/>
        <v>336201.118275</v>
      </c>
      <c r="M17" s="50">
        <f t="shared" si="7"/>
        <v>40344.134193</v>
      </c>
      <c r="N17" s="50">
        <f t="shared" si="8"/>
        <v>336201.118275</v>
      </c>
      <c r="O17" s="321">
        <f t="shared" si="9"/>
        <v>168100.5591375</v>
      </c>
      <c r="P17" s="50">
        <f t="shared" si="10"/>
        <v>114308.38021350002</v>
      </c>
      <c r="Q17" s="50">
        <f t="shared" si="4"/>
        <v>161376.536772</v>
      </c>
      <c r="R17" s="50">
        <f t="shared" si="11"/>
        <v>7019.879349582</v>
      </c>
      <c r="S17" s="50">
        <f t="shared" si="12"/>
        <v>848114.3890052461</v>
      </c>
      <c r="T17" s="50">
        <f>+H17*0.04</f>
        <v>53792.17892400001</v>
      </c>
      <c r="U17" s="50">
        <f t="shared" si="13"/>
        <v>161376.53677200002</v>
      </c>
      <c r="V17" s="50">
        <f>+H17*0.03</f>
        <v>40344.134193</v>
      </c>
      <c r="W17" s="50">
        <f>+H17*0.02</f>
        <v>26896.089462000004</v>
      </c>
      <c r="X17" s="50">
        <f t="shared" si="14"/>
        <v>201720.67096500003</v>
      </c>
      <c r="Y17" s="50">
        <f t="shared" si="5"/>
        <v>6126471.945922746</v>
      </c>
      <c r="Z17" s="50">
        <f>+Y17/12</f>
        <v>510539.3288268955</v>
      </c>
      <c r="AA17" s="43"/>
      <c r="AB17" s="42"/>
      <c r="AC17" s="42"/>
      <c r="AD17" s="32"/>
      <c r="AE17" s="32"/>
      <c r="AF17" s="32"/>
      <c r="AG17" s="32"/>
    </row>
    <row r="18" spans="1:33" ht="14.25">
      <c r="A18" s="289" t="s">
        <v>203</v>
      </c>
      <c r="B18" s="134" t="s">
        <v>187</v>
      </c>
      <c r="C18" s="48">
        <v>1</v>
      </c>
      <c r="D18" s="99">
        <v>41091</v>
      </c>
      <c r="E18" s="318">
        <v>41182</v>
      </c>
      <c r="F18" s="98">
        <f t="shared" si="1"/>
        <v>90</v>
      </c>
      <c r="G18" s="48"/>
      <c r="H18" s="276">
        <f>1123671*(1+$C$8)</f>
        <v>1165583.9283</v>
      </c>
      <c r="I18" s="50">
        <v>0</v>
      </c>
      <c r="J18" s="50">
        <f t="shared" si="2"/>
        <v>1165583.9283</v>
      </c>
      <c r="K18" s="50">
        <f>+J18/30*F18</f>
        <v>3496751.7849000003</v>
      </c>
      <c r="L18" s="321">
        <f t="shared" si="6"/>
        <v>291395.982075</v>
      </c>
      <c r="M18" s="50">
        <f t="shared" si="7"/>
        <v>34967.517848999996</v>
      </c>
      <c r="N18" s="50">
        <f t="shared" si="8"/>
        <v>291395.982075</v>
      </c>
      <c r="O18" s="321">
        <f t="shared" si="9"/>
        <v>145697.9910375</v>
      </c>
      <c r="P18" s="50">
        <f t="shared" si="10"/>
        <v>99074.63390550001</v>
      </c>
      <c r="Q18" s="50">
        <f t="shared" si="4"/>
        <v>139870.07139599998</v>
      </c>
      <c r="R18" s="50">
        <f>+H18*0.522%</f>
        <v>6084.348105726</v>
      </c>
      <c r="S18" s="50">
        <f t="shared" si="12"/>
        <v>735087.160221678</v>
      </c>
      <c r="T18" s="50">
        <f t="shared" si="15"/>
        <v>46623.357132000005</v>
      </c>
      <c r="U18" s="50">
        <f t="shared" si="13"/>
        <v>139870.071396</v>
      </c>
      <c r="V18" s="50">
        <f t="shared" si="16"/>
        <v>34967.517848999996</v>
      </c>
      <c r="W18" s="50">
        <f t="shared" si="17"/>
        <v>23311.678566000002</v>
      </c>
      <c r="X18" s="50">
        <f t="shared" si="14"/>
        <v>174837.58924499998</v>
      </c>
      <c r="Y18" s="50">
        <f t="shared" si="5"/>
        <v>5310004.078799179</v>
      </c>
      <c r="Z18" s="50">
        <f t="shared" si="18"/>
        <v>442500.33989993157</v>
      </c>
      <c r="AA18" s="218"/>
      <c r="AB18" s="42"/>
      <c r="AC18" s="42"/>
      <c r="AD18" s="32"/>
      <c r="AE18" s="32"/>
      <c r="AF18" s="32"/>
      <c r="AG18" s="32"/>
    </row>
    <row r="19" spans="1:33" ht="14.25">
      <c r="A19" s="288" t="s">
        <v>46</v>
      </c>
      <c r="B19" s="47" t="s">
        <v>178</v>
      </c>
      <c r="C19" s="48">
        <v>1</v>
      </c>
      <c r="D19" s="99">
        <v>41091</v>
      </c>
      <c r="E19" s="318">
        <v>41182</v>
      </c>
      <c r="F19" s="98">
        <f t="shared" si="1"/>
        <v>90</v>
      </c>
      <c r="G19" s="48"/>
      <c r="H19" s="50">
        <f>729641*(1+$C$8)</f>
        <v>756856.6093000001</v>
      </c>
      <c r="I19" s="50">
        <f>+E8</f>
        <v>67800</v>
      </c>
      <c r="J19" s="50">
        <f t="shared" si="2"/>
        <v>824656.6093000001</v>
      </c>
      <c r="K19" s="50">
        <f t="shared" si="3"/>
        <v>2473969.8279000004</v>
      </c>
      <c r="L19" s="321">
        <f t="shared" si="6"/>
        <v>206164.15232500003</v>
      </c>
      <c r="M19" s="50">
        <f t="shared" si="7"/>
        <v>24739.698279000004</v>
      </c>
      <c r="N19" s="50">
        <f t="shared" si="8"/>
        <v>206164.15232500003</v>
      </c>
      <c r="O19" s="321">
        <f t="shared" si="9"/>
        <v>103082.07616250002</v>
      </c>
      <c r="P19" s="50">
        <f t="shared" si="10"/>
        <v>64332.81179050002</v>
      </c>
      <c r="Q19" s="50">
        <f t="shared" si="4"/>
        <v>90822.79311600002</v>
      </c>
      <c r="R19" s="50">
        <f>+H19*0.522%</f>
        <v>3950.7915005460004</v>
      </c>
      <c r="S19" s="50">
        <f t="shared" si="12"/>
        <v>477319.1892211381</v>
      </c>
      <c r="T19" s="50">
        <f t="shared" si="15"/>
        <v>30274.264372000005</v>
      </c>
      <c r="U19" s="50">
        <f t="shared" si="13"/>
        <v>90822.79311600002</v>
      </c>
      <c r="V19" s="50">
        <f t="shared" si="16"/>
        <v>22705.698279000004</v>
      </c>
      <c r="W19" s="50">
        <f t="shared" si="17"/>
        <v>15137.132186000003</v>
      </c>
      <c r="X19" s="50">
        <f t="shared" si="14"/>
        <v>113528.49139500002</v>
      </c>
      <c r="Y19" s="50">
        <f t="shared" si="5"/>
        <v>3695790.3807236385</v>
      </c>
      <c r="Z19" s="50">
        <f t="shared" si="18"/>
        <v>307982.5317269699</v>
      </c>
      <c r="AA19" s="218"/>
      <c r="AB19" s="42"/>
      <c r="AC19" s="42"/>
      <c r="AD19" s="32"/>
      <c r="AE19" s="32"/>
      <c r="AF19" s="32"/>
      <c r="AG19" s="32"/>
    </row>
    <row r="20" spans="1:33" ht="14.25">
      <c r="A20" s="289" t="s">
        <v>46</v>
      </c>
      <c r="B20" s="47" t="s">
        <v>178</v>
      </c>
      <c r="C20" s="48">
        <v>1</v>
      </c>
      <c r="D20" s="99">
        <v>41091</v>
      </c>
      <c r="E20" s="318">
        <v>41182</v>
      </c>
      <c r="F20" s="98">
        <f>DAYS360(D20,E20,0)+1</f>
        <v>90</v>
      </c>
      <c r="G20" s="48"/>
      <c r="H20" s="50">
        <f>729641*(1+$C$8)</f>
        <v>756856.6093000001</v>
      </c>
      <c r="I20" s="50">
        <f>+E8</f>
        <v>67800</v>
      </c>
      <c r="J20" s="50">
        <f t="shared" si="2"/>
        <v>824656.6093000001</v>
      </c>
      <c r="K20" s="50">
        <f>+J20/30*F20</f>
        <v>2473969.8279000004</v>
      </c>
      <c r="L20" s="321">
        <f t="shared" si="6"/>
        <v>206164.15232500003</v>
      </c>
      <c r="M20" s="50">
        <f t="shared" si="7"/>
        <v>24739.698279000004</v>
      </c>
      <c r="N20" s="50">
        <f t="shared" si="8"/>
        <v>206164.15232500003</v>
      </c>
      <c r="O20" s="321">
        <f t="shared" si="9"/>
        <v>103082.07616250002</v>
      </c>
      <c r="P20" s="50">
        <f t="shared" si="10"/>
        <v>64332.81179050002</v>
      </c>
      <c r="Q20" s="50">
        <f t="shared" si="4"/>
        <v>90822.79311600002</v>
      </c>
      <c r="R20" s="50">
        <f t="shared" si="11"/>
        <v>3950.7915005460004</v>
      </c>
      <c r="S20" s="50">
        <f t="shared" si="12"/>
        <v>477319.1892211381</v>
      </c>
      <c r="T20" s="50">
        <f>+H20*0.04</f>
        <v>30274.264372000005</v>
      </c>
      <c r="U20" s="50">
        <f t="shared" si="13"/>
        <v>90822.79311600002</v>
      </c>
      <c r="V20" s="50">
        <f>+H20*0.03</f>
        <v>22705.698279000004</v>
      </c>
      <c r="W20" s="50">
        <f>+H20*0.02</f>
        <v>15137.132186000003</v>
      </c>
      <c r="X20" s="50">
        <f t="shared" si="14"/>
        <v>113528.49139500002</v>
      </c>
      <c r="Y20" s="50">
        <f t="shared" si="5"/>
        <v>3695790.3807236385</v>
      </c>
      <c r="Z20" s="50">
        <f>+Y20/12</f>
        <v>307982.5317269699</v>
      </c>
      <c r="AA20" s="218"/>
      <c r="AB20" s="42"/>
      <c r="AC20" s="42"/>
      <c r="AD20" s="32"/>
      <c r="AE20" s="32"/>
      <c r="AF20" s="32"/>
      <c r="AG20" s="32"/>
    </row>
    <row r="21" spans="1:33" ht="14.25">
      <c r="A21" s="289" t="s">
        <v>208</v>
      </c>
      <c r="B21" s="134" t="s">
        <v>209</v>
      </c>
      <c r="C21" s="48">
        <v>1</v>
      </c>
      <c r="D21" s="99">
        <v>41091</v>
      </c>
      <c r="E21" s="318">
        <v>41182</v>
      </c>
      <c r="F21" s="98">
        <f t="shared" si="1"/>
        <v>90</v>
      </c>
      <c r="G21" s="48"/>
      <c r="H21" s="276">
        <f>643873*(1+C8)</f>
        <v>667889.4629</v>
      </c>
      <c r="I21" s="50">
        <f>+E8</f>
        <v>67800</v>
      </c>
      <c r="J21" s="50">
        <f t="shared" si="2"/>
        <v>735689.4629</v>
      </c>
      <c r="K21" s="50">
        <f>+J21/30*F21</f>
        <v>2207068.3887</v>
      </c>
      <c r="L21" s="321">
        <f t="shared" si="6"/>
        <v>183922.365725</v>
      </c>
      <c r="M21" s="50">
        <f t="shared" si="7"/>
        <v>22070.683887</v>
      </c>
      <c r="N21" s="50">
        <f t="shared" si="8"/>
        <v>183922.365725</v>
      </c>
      <c r="O21" s="321">
        <f t="shared" si="9"/>
        <v>91961.1828625</v>
      </c>
      <c r="P21" s="50">
        <f t="shared" si="10"/>
        <v>56770.60434650001</v>
      </c>
      <c r="Q21" s="50">
        <f t="shared" si="4"/>
        <v>80146.735548</v>
      </c>
      <c r="R21" s="50">
        <f t="shared" si="11"/>
        <v>3486.382996338</v>
      </c>
      <c r="S21" s="50">
        <f t="shared" si="12"/>
        <v>421211.16867251403</v>
      </c>
      <c r="T21" s="50">
        <f>+H21*0.04</f>
        <v>26715.578516</v>
      </c>
      <c r="U21" s="50">
        <f t="shared" si="13"/>
        <v>80146.735548</v>
      </c>
      <c r="V21" s="50">
        <f>+H21*0.03</f>
        <v>20036.683887</v>
      </c>
      <c r="W21" s="50">
        <f>+H21*0.02</f>
        <v>13357.789258</v>
      </c>
      <c r="X21" s="50">
        <f t="shared" si="14"/>
        <v>100183.41943499999</v>
      </c>
      <c r="Y21" s="50">
        <f t="shared" si="5"/>
        <v>3290486.3105550143</v>
      </c>
      <c r="Z21" s="50">
        <f>+Y21/12</f>
        <v>274207.1925462512</v>
      </c>
      <c r="AA21" s="218"/>
      <c r="AB21" s="42"/>
      <c r="AC21" s="42"/>
      <c r="AD21" s="32"/>
      <c r="AE21" s="32"/>
      <c r="AF21" s="32"/>
      <c r="AG21" s="32"/>
    </row>
    <row r="22" spans="1:33" ht="14.25">
      <c r="A22" s="288" t="s">
        <v>43</v>
      </c>
      <c r="B22" s="47" t="s">
        <v>179</v>
      </c>
      <c r="C22" s="48">
        <v>1</v>
      </c>
      <c r="D22" s="99">
        <v>41091</v>
      </c>
      <c r="E22" s="318">
        <v>41182</v>
      </c>
      <c r="F22" s="98">
        <f t="shared" si="1"/>
        <v>90</v>
      </c>
      <c r="G22" s="48"/>
      <c r="H22" s="50">
        <f>+E7</f>
        <v>566700</v>
      </c>
      <c r="I22" s="50">
        <f>+E8</f>
        <v>67800</v>
      </c>
      <c r="J22" s="50">
        <f t="shared" si="2"/>
        <v>634500</v>
      </c>
      <c r="K22" s="50">
        <f t="shared" si="3"/>
        <v>1903500</v>
      </c>
      <c r="L22" s="321">
        <f t="shared" si="6"/>
        <v>158625</v>
      </c>
      <c r="M22" s="50">
        <f t="shared" si="7"/>
        <v>19035</v>
      </c>
      <c r="N22" s="50">
        <f t="shared" si="8"/>
        <v>158625</v>
      </c>
      <c r="O22" s="321">
        <f t="shared" si="9"/>
        <v>79312.5</v>
      </c>
      <c r="P22" s="50">
        <f t="shared" si="10"/>
        <v>48169.5</v>
      </c>
      <c r="Q22" s="50">
        <f t="shared" si="4"/>
        <v>68004</v>
      </c>
      <c r="R22" s="50">
        <f t="shared" si="11"/>
        <v>2958.174</v>
      </c>
      <c r="S22" s="50">
        <f t="shared" si="12"/>
        <v>357395.022</v>
      </c>
      <c r="T22" s="50">
        <f t="shared" si="15"/>
        <v>22668</v>
      </c>
      <c r="U22" s="50">
        <f t="shared" si="13"/>
        <v>68004</v>
      </c>
      <c r="V22" s="50">
        <f t="shared" si="16"/>
        <v>17001</v>
      </c>
      <c r="W22" s="50">
        <f t="shared" si="17"/>
        <v>11334</v>
      </c>
      <c r="X22" s="50">
        <f t="shared" si="14"/>
        <v>85005</v>
      </c>
      <c r="Y22" s="50">
        <f t="shared" si="5"/>
        <v>2829501.522</v>
      </c>
      <c r="Z22" s="50">
        <f t="shared" si="18"/>
        <v>235791.7935</v>
      </c>
      <c r="AA22" s="218"/>
      <c r="AB22" s="42"/>
      <c r="AC22" s="42"/>
      <c r="AD22" s="32"/>
      <c r="AE22" s="32"/>
      <c r="AF22" s="32"/>
      <c r="AG22" s="32"/>
    </row>
    <row r="23" spans="1:33" ht="14.25">
      <c r="A23" s="47" t="s">
        <v>17</v>
      </c>
      <c r="B23" s="47" t="s">
        <v>180</v>
      </c>
      <c r="C23" s="48">
        <v>4</v>
      </c>
      <c r="D23" s="99">
        <v>41091</v>
      </c>
      <c r="E23" s="318">
        <v>41182</v>
      </c>
      <c r="F23" s="98">
        <f t="shared" si="1"/>
        <v>90</v>
      </c>
      <c r="G23" s="50"/>
      <c r="H23" s="50">
        <f>+E7*75%*C23</f>
        <v>1700100</v>
      </c>
      <c r="I23" s="50">
        <v>0</v>
      </c>
      <c r="J23" s="50">
        <f t="shared" si="2"/>
        <v>1700100</v>
      </c>
      <c r="K23" s="50">
        <f t="shared" si="3"/>
        <v>5100300</v>
      </c>
      <c r="L23" s="321"/>
      <c r="M23" s="50">
        <v>0</v>
      </c>
      <c r="N23" s="50">
        <v>0</v>
      </c>
      <c r="O23" s="321">
        <v>0</v>
      </c>
      <c r="P23" s="50">
        <f>+H22*0.125</f>
        <v>70837.5</v>
      </c>
      <c r="Q23" s="50"/>
      <c r="R23" s="50">
        <f>+H22*0.522%</f>
        <v>2958.174</v>
      </c>
      <c r="S23" s="50">
        <f>+((P23+Q23+R23)/30*F23)*C23</f>
        <v>885548.088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f>+S23+K23</f>
        <v>5985848.0879999995</v>
      </c>
      <c r="Z23" s="50">
        <f t="shared" si="18"/>
        <v>498820.67399999994</v>
      </c>
      <c r="AA23" s="218"/>
      <c r="AB23" s="42"/>
      <c r="AC23" s="42"/>
      <c r="AD23" s="32"/>
      <c r="AE23" s="32"/>
      <c r="AF23" s="32"/>
      <c r="AG23" s="32"/>
    </row>
    <row r="24" spans="1:33" ht="12.75">
      <c r="A24" s="57"/>
      <c r="B24" s="57"/>
      <c r="C24" s="58"/>
      <c r="D24" s="58"/>
      <c r="E24" s="58"/>
      <c r="F24" s="58"/>
      <c r="G24" s="59"/>
      <c r="H24" s="255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218"/>
      <c r="AB24" s="42"/>
      <c r="AC24" s="42"/>
      <c r="AD24" s="32"/>
      <c r="AE24" s="32"/>
      <c r="AF24" s="32"/>
      <c r="AG24" s="32"/>
    </row>
    <row r="25" spans="1:33" ht="12.75">
      <c r="A25" s="57"/>
      <c r="B25" s="57"/>
      <c r="C25" s="58"/>
      <c r="D25" s="58"/>
      <c r="E25" s="58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218"/>
      <c r="AB25" s="42"/>
      <c r="AC25" s="42"/>
      <c r="AD25" s="32"/>
      <c r="AE25" s="32"/>
      <c r="AF25" s="32"/>
      <c r="AG25" s="32"/>
    </row>
    <row r="26" spans="1:33" ht="15.75">
      <c r="A26" s="81" t="s">
        <v>19</v>
      </c>
      <c r="B26" s="81" t="s">
        <v>176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45"/>
      <c r="R26" s="45"/>
      <c r="S26" s="46"/>
      <c r="T26" s="45"/>
      <c r="U26" s="46"/>
      <c r="V26" s="45"/>
      <c r="W26" s="45"/>
      <c r="X26" s="46"/>
      <c r="Y26" s="84">
        <f>+Y27+Y40+Y45</f>
        <v>203814801.28328824</v>
      </c>
      <c r="Z26" s="43"/>
      <c r="AA26" s="219"/>
      <c r="AB26" s="42"/>
      <c r="AC26" s="52"/>
      <c r="AD26" s="32"/>
      <c r="AE26" s="32"/>
      <c r="AF26" s="32"/>
      <c r="AG26" s="32"/>
    </row>
    <row r="27" spans="1:33" ht="14.25">
      <c r="A27" s="159" t="s">
        <v>216</v>
      </c>
      <c r="B27" s="159"/>
      <c r="C27" s="162">
        <f>+C29+C30+C31+C32+C33+C34+C35+C36+C37+C40+C45</f>
        <v>22</v>
      </c>
      <c r="D27" s="160"/>
      <c r="E27" s="160"/>
      <c r="F27" s="161"/>
      <c r="G27" s="163">
        <f>SUM(G29:G40)</f>
        <v>7367100</v>
      </c>
      <c r="H27" s="164">
        <f>+H28+H40+H45</f>
        <v>43696985.35450001</v>
      </c>
      <c r="I27" s="164">
        <f aca="true" t="shared" si="19" ref="I27:Z27">+I28+I40+I45</f>
        <v>67800</v>
      </c>
      <c r="J27" s="164">
        <f t="shared" si="19"/>
        <v>45974915.35450001</v>
      </c>
      <c r="K27" s="164">
        <f t="shared" si="19"/>
        <v>137924746.06350002</v>
      </c>
      <c r="L27" s="322">
        <f t="shared" si="19"/>
        <v>9651953.838625003</v>
      </c>
      <c r="M27" s="164">
        <f t="shared" si="19"/>
        <v>1158234.4606350004</v>
      </c>
      <c r="N27" s="164">
        <f t="shared" si="19"/>
        <v>9651953.838625003</v>
      </c>
      <c r="O27" s="164">
        <f t="shared" si="19"/>
        <v>5746864.419312501</v>
      </c>
      <c r="P27" s="164">
        <f t="shared" si="19"/>
        <v>3714243.7551325</v>
      </c>
      <c r="Q27" s="164">
        <f t="shared" si="19"/>
        <v>5243638.24254</v>
      </c>
      <c r="R27" s="164">
        <f t="shared" si="19"/>
        <v>336405.5412860701</v>
      </c>
      <c r="S27" s="164">
        <f t="shared" si="19"/>
        <v>27882862.61687571</v>
      </c>
      <c r="T27" s="164">
        <f t="shared" si="19"/>
        <v>1747879.4141800003</v>
      </c>
      <c r="U27" s="164">
        <f t="shared" si="19"/>
        <v>5243638.24254</v>
      </c>
      <c r="V27" s="164">
        <f t="shared" si="19"/>
        <v>1310909.560635</v>
      </c>
      <c r="W27" s="164">
        <f t="shared" si="19"/>
        <v>873939.7070900002</v>
      </c>
      <c r="X27" s="164">
        <f t="shared" si="19"/>
        <v>6554547.803175002</v>
      </c>
      <c r="Y27" s="164">
        <f>+Y28+Y40+Y45</f>
        <v>203814801.28328824</v>
      </c>
      <c r="Z27" s="164">
        <f t="shared" si="19"/>
        <v>16984566.77360735</v>
      </c>
      <c r="AA27" s="218"/>
      <c r="AB27" s="42"/>
      <c r="AC27" s="42"/>
      <c r="AD27" s="32"/>
      <c r="AE27" s="32"/>
      <c r="AF27" s="32"/>
      <c r="AG27" s="32"/>
    </row>
    <row r="28" spans="1:33" ht="14.25">
      <c r="A28" s="159"/>
      <c r="B28" s="85"/>
      <c r="C28" s="89"/>
      <c r="D28" s="99"/>
      <c r="E28" s="99"/>
      <c r="F28" s="98"/>
      <c r="G28" s="90">
        <f>SUM(G29:G37)</f>
        <v>7367100</v>
      </c>
      <c r="H28" s="91">
        <f>SUM(H29:H48)</f>
        <v>43696985.35450001</v>
      </c>
      <c r="I28" s="226">
        <f aca="true" t="shared" si="20" ref="I28:Z28">SUM(I29:I48)</f>
        <v>67800</v>
      </c>
      <c r="J28" s="226">
        <f t="shared" si="20"/>
        <v>45974915.35450001</v>
      </c>
      <c r="K28" s="91">
        <f t="shared" si="20"/>
        <v>137924746.06350002</v>
      </c>
      <c r="L28" s="322">
        <f>SUM(L29:L48)</f>
        <v>9651953.838625003</v>
      </c>
      <c r="M28" s="91">
        <f t="shared" si="20"/>
        <v>1158234.4606350004</v>
      </c>
      <c r="N28" s="91">
        <f t="shared" si="20"/>
        <v>9651953.838625003</v>
      </c>
      <c r="O28" s="91">
        <f t="shared" si="20"/>
        <v>5746864.419312501</v>
      </c>
      <c r="P28" s="91">
        <f t="shared" si="20"/>
        <v>3714243.7551325</v>
      </c>
      <c r="Q28" s="91">
        <f t="shared" si="20"/>
        <v>5243638.24254</v>
      </c>
      <c r="R28" s="91">
        <f t="shared" si="20"/>
        <v>336405.5412860701</v>
      </c>
      <c r="S28" s="91">
        <f t="shared" si="20"/>
        <v>27882862.61687571</v>
      </c>
      <c r="T28" s="91">
        <f t="shared" si="20"/>
        <v>1747879.4141800003</v>
      </c>
      <c r="U28" s="91">
        <f t="shared" si="20"/>
        <v>5243638.24254</v>
      </c>
      <c r="V28" s="91">
        <f t="shared" si="20"/>
        <v>1310909.560635</v>
      </c>
      <c r="W28" s="91">
        <f t="shared" si="20"/>
        <v>873939.7070900002</v>
      </c>
      <c r="X28" s="91">
        <f t="shared" si="20"/>
        <v>6554547.803175002</v>
      </c>
      <c r="Y28" s="91">
        <f>SUM(Y29:Y48)</f>
        <v>203814801.28328824</v>
      </c>
      <c r="Z28" s="91">
        <f t="shared" si="20"/>
        <v>16984566.77360735</v>
      </c>
      <c r="AA28" s="218"/>
      <c r="AB28" s="42"/>
      <c r="AC28" s="42"/>
      <c r="AD28" s="32"/>
      <c r="AE28" s="32"/>
      <c r="AF28" s="32"/>
      <c r="AG28" s="32"/>
    </row>
    <row r="29" spans="1:33" ht="14.25">
      <c r="A29" s="288" t="s">
        <v>99</v>
      </c>
      <c r="B29" s="47" t="s">
        <v>184</v>
      </c>
      <c r="C29" s="48">
        <v>1</v>
      </c>
      <c r="D29" s="99">
        <v>41091</v>
      </c>
      <c r="E29" s="318">
        <v>41182</v>
      </c>
      <c r="F29" s="98">
        <f aca="true" t="shared" si="21" ref="F29:F37">DAYS360(D29,E29,0)+1</f>
        <v>90</v>
      </c>
      <c r="G29" s="50">
        <f>+$E$7*13</f>
        <v>7367100</v>
      </c>
      <c r="H29" s="50">
        <f>+G29*70%</f>
        <v>5156970</v>
      </c>
      <c r="I29" s="50">
        <v>0</v>
      </c>
      <c r="J29" s="50">
        <f>G29</f>
        <v>7367100</v>
      </c>
      <c r="K29" s="50">
        <f aca="true" t="shared" si="22" ref="K29:K37">+J29/30*F29</f>
        <v>22101300</v>
      </c>
      <c r="L29" s="321">
        <v>0</v>
      </c>
      <c r="M29" s="50">
        <f aca="true" t="shared" si="23" ref="M29:M37">+L29*12%</f>
        <v>0</v>
      </c>
      <c r="N29" s="50">
        <v>0</v>
      </c>
      <c r="O29" s="321">
        <f aca="true" t="shared" si="24" ref="O29:O37">+J29*F29/720</f>
        <v>920887.5</v>
      </c>
      <c r="P29" s="50">
        <f aca="true" t="shared" si="25" ref="P29:P37">+H29*0.085</f>
        <v>438342.45</v>
      </c>
      <c r="Q29" s="50">
        <f aca="true" t="shared" si="26" ref="Q29:Q37">+H29*12%</f>
        <v>618836.4</v>
      </c>
      <c r="R29" s="50">
        <f>+H29*0.522%</f>
        <v>26919.3834</v>
      </c>
      <c r="S29" s="50">
        <f aca="true" t="shared" si="27" ref="S29:S37">+((P29+Q29+R29)/30*F29)</f>
        <v>3252294.7002</v>
      </c>
      <c r="T29" s="50">
        <f aca="true" t="shared" si="28" ref="T29:T37">+H29*0.04</f>
        <v>206278.80000000002</v>
      </c>
      <c r="U29" s="50">
        <f aca="true" t="shared" si="29" ref="U29:U37">+(T29/30)*F29</f>
        <v>618836.4000000001</v>
      </c>
      <c r="V29" s="50">
        <f aca="true" t="shared" si="30" ref="V29:V37">+H29*0.03</f>
        <v>154709.1</v>
      </c>
      <c r="W29" s="50">
        <f aca="true" t="shared" si="31" ref="W29:W37">+H29*0.02</f>
        <v>103139.40000000001</v>
      </c>
      <c r="X29" s="50">
        <f aca="true" t="shared" si="32" ref="X29:X37">+((V29+W29)/30*F29)</f>
        <v>773545.5000000001</v>
      </c>
      <c r="Y29" s="50">
        <f aca="true" t="shared" si="33" ref="Y29:Y37">K29+L29+M29+N29+O29+S29+U29+X29</f>
        <v>27666864.100199997</v>
      </c>
      <c r="Z29" s="50">
        <f aca="true" t="shared" si="34" ref="Z29:Z37">+Y29/12</f>
        <v>2305572.00835</v>
      </c>
      <c r="AA29" s="218"/>
      <c r="AB29" s="52"/>
      <c r="AC29" s="42"/>
      <c r="AD29" s="32"/>
      <c r="AE29" s="32"/>
      <c r="AF29" s="32"/>
      <c r="AG29" s="32"/>
    </row>
    <row r="30" spans="1:33" ht="14.25">
      <c r="A30" s="288" t="s">
        <v>146</v>
      </c>
      <c r="B30" s="47" t="s">
        <v>185</v>
      </c>
      <c r="C30" s="48">
        <v>1</v>
      </c>
      <c r="D30" s="99">
        <v>41091</v>
      </c>
      <c r="E30" s="318">
        <v>41182</v>
      </c>
      <c r="F30" s="98">
        <f t="shared" si="21"/>
        <v>90</v>
      </c>
      <c r="G30" s="50"/>
      <c r="H30" s="50">
        <f>3569101*(1+$C$8)</f>
        <v>3702228.4673000006</v>
      </c>
      <c r="I30" s="50">
        <v>0</v>
      </c>
      <c r="J30" s="50">
        <f aca="true" t="shared" si="35" ref="J30:J37">+I30+H30</f>
        <v>3702228.4673000006</v>
      </c>
      <c r="K30" s="50">
        <f>+J30/30*F30</f>
        <v>11106685.401900003</v>
      </c>
      <c r="L30" s="321">
        <f aca="true" t="shared" si="36" ref="L30:L37">+J30*F30/360</f>
        <v>925557.1168250002</v>
      </c>
      <c r="M30" s="50">
        <f t="shared" si="23"/>
        <v>111066.85401900002</v>
      </c>
      <c r="N30" s="50">
        <f aca="true" t="shared" si="37" ref="N30:N37">+L30</f>
        <v>925557.1168250002</v>
      </c>
      <c r="O30" s="321">
        <f t="shared" si="24"/>
        <v>462778.5584125001</v>
      </c>
      <c r="P30" s="50">
        <f t="shared" si="25"/>
        <v>314689.41972050007</v>
      </c>
      <c r="Q30" s="50">
        <f t="shared" si="26"/>
        <v>444267.4160760001</v>
      </c>
      <c r="R30" s="50">
        <f>+H30*0.522%</f>
        <v>19325.632599306</v>
      </c>
      <c r="S30" s="50">
        <f t="shared" si="27"/>
        <v>2334847.405187418</v>
      </c>
      <c r="T30" s="50">
        <f t="shared" si="28"/>
        <v>148089.13869200004</v>
      </c>
      <c r="U30" s="50">
        <f t="shared" si="29"/>
        <v>444267.4160760001</v>
      </c>
      <c r="V30" s="50">
        <f t="shared" si="30"/>
        <v>111066.85401900002</v>
      </c>
      <c r="W30" s="50">
        <f t="shared" si="31"/>
        <v>74044.56934600002</v>
      </c>
      <c r="X30" s="50">
        <f t="shared" si="32"/>
        <v>555334.2700950002</v>
      </c>
      <c r="Y30" s="294">
        <f t="shared" si="33"/>
        <v>16866094.13933992</v>
      </c>
      <c r="Z30" s="50">
        <f t="shared" si="34"/>
        <v>1405507.8449449933</v>
      </c>
      <c r="AA30" s="218"/>
      <c r="AB30" s="51"/>
      <c r="AC30" s="42"/>
      <c r="AD30" s="32"/>
      <c r="AE30" s="32"/>
      <c r="AF30" s="32"/>
      <c r="AG30" s="32"/>
    </row>
    <row r="31" spans="1:33" ht="14.25">
      <c r="A31" s="289" t="s">
        <v>231</v>
      </c>
      <c r="B31" s="47" t="s">
        <v>185</v>
      </c>
      <c r="C31" s="48">
        <v>1</v>
      </c>
      <c r="D31" s="99">
        <v>41091</v>
      </c>
      <c r="E31" s="318">
        <v>41182</v>
      </c>
      <c r="F31" s="98">
        <f t="shared" si="21"/>
        <v>90</v>
      </c>
      <c r="G31" s="50"/>
      <c r="H31" s="50">
        <f>3569101*(1+$C$8)</f>
        <v>3702228.4673000006</v>
      </c>
      <c r="I31" s="50">
        <v>0</v>
      </c>
      <c r="J31" s="50">
        <f t="shared" si="35"/>
        <v>3702228.4673000006</v>
      </c>
      <c r="K31" s="50">
        <f t="shared" si="22"/>
        <v>11106685.401900003</v>
      </c>
      <c r="L31" s="321">
        <f t="shared" si="36"/>
        <v>925557.1168250002</v>
      </c>
      <c r="M31" s="50">
        <f t="shared" si="23"/>
        <v>111066.85401900002</v>
      </c>
      <c r="N31" s="50">
        <f t="shared" si="37"/>
        <v>925557.1168250002</v>
      </c>
      <c r="O31" s="321">
        <f t="shared" si="24"/>
        <v>462778.5584125001</v>
      </c>
      <c r="P31" s="50">
        <f t="shared" si="25"/>
        <v>314689.41972050007</v>
      </c>
      <c r="Q31" s="50">
        <f t="shared" si="26"/>
        <v>444267.4160760001</v>
      </c>
      <c r="R31" s="50">
        <f>+H31*0.522%</f>
        <v>19325.632599306</v>
      </c>
      <c r="S31" s="50">
        <f t="shared" si="27"/>
        <v>2334847.405187418</v>
      </c>
      <c r="T31" s="50">
        <f t="shared" si="28"/>
        <v>148089.13869200004</v>
      </c>
      <c r="U31" s="50">
        <f t="shared" si="29"/>
        <v>444267.4160760001</v>
      </c>
      <c r="V31" s="50">
        <f t="shared" si="30"/>
        <v>111066.85401900002</v>
      </c>
      <c r="W31" s="50">
        <f t="shared" si="31"/>
        <v>74044.56934600002</v>
      </c>
      <c r="X31" s="50">
        <f t="shared" si="32"/>
        <v>555334.2700950002</v>
      </c>
      <c r="Y31" s="294">
        <f t="shared" si="33"/>
        <v>16866094.13933992</v>
      </c>
      <c r="Z31" s="50">
        <f t="shared" si="34"/>
        <v>1405507.8449449933</v>
      </c>
      <c r="AA31" s="231"/>
      <c r="AB31" s="51"/>
      <c r="AC31" s="42"/>
      <c r="AD31" s="118"/>
      <c r="AE31" s="32"/>
      <c r="AF31" s="32"/>
      <c r="AG31" s="32"/>
    </row>
    <row r="32" spans="1:33" ht="14.25">
      <c r="A32" s="289" t="s">
        <v>232</v>
      </c>
      <c r="B32" s="47" t="s">
        <v>185</v>
      </c>
      <c r="C32" s="48">
        <v>1</v>
      </c>
      <c r="D32" s="99">
        <v>41091</v>
      </c>
      <c r="E32" s="318">
        <v>41182</v>
      </c>
      <c r="F32" s="98">
        <f t="shared" si="21"/>
        <v>90</v>
      </c>
      <c r="G32" s="50"/>
      <c r="H32" s="50">
        <f>3569101*(1+$C$8)</f>
        <v>3702228.4673000006</v>
      </c>
      <c r="I32" s="50">
        <v>0</v>
      </c>
      <c r="J32" s="50">
        <f t="shared" si="35"/>
        <v>3702228.4673000006</v>
      </c>
      <c r="K32" s="50">
        <f t="shared" si="22"/>
        <v>11106685.401900003</v>
      </c>
      <c r="L32" s="321">
        <f t="shared" si="36"/>
        <v>925557.1168250002</v>
      </c>
      <c r="M32" s="50">
        <f t="shared" si="23"/>
        <v>111066.85401900002</v>
      </c>
      <c r="N32" s="50">
        <f t="shared" si="37"/>
        <v>925557.1168250002</v>
      </c>
      <c r="O32" s="321">
        <f t="shared" si="24"/>
        <v>462778.5584125001</v>
      </c>
      <c r="P32" s="50">
        <f t="shared" si="25"/>
        <v>314689.41972050007</v>
      </c>
      <c r="Q32" s="50">
        <f t="shared" si="26"/>
        <v>444267.4160760001</v>
      </c>
      <c r="R32" s="50">
        <f>+H32*0.522%</f>
        <v>19325.632599306</v>
      </c>
      <c r="S32" s="50">
        <f t="shared" si="27"/>
        <v>2334847.405187418</v>
      </c>
      <c r="T32" s="50">
        <f t="shared" si="28"/>
        <v>148089.13869200004</v>
      </c>
      <c r="U32" s="50">
        <f t="shared" si="29"/>
        <v>444267.4160760001</v>
      </c>
      <c r="V32" s="50">
        <f t="shared" si="30"/>
        <v>111066.85401900002</v>
      </c>
      <c r="W32" s="50">
        <f t="shared" si="31"/>
        <v>74044.56934600002</v>
      </c>
      <c r="X32" s="50">
        <f t="shared" si="32"/>
        <v>555334.2700950002</v>
      </c>
      <c r="Y32" s="294">
        <f t="shared" si="33"/>
        <v>16866094.13933992</v>
      </c>
      <c r="Z32" s="50">
        <f t="shared" si="34"/>
        <v>1405507.8449449933</v>
      </c>
      <c r="AA32" s="232"/>
      <c r="AB32" s="51"/>
      <c r="AC32" s="42"/>
      <c r="AD32" s="32"/>
      <c r="AE32" s="32"/>
      <c r="AF32" s="32"/>
      <c r="AG32" s="32"/>
    </row>
    <row r="33" spans="1:33" ht="14.25">
      <c r="A33" s="290" t="s">
        <v>136</v>
      </c>
      <c r="B33" s="135" t="s">
        <v>181</v>
      </c>
      <c r="C33" s="48">
        <v>1</v>
      </c>
      <c r="D33" s="99">
        <v>41091</v>
      </c>
      <c r="E33" s="318">
        <v>41182</v>
      </c>
      <c r="F33" s="98">
        <f t="shared" si="21"/>
        <v>90</v>
      </c>
      <c r="G33" s="49"/>
      <c r="H33" s="50">
        <f>2888729*(1+$C$8)</f>
        <v>2996478.5917</v>
      </c>
      <c r="I33" s="50"/>
      <c r="J33" s="50">
        <f t="shared" si="35"/>
        <v>2996478.5917</v>
      </c>
      <c r="K33" s="50">
        <f t="shared" si="22"/>
        <v>8989435.7751</v>
      </c>
      <c r="L33" s="321">
        <f t="shared" si="36"/>
        <v>749119.647925</v>
      </c>
      <c r="M33" s="50">
        <f t="shared" si="23"/>
        <v>89894.357751</v>
      </c>
      <c r="N33" s="50">
        <f t="shared" si="37"/>
        <v>749119.647925</v>
      </c>
      <c r="O33" s="321">
        <f t="shared" si="24"/>
        <v>374559.8239625</v>
      </c>
      <c r="P33" s="50">
        <f t="shared" si="25"/>
        <v>254700.68029450002</v>
      </c>
      <c r="Q33" s="50">
        <f t="shared" si="26"/>
        <v>359577.431004</v>
      </c>
      <c r="R33" s="50">
        <f>+H33*0.522%</f>
        <v>15641.618248674</v>
      </c>
      <c r="S33" s="50">
        <f t="shared" si="27"/>
        <v>1889759.188641522</v>
      </c>
      <c r="T33" s="50">
        <f t="shared" si="28"/>
        <v>119859.143668</v>
      </c>
      <c r="U33" s="50">
        <f t="shared" si="29"/>
        <v>359577.431004</v>
      </c>
      <c r="V33" s="50">
        <f t="shared" si="30"/>
        <v>89894.357751</v>
      </c>
      <c r="W33" s="50">
        <f t="shared" si="31"/>
        <v>59929.571834</v>
      </c>
      <c r="X33" s="50">
        <f t="shared" si="32"/>
        <v>449471.788755</v>
      </c>
      <c r="Y33" s="294">
        <f t="shared" si="33"/>
        <v>13650937.661064025</v>
      </c>
      <c r="Z33" s="50">
        <f t="shared" si="34"/>
        <v>1137578.138422002</v>
      </c>
      <c r="AA33" s="293"/>
      <c r="AB33" s="51"/>
      <c r="AC33" s="42"/>
      <c r="AD33" s="32"/>
      <c r="AE33" s="32"/>
      <c r="AF33" s="32"/>
      <c r="AG33" s="32"/>
    </row>
    <row r="34" spans="1:33" ht="14.25">
      <c r="A34" s="290" t="s">
        <v>18</v>
      </c>
      <c r="B34" s="135" t="s">
        <v>181</v>
      </c>
      <c r="C34" s="48">
        <v>1</v>
      </c>
      <c r="D34" s="99">
        <v>41091</v>
      </c>
      <c r="E34" s="318">
        <v>41182</v>
      </c>
      <c r="F34" s="98">
        <f t="shared" si="21"/>
        <v>90</v>
      </c>
      <c r="G34" s="49"/>
      <c r="H34" s="50">
        <f>2888729*(1+$C$8)</f>
        <v>2996478.5917</v>
      </c>
      <c r="I34" s="50"/>
      <c r="J34" s="50">
        <f>+I34+H34</f>
        <v>2996478.5917</v>
      </c>
      <c r="K34" s="50">
        <f>+J34/30*F34</f>
        <v>8989435.7751</v>
      </c>
      <c r="L34" s="321">
        <f t="shared" si="36"/>
        <v>749119.647925</v>
      </c>
      <c r="M34" s="50">
        <f t="shared" si="23"/>
        <v>89894.357751</v>
      </c>
      <c r="N34" s="50">
        <f>+L34</f>
        <v>749119.647925</v>
      </c>
      <c r="O34" s="321">
        <f t="shared" si="24"/>
        <v>374559.8239625</v>
      </c>
      <c r="P34" s="50">
        <f>+H34*0.085</f>
        <v>254700.68029450002</v>
      </c>
      <c r="Q34" s="50">
        <f>+H34*12%</f>
        <v>359577.431004</v>
      </c>
      <c r="R34" s="50">
        <f>+H34*1.044%</f>
        <v>31283.236497348</v>
      </c>
      <c r="S34" s="50">
        <f>+((P34+Q34+R34)/30*F34)</f>
        <v>1936684.043387544</v>
      </c>
      <c r="T34" s="50">
        <f>+H34*0.04</f>
        <v>119859.143668</v>
      </c>
      <c r="U34" s="50">
        <f>+(T34/30)*F34</f>
        <v>359577.431004</v>
      </c>
      <c r="V34" s="50">
        <f>+H34*0.03</f>
        <v>89894.357751</v>
      </c>
      <c r="W34" s="50">
        <f>+H34*0.02</f>
        <v>59929.571834</v>
      </c>
      <c r="X34" s="50">
        <f>+((V34+W34)/30*F34)</f>
        <v>449471.788755</v>
      </c>
      <c r="Y34" s="294">
        <f>K34+L34+M34+N34+O34+S34+U34+X34</f>
        <v>13697862.515810046</v>
      </c>
      <c r="Z34" s="50">
        <f>+Y34/12</f>
        <v>1141488.5429841706</v>
      </c>
      <c r="AA34" s="233"/>
      <c r="AB34" s="228"/>
      <c r="AC34" s="229"/>
      <c r="AD34" s="32"/>
      <c r="AE34" s="32"/>
      <c r="AF34" s="32"/>
      <c r="AG34" s="32"/>
    </row>
    <row r="35" spans="1:33" ht="14.25">
      <c r="A35" s="289" t="s">
        <v>228</v>
      </c>
      <c r="B35" s="134" t="s">
        <v>177</v>
      </c>
      <c r="C35" s="48">
        <v>1</v>
      </c>
      <c r="D35" s="99">
        <v>41091</v>
      </c>
      <c r="E35" s="318">
        <v>41182</v>
      </c>
      <c r="F35" s="98">
        <f>DAYS360(D35,E35,0)+1</f>
        <v>90</v>
      </c>
      <c r="G35" s="50"/>
      <c r="H35" s="276">
        <f>1296447*(1+$C$8)</f>
        <v>1344804.4731</v>
      </c>
      <c r="I35" s="50">
        <v>0</v>
      </c>
      <c r="J35" s="50">
        <f>+I35+H35</f>
        <v>1344804.4731</v>
      </c>
      <c r="K35" s="50">
        <f>+J35/30*F35</f>
        <v>4034413.4193</v>
      </c>
      <c r="L35" s="321">
        <f t="shared" si="36"/>
        <v>336201.118275</v>
      </c>
      <c r="M35" s="50">
        <f t="shared" si="23"/>
        <v>40344.134193</v>
      </c>
      <c r="N35" s="50">
        <f>+L35</f>
        <v>336201.118275</v>
      </c>
      <c r="O35" s="321">
        <f t="shared" si="24"/>
        <v>168100.5591375</v>
      </c>
      <c r="P35" s="50">
        <f>+H35*0.085</f>
        <v>114308.38021350002</v>
      </c>
      <c r="Q35" s="50">
        <f>+H35*12%</f>
        <v>161376.536772</v>
      </c>
      <c r="R35" s="50">
        <f>+H35*0.522%</f>
        <v>7019.879349582</v>
      </c>
      <c r="S35" s="50">
        <f>+((P35+Q35+R35)/30*F35)</f>
        <v>848114.3890052461</v>
      </c>
      <c r="T35" s="50">
        <f>+H35*0.04</f>
        <v>53792.17892400001</v>
      </c>
      <c r="U35" s="50">
        <f>+(T35/30)*F35</f>
        <v>161376.53677200002</v>
      </c>
      <c r="V35" s="50">
        <f>+H35*0.03</f>
        <v>40344.134193</v>
      </c>
      <c r="W35" s="50">
        <f>+H35*0.02</f>
        <v>26896.089462000004</v>
      </c>
      <c r="X35" s="50">
        <f>+((V35+W35)/30*F35)</f>
        <v>201720.67096500003</v>
      </c>
      <c r="Y35" s="50">
        <f>K35+L35+M35+N35+O35+S35+U35+X35</f>
        <v>6126471.945922746</v>
      </c>
      <c r="Z35" s="50">
        <f>+Y35/12</f>
        <v>510539.3288268955</v>
      </c>
      <c r="AA35" s="234"/>
      <c r="AB35" s="228"/>
      <c r="AC35" s="229"/>
      <c r="AD35" s="32"/>
      <c r="AE35" s="32"/>
      <c r="AF35" s="32"/>
      <c r="AG35" s="32"/>
    </row>
    <row r="36" spans="1:57" ht="14.25">
      <c r="A36" s="289" t="s">
        <v>236</v>
      </c>
      <c r="B36" s="47" t="s">
        <v>182</v>
      </c>
      <c r="C36" s="48">
        <v>1</v>
      </c>
      <c r="D36" s="99">
        <v>41091</v>
      </c>
      <c r="E36" s="318">
        <v>41182</v>
      </c>
      <c r="F36" s="98">
        <f>DAYS360(D36,E36,0)+1</f>
        <v>90</v>
      </c>
      <c r="G36" s="50"/>
      <c r="H36" s="50">
        <f>1529615*(1+$C$8)</f>
        <v>1586669.6395000003</v>
      </c>
      <c r="I36" s="50">
        <v>0</v>
      </c>
      <c r="J36" s="50">
        <f>+I36+H36</f>
        <v>1586669.6395000003</v>
      </c>
      <c r="K36" s="50">
        <f>+J36/30*F36</f>
        <v>4760008.918500001</v>
      </c>
      <c r="L36" s="321">
        <f t="shared" si="36"/>
        <v>396667.4098750001</v>
      </c>
      <c r="M36" s="50">
        <f t="shared" si="23"/>
        <v>47600.08918500001</v>
      </c>
      <c r="N36" s="50">
        <f>+L36</f>
        <v>396667.4098750001</v>
      </c>
      <c r="O36" s="321">
        <f t="shared" si="24"/>
        <v>198333.70493750006</v>
      </c>
      <c r="P36" s="50">
        <f>+H36*0.085</f>
        <v>134866.91935750004</v>
      </c>
      <c r="Q36" s="50">
        <f>+H36*12%</f>
        <v>190400.35674000002</v>
      </c>
      <c r="R36" s="50">
        <f>+H36*0.522%</f>
        <v>8282.41551819</v>
      </c>
      <c r="S36" s="50">
        <f>+((P36+Q36+R36)/30*F36)</f>
        <v>1000649.0748470702</v>
      </c>
      <c r="T36" s="50">
        <f>+H36*0.04</f>
        <v>63466.78558000001</v>
      </c>
      <c r="U36" s="50">
        <f>+(T36/30)*F36</f>
        <v>190400.35674000005</v>
      </c>
      <c r="V36" s="50">
        <f>+H36*0.03</f>
        <v>47600.089185000004</v>
      </c>
      <c r="W36" s="50">
        <f>+H36*0.02</f>
        <v>31733.392790000005</v>
      </c>
      <c r="X36" s="50">
        <f>+((V36+W36)/30*F36)</f>
        <v>238000.445925</v>
      </c>
      <c r="Y36" s="294">
        <f>K36+L36+M36+N36+O36+S36+U36+X36</f>
        <v>7228327.409884571</v>
      </c>
      <c r="Z36" s="50">
        <f>+Y36/12</f>
        <v>602360.6174903809</v>
      </c>
      <c r="AA36" s="221"/>
      <c r="AB36" s="168"/>
      <c r="AC36" s="4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33" ht="14.25">
      <c r="A37" s="289" t="s">
        <v>137</v>
      </c>
      <c r="B37" s="134" t="s">
        <v>183</v>
      </c>
      <c r="C37" s="48">
        <v>11</v>
      </c>
      <c r="D37" s="99">
        <v>41091</v>
      </c>
      <c r="E37" s="318">
        <v>41182</v>
      </c>
      <c r="F37" s="98">
        <f t="shared" si="21"/>
        <v>90</v>
      </c>
      <c r="G37" s="48"/>
      <c r="H37" s="50">
        <f>(1555791*(1+$C$8)*C37)</f>
        <v>17752042.047300003</v>
      </c>
      <c r="I37" s="50">
        <v>0</v>
      </c>
      <c r="J37" s="50">
        <f t="shared" si="35"/>
        <v>17752042.047300003</v>
      </c>
      <c r="K37" s="50">
        <f t="shared" si="22"/>
        <v>53256126.14190001</v>
      </c>
      <c r="L37" s="321">
        <f t="shared" si="36"/>
        <v>4438010.511825001</v>
      </c>
      <c r="M37" s="50">
        <f t="shared" si="23"/>
        <v>532561.2614190001</v>
      </c>
      <c r="N37" s="50">
        <f t="shared" si="37"/>
        <v>4438010.511825001</v>
      </c>
      <c r="O37" s="321">
        <f t="shared" si="24"/>
        <v>2219005.2559125004</v>
      </c>
      <c r="P37" s="50">
        <f t="shared" si="25"/>
        <v>1508923.5740205003</v>
      </c>
      <c r="Q37" s="50">
        <f t="shared" si="26"/>
        <v>2130245.0456760004</v>
      </c>
      <c r="R37" s="50">
        <f>+H37*1.044%</f>
        <v>185331.31897381204</v>
      </c>
      <c r="S37" s="50">
        <f t="shared" si="27"/>
        <v>11473499.816010939</v>
      </c>
      <c r="T37" s="50">
        <f t="shared" si="28"/>
        <v>710081.6818920001</v>
      </c>
      <c r="U37" s="50">
        <f t="shared" si="29"/>
        <v>2130245.0456760004</v>
      </c>
      <c r="V37" s="50">
        <f t="shared" si="30"/>
        <v>532561.2614190001</v>
      </c>
      <c r="W37" s="50">
        <f t="shared" si="31"/>
        <v>355040.84094600007</v>
      </c>
      <c r="X37" s="50">
        <f t="shared" si="32"/>
        <v>2662806.3070950005</v>
      </c>
      <c r="Y37" s="294">
        <f t="shared" si="33"/>
        <v>81150264.85166346</v>
      </c>
      <c r="Z37" s="50">
        <f t="shared" si="34"/>
        <v>6762522.070971955</v>
      </c>
      <c r="AA37" s="234"/>
      <c r="AB37" s="228"/>
      <c r="AC37" s="229"/>
      <c r="AD37" s="32"/>
      <c r="AE37" s="32"/>
      <c r="AF37" s="32"/>
      <c r="AG37" s="32"/>
    </row>
    <row r="38" spans="1:33" ht="14.25">
      <c r="A38" s="47" t="s">
        <v>12</v>
      </c>
      <c r="B38" s="47" t="s">
        <v>178</v>
      </c>
      <c r="C38" s="48">
        <v>1</v>
      </c>
      <c r="D38" s="99">
        <v>41091</v>
      </c>
      <c r="E38" s="99">
        <v>41182</v>
      </c>
      <c r="F38" s="98">
        <f>DAYS360(D38,E38,0)+1</f>
        <v>90</v>
      </c>
      <c r="G38" s="48"/>
      <c r="H38" s="50">
        <f>729641*(1+$C$8)</f>
        <v>756856.6093000001</v>
      </c>
      <c r="I38" s="50">
        <f>+E8</f>
        <v>67800</v>
      </c>
      <c r="J38" s="50">
        <f>+I38+H38</f>
        <v>824656.6093000001</v>
      </c>
      <c r="K38" s="50">
        <f>+J38/30*F38</f>
        <v>2473969.8279000004</v>
      </c>
      <c r="L38" s="321">
        <f>+J38*F38/360</f>
        <v>206164.15232500003</v>
      </c>
      <c r="M38" s="50">
        <f>+L38*12%</f>
        <v>24739.698279000004</v>
      </c>
      <c r="N38" s="50">
        <f>+L38</f>
        <v>206164.15232500003</v>
      </c>
      <c r="O38" s="321">
        <f>+J38*F38/720</f>
        <v>103082.07616250002</v>
      </c>
      <c r="P38" s="50">
        <f>+H38*0.085</f>
        <v>64332.81179050002</v>
      </c>
      <c r="Q38" s="50">
        <f>+H38*12%</f>
        <v>90822.79311600002</v>
      </c>
      <c r="R38" s="50">
        <f>+H38*0.522%</f>
        <v>3950.7915005460004</v>
      </c>
      <c r="S38" s="50">
        <f>+((P38+Q38+R38)/30*F38)</f>
        <v>477319.1892211381</v>
      </c>
      <c r="T38" s="50">
        <f>+H38*0.04</f>
        <v>30274.264372000005</v>
      </c>
      <c r="U38" s="50">
        <f>+(T38/30)*F38</f>
        <v>90822.79311600002</v>
      </c>
      <c r="V38" s="50">
        <f>+H38*0.03</f>
        <v>22705.698279000004</v>
      </c>
      <c r="W38" s="50">
        <f>+H38*0.02</f>
        <v>15137.132186000003</v>
      </c>
      <c r="X38" s="50">
        <f>+((V38+W38)/30*F38)</f>
        <v>113528.49139500002</v>
      </c>
      <c r="Y38" s="294">
        <f>K38+L38+M38+N38+O38+S38+U38+X38</f>
        <v>3695790.3807236385</v>
      </c>
      <c r="Z38" s="50">
        <f>+Y38/12</f>
        <v>307982.5317269699</v>
      </c>
      <c r="AA38" s="234"/>
      <c r="AB38" s="228"/>
      <c r="AC38" s="229"/>
      <c r="AD38" s="32"/>
      <c r="AE38" s="32"/>
      <c r="AF38" s="32"/>
      <c r="AG38" s="32"/>
    </row>
    <row r="39" spans="1:33" ht="12.75">
      <c r="A39" s="41"/>
      <c r="B39" s="41"/>
      <c r="C39" s="43"/>
      <c r="D39" s="43"/>
      <c r="E39" s="43"/>
      <c r="F39" s="43"/>
      <c r="G39" s="43"/>
      <c r="H39" s="216"/>
      <c r="I39" s="216"/>
      <c r="J39" s="216"/>
      <c r="K39" s="43"/>
      <c r="L39" s="43"/>
      <c r="M39" s="43"/>
      <c r="N39" s="43"/>
      <c r="O39" s="43"/>
      <c r="P39" s="44"/>
      <c r="Q39" s="45"/>
      <c r="R39" s="45"/>
      <c r="S39" s="46"/>
      <c r="T39" s="45"/>
      <c r="U39" s="46"/>
      <c r="V39" s="45"/>
      <c r="W39" s="45"/>
      <c r="X39" s="46"/>
      <c r="Y39" s="296"/>
      <c r="Z39" s="43"/>
      <c r="AA39" s="234"/>
      <c r="AB39" s="228"/>
      <c r="AC39" s="229"/>
      <c r="AD39" s="32"/>
      <c r="AE39" s="32"/>
      <c r="AF39" s="32"/>
      <c r="AG39" s="32"/>
    </row>
    <row r="40" spans="1:33" s="2" customFormat="1" ht="14.25">
      <c r="A40" s="159" t="s">
        <v>225</v>
      </c>
      <c r="B40" s="134"/>
      <c r="C40" s="49">
        <f>SUM(C41:C43)</f>
        <v>3</v>
      </c>
      <c r="D40" s="99"/>
      <c r="E40" s="99"/>
      <c r="F40" s="98"/>
      <c r="G40" s="49"/>
      <c r="H40" s="8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297"/>
      <c r="Z40" s="93"/>
      <c r="AA40" s="235"/>
      <c r="AB40" s="228"/>
      <c r="AC40" s="229"/>
      <c r="AD40" s="32"/>
      <c r="AE40" s="32"/>
      <c r="AF40" s="32"/>
      <c r="AG40" s="32"/>
    </row>
    <row r="41" spans="1:33" ht="14.25">
      <c r="A41" s="155" t="s">
        <v>213</v>
      </c>
      <c r="B41" s="135" t="s">
        <v>214</v>
      </c>
      <c r="C41" s="48">
        <v>1</v>
      </c>
      <c r="D41" s="99"/>
      <c r="E41" s="318"/>
      <c r="F41" s="98"/>
      <c r="G41" s="49"/>
      <c r="H41" s="50"/>
      <c r="I41" s="50"/>
      <c r="J41" s="50"/>
      <c r="K41" s="50"/>
      <c r="L41" s="321"/>
      <c r="M41" s="50"/>
      <c r="N41" s="50"/>
      <c r="O41" s="321"/>
      <c r="P41" s="50"/>
      <c r="Q41" s="50"/>
      <c r="R41" s="50"/>
      <c r="S41" s="50"/>
      <c r="T41" s="50"/>
      <c r="U41" s="50"/>
      <c r="V41" s="50"/>
      <c r="W41" s="50"/>
      <c r="X41" s="50"/>
      <c r="Y41" s="294"/>
      <c r="Z41" s="50"/>
      <c r="AA41" s="231"/>
      <c r="AB41" s="228"/>
      <c r="AC41" s="229"/>
      <c r="AD41" s="32"/>
      <c r="AE41" s="32"/>
      <c r="AF41" s="32"/>
      <c r="AG41" s="32"/>
    </row>
    <row r="42" spans="1:33" ht="14.25">
      <c r="A42" s="154" t="s">
        <v>211</v>
      </c>
      <c r="B42" s="134" t="s">
        <v>182</v>
      </c>
      <c r="C42" s="48">
        <v>1</v>
      </c>
      <c r="D42" s="99"/>
      <c r="E42" s="318"/>
      <c r="F42" s="98"/>
      <c r="G42" s="50"/>
      <c r="H42" s="50"/>
      <c r="I42" s="50"/>
      <c r="J42" s="50"/>
      <c r="K42" s="50"/>
      <c r="L42" s="321"/>
      <c r="M42" s="50"/>
      <c r="N42" s="50"/>
      <c r="O42" s="321"/>
      <c r="P42" s="50"/>
      <c r="Q42" s="50"/>
      <c r="R42" s="50"/>
      <c r="S42" s="50"/>
      <c r="T42" s="50"/>
      <c r="U42" s="50"/>
      <c r="V42" s="50"/>
      <c r="W42" s="50"/>
      <c r="X42" s="50"/>
      <c r="Y42" s="294"/>
      <c r="Z42" s="50"/>
      <c r="AA42" s="230"/>
      <c r="AB42" s="228"/>
      <c r="AC42" s="229"/>
      <c r="AD42" s="32"/>
      <c r="AE42" s="32"/>
      <c r="AF42" s="32"/>
      <c r="AG42" s="32"/>
    </row>
    <row r="43" spans="1:33" ht="14.25">
      <c r="A43" s="134" t="s">
        <v>212</v>
      </c>
      <c r="B43" s="134" t="s">
        <v>178</v>
      </c>
      <c r="C43" s="48">
        <v>1</v>
      </c>
      <c r="D43" s="99"/>
      <c r="E43" s="318"/>
      <c r="F43" s="98"/>
      <c r="G43" s="48"/>
      <c r="H43" s="50"/>
      <c r="I43" s="50"/>
      <c r="J43" s="50"/>
      <c r="K43" s="50"/>
      <c r="L43" s="321"/>
      <c r="M43" s="50"/>
      <c r="N43" s="50"/>
      <c r="O43" s="321"/>
      <c r="P43" s="50"/>
      <c r="Q43" s="50"/>
      <c r="R43" s="50"/>
      <c r="S43" s="50"/>
      <c r="T43" s="50"/>
      <c r="U43" s="50"/>
      <c r="V43" s="50"/>
      <c r="W43" s="50"/>
      <c r="X43" s="50"/>
      <c r="Y43" s="294"/>
      <c r="Z43" s="50"/>
      <c r="AA43" s="230"/>
      <c r="AB43" s="228"/>
      <c r="AC43" s="229"/>
      <c r="AD43" s="32"/>
      <c r="AE43" s="32"/>
      <c r="AF43" s="32"/>
      <c r="AG43" s="32"/>
    </row>
    <row r="44" spans="1:33" ht="12.75">
      <c r="A44" s="41"/>
      <c r="B44" s="4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45"/>
      <c r="R44" s="45"/>
      <c r="S44" s="46"/>
      <c r="T44" s="45"/>
      <c r="U44" s="46"/>
      <c r="V44" s="45"/>
      <c r="W44" s="45"/>
      <c r="X44" s="46"/>
      <c r="Y44" s="296"/>
      <c r="Z44" s="43"/>
      <c r="AA44" s="230"/>
      <c r="AB44" s="228"/>
      <c r="AC44" s="229"/>
      <c r="AD44" s="32"/>
      <c r="AE44" s="32"/>
      <c r="AF44" s="32"/>
      <c r="AG44" s="32"/>
    </row>
    <row r="45" spans="1:33" ht="12.75">
      <c r="A45" s="41"/>
      <c r="B45" s="41"/>
      <c r="C45" s="43"/>
      <c r="D45" s="43"/>
      <c r="E45" s="43"/>
      <c r="F45" s="43"/>
      <c r="G45" s="43"/>
      <c r="H45" s="216"/>
      <c r="I45" s="43"/>
      <c r="J45" s="43"/>
      <c r="K45" s="43"/>
      <c r="L45" s="43"/>
      <c r="M45" s="43"/>
      <c r="N45" s="43"/>
      <c r="O45" s="43"/>
      <c r="P45" s="44"/>
      <c r="Q45" s="45"/>
      <c r="R45" s="45"/>
      <c r="S45" s="46"/>
      <c r="T45" s="45"/>
      <c r="U45" s="46"/>
      <c r="V45" s="45"/>
      <c r="W45" s="45"/>
      <c r="X45" s="46"/>
      <c r="Y45" s="43"/>
      <c r="Z45" s="43"/>
      <c r="AA45" s="218"/>
      <c r="AB45" s="51"/>
      <c r="AC45" s="42"/>
      <c r="AD45" s="32"/>
      <c r="AE45" s="32"/>
      <c r="AF45" s="32"/>
      <c r="AG45" s="32"/>
    </row>
    <row r="46" spans="1:33" ht="12.75">
      <c r="A46" s="41"/>
      <c r="B46" s="41"/>
      <c r="C46" s="43"/>
      <c r="D46" s="43"/>
      <c r="E46" s="43"/>
      <c r="F46" s="43"/>
      <c r="G46" s="43"/>
      <c r="H46" s="216"/>
      <c r="I46" s="43"/>
      <c r="J46" s="43"/>
      <c r="K46" s="43"/>
      <c r="L46" s="43"/>
      <c r="M46" s="43"/>
      <c r="N46" s="43"/>
      <c r="O46" s="43"/>
      <c r="P46" s="44"/>
      <c r="Q46" s="45"/>
      <c r="R46" s="45"/>
      <c r="S46" s="46"/>
      <c r="T46" s="45"/>
      <c r="U46" s="46"/>
      <c r="V46" s="45"/>
      <c r="W46" s="45"/>
      <c r="X46" s="46"/>
      <c r="Y46" s="43"/>
      <c r="Z46" s="43"/>
      <c r="AA46" s="218"/>
      <c r="AB46" s="51"/>
      <c r="AC46" s="42"/>
      <c r="AD46" s="32"/>
      <c r="AE46" s="32"/>
      <c r="AF46" s="32"/>
      <c r="AG46" s="32"/>
    </row>
    <row r="47" spans="1:33" ht="12.75">
      <c r="A47" s="41"/>
      <c r="B47" s="41"/>
      <c r="C47" s="43"/>
      <c r="D47" s="43"/>
      <c r="E47" s="43"/>
      <c r="F47" s="43"/>
      <c r="G47" s="43"/>
      <c r="H47" s="216"/>
      <c r="I47" s="43"/>
      <c r="J47" s="43"/>
      <c r="K47" s="43"/>
      <c r="L47" s="43"/>
      <c r="M47" s="43"/>
      <c r="N47" s="43"/>
      <c r="O47" s="43"/>
      <c r="P47" s="44"/>
      <c r="Q47" s="45"/>
      <c r="R47" s="45"/>
      <c r="S47" s="46"/>
      <c r="T47" s="45"/>
      <c r="U47" s="46"/>
      <c r="V47" s="45"/>
      <c r="W47" s="45"/>
      <c r="X47" s="46"/>
      <c r="Y47" s="43"/>
      <c r="Z47" s="43"/>
      <c r="AA47" s="218"/>
      <c r="AB47" s="51"/>
      <c r="AC47" s="42"/>
      <c r="AD47" s="32"/>
      <c r="AE47" s="32"/>
      <c r="AF47" s="32"/>
      <c r="AG47" s="32"/>
    </row>
    <row r="48" spans="1:33" ht="12.75">
      <c r="A48" s="41"/>
      <c r="B48" s="41"/>
      <c r="C48" s="43"/>
      <c r="D48" s="43"/>
      <c r="E48" s="43"/>
      <c r="F48" s="43"/>
      <c r="G48" s="43"/>
      <c r="H48" s="216"/>
      <c r="I48" s="43"/>
      <c r="J48" s="43"/>
      <c r="K48" s="43"/>
      <c r="L48" s="43"/>
      <c r="M48" s="43"/>
      <c r="N48" s="43"/>
      <c r="O48" s="43"/>
      <c r="P48" s="44"/>
      <c r="Q48" s="45"/>
      <c r="R48" s="45"/>
      <c r="S48" s="46"/>
      <c r="T48" s="45"/>
      <c r="U48" s="46"/>
      <c r="V48" s="45"/>
      <c r="W48" s="45"/>
      <c r="X48" s="46"/>
      <c r="Y48" s="43"/>
      <c r="Z48" s="43"/>
      <c r="AA48" s="218"/>
      <c r="AB48" s="51"/>
      <c r="AC48" s="42"/>
      <c r="AD48" s="32"/>
      <c r="AE48" s="32"/>
      <c r="AF48" s="32"/>
      <c r="AG48" s="32"/>
    </row>
    <row r="49" spans="1:33" ht="12.75">
      <c r="A49" s="41"/>
      <c r="B49" s="41"/>
      <c r="C49" s="43"/>
      <c r="D49" s="43"/>
      <c r="E49" s="43"/>
      <c r="F49" s="43"/>
      <c r="G49" s="43"/>
      <c r="H49" s="216"/>
      <c r="I49" s="43"/>
      <c r="J49" s="43"/>
      <c r="K49" s="43"/>
      <c r="L49" s="43"/>
      <c r="M49" s="43"/>
      <c r="N49" s="43"/>
      <c r="O49" s="43"/>
      <c r="P49" s="44"/>
      <c r="Q49" s="45"/>
      <c r="R49" s="45"/>
      <c r="S49" s="46"/>
      <c r="T49" s="45"/>
      <c r="U49" s="46"/>
      <c r="V49" s="45"/>
      <c r="W49" s="45"/>
      <c r="X49" s="46"/>
      <c r="Y49" s="43"/>
      <c r="Z49" s="43"/>
      <c r="AA49" s="218"/>
      <c r="AB49" s="51"/>
      <c r="AC49" s="42"/>
      <c r="AD49" s="32"/>
      <c r="AE49" s="32"/>
      <c r="AF49" s="32"/>
      <c r="AG49" s="32"/>
    </row>
    <row r="50" spans="1:33" ht="12.75">
      <c r="A50" s="41"/>
      <c r="B50" s="41"/>
      <c r="C50" s="43"/>
      <c r="D50" s="43"/>
      <c r="E50" s="43"/>
      <c r="F50" s="43"/>
      <c r="G50" s="43"/>
      <c r="H50" s="216"/>
      <c r="I50" s="43"/>
      <c r="J50" s="43"/>
      <c r="K50" s="43"/>
      <c r="L50" s="43"/>
      <c r="M50" s="43"/>
      <c r="N50" s="43"/>
      <c r="O50" s="43"/>
      <c r="P50" s="44"/>
      <c r="Q50" s="45"/>
      <c r="R50" s="45"/>
      <c r="S50" s="46"/>
      <c r="T50" s="45"/>
      <c r="U50" s="46"/>
      <c r="V50" s="45"/>
      <c r="W50" s="45"/>
      <c r="X50" s="46"/>
      <c r="Y50" s="43"/>
      <c r="Z50" s="43"/>
      <c r="AA50" s="218"/>
      <c r="AB50" s="51"/>
      <c r="AC50" s="42"/>
      <c r="AD50" s="32"/>
      <c r="AE50" s="32"/>
      <c r="AF50" s="32"/>
      <c r="AG50" s="32"/>
    </row>
    <row r="51" spans="1:33" ht="12.75">
      <c r="A51" s="41"/>
      <c r="B51" s="41"/>
      <c r="C51" s="43"/>
      <c r="D51" s="43"/>
      <c r="E51" s="43"/>
      <c r="F51" s="43"/>
      <c r="G51" s="43"/>
      <c r="H51" s="216"/>
      <c r="I51" s="43"/>
      <c r="J51" s="43"/>
      <c r="K51" s="43"/>
      <c r="L51" s="43"/>
      <c r="M51" s="43"/>
      <c r="N51" s="43"/>
      <c r="O51" s="43"/>
      <c r="P51" s="44"/>
      <c r="Q51" s="45"/>
      <c r="R51" s="45"/>
      <c r="S51" s="46"/>
      <c r="T51" s="45"/>
      <c r="U51" s="46"/>
      <c r="V51" s="45"/>
      <c r="W51" s="45"/>
      <c r="X51" s="46"/>
      <c r="Y51" s="43"/>
      <c r="Z51" s="43"/>
      <c r="AA51" s="218"/>
      <c r="AB51" s="51"/>
      <c r="AC51" s="42"/>
      <c r="AD51" s="32"/>
      <c r="AE51" s="32"/>
      <c r="AF51" s="32"/>
      <c r="AG51" s="32"/>
    </row>
    <row r="52" spans="1:33" ht="12.75">
      <c r="A52" s="41"/>
      <c r="B52" s="41"/>
      <c r="C52" s="43"/>
      <c r="D52" s="43"/>
      <c r="E52" s="43"/>
      <c r="F52" s="43"/>
      <c r="G52" s="43"/>
      <c r="H52" s="216"/>
      <c r="I52" s="43"/>
      <c r="J52" s="43"/>
      <c r="K52" s="43"/>
      <c r="L52" s="43"/>
      <c r="M52" s="43"/>
      <c r="N52" s="43"/>
      <c r="O52" s="43"/>
      <c r="P52" s="44"/>
      <c r="Q52" s="45"/>
      <c r="R52" s="45"/>
      <c r="S52" s="46"/>
      <c r="T52" s="45"/>
      <c r="U52" s="46"/>
      <c r="V52" s="45"/>
      <c r="W52" s="45"/>
      <c r="X52" s="46"/>
      <c r="Y52" s="43"/>
      <c r="Z52" s="43"/>
      <c r="AA52" s="218"/>
      <c r="AB52" s="51"/>
      <c r="AC52" s="42"/>
      <c r="AD52" s="32"/>
      <c r="AE52" s="32"/>
      <c r="AF52" s="32"/>
      <c r="AG52" s="32"/>
    </row>
    <row r="53" spans="1:57" ht="12.75">
      <c r="A53" s="57"/>
      <c r="B53" s="57"/>
      <c r="C53" s="58"/>
      <c r="D53" s="58"/>
      <c r="E53" s="58"/>
      <c r="F53" s="58"/>
      <c r="G53" s="59"/>
      <c r="H53" s="255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218"/>
      <c r="AB53" s="51"/>
      <c r="AC53" s="42"/>
      <c r="AD53" s="32"/>
      <c r="AE53" s="32"/>
      <c r="AF53" s="32"/>
      <c r="AG53" s="3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5.75">
      <c r="A54" s="81" t="s">
        <v>20</v>
      </c>
      <c r="B54" s="81" t="s">
        <v>176</v>
      </c>
      <c r="C54" s="43"/>
      <c r="D54" s="43"/>
      <c r="E54" s="43"/>
      <c r="F54" s="43"/>
      <c r="G54" s="43"/>
      <c r="H54" s="216"/>
      <c r="I54" s="43"/>
      <c r="J54" s="43"/>
      <c r="K54" s="43"/>
      <c r="L54" s="43"/>
      <c r="M54" s="43"/>
      <c r="N54" s="43"/>
      <c r="O54" s="43"/>
      <c r="P54" s="44"/>
      <c r="Q54" s="45"/>
      <c r="R54" s="45"/>
      <c r="S54" s="46"/>
      <c r="T54" s="45"/>
      <c r="U54" s="46"/>
      <c r="V54" s="45"/>
      <c r="W54" s="45"/>
      <c r="X54" s="46"/>
      <c r="Y54" s="84">
        <f>+Y55</f>
        <v>71221314.70552623</v>
      </c>
      <c r="Z54" s="43"/>
      <c r="AA54" s="218"/>
      <c r="AB54" s="51"/>
      <c r="AC54" s="42"/>
      <c r="AD54" s="32"/>
      <c r="AE54" s="32"/>
      <c r="AF54" s="32"/>
      <c r="AG54" s="3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2.75">
      <c r="A55" s="86" t="s">
        <v>271</v>
      </c>
      <c r="B55" s="86"/>
      <c r="C55" s="55">
        <f>SUM(C56:C60)</f>
        <v>5</v>
      </c>
      <c r="D55" s="55"/>
      <c r="E55" s="55"/>
      <c r="F55" s="55"/>
      <c r="G55" s="87">
        <f>SUM(G57:G60)</f>
        <v>0</v>
      </c>
      <c r="H55" s="227">
        <f aca="true" t="shared" si="38" ref="H55:Z55">SUM(H56:H60)</f>
        <v>14663088.017000003</v>
      </c>
      <c r="I55" s="227">
        <f t="shared" si="38"/>
        <v>67800</v>
      </c>
      <c r="J55" s="227">
        <f t="shared" si="38"/>
        <v>16941018.017</v>
      </c>
      <c r="K55" s="88">
        <f>SUM(K56:K60)</f>
        <v>50823054.051</v>
      </c>
      <c r="L55" s="324">
        <f t="shared" si="38"/>
        <v>2393479.5042500007</v>
      </c>
      <c r="M55" s="88">
        <f t="shared" si="38"/>
        <v>287217.54051</v>
      </c>
      <c r="N55" s="88">
        <f t="shared" si="38"/>
        <v>2393479.5042500007</v>
      </c>
      <c r="O55" s="88">
        <f t="shared" si="38"/>
        <v>2117627.252125</v>
      </c>
      <c r="P55" s="88">
        <f t="shared" si="38"/>
        <v>1246362.4814450003</v>
      </c>
      <c r="Q55" s="88">
        <f t="shared" si="38"/>
        <v>1759570.5620400002</v>
      </c>
      <c r="R55" s="88">
        <f t="shared" si="38"/>
        <v>76541.31944873999</v>
      </c>
      <c r="S55" s="88">
        <f t="shared" si="38"/>
        <v>9247423.08880122</v>
      </c>
      <c r="T55" s="88">
        <f t="shared" si="38"/>
        <v>586523.5206800001</v>
      </c>
      <c r="U55" s="88">
        <f t="shared" si="38"/>
        <v>1759570.5620400002</v>
      </c>
      <c r="V55" s="88">
        <f t="shared" si="38"/>
        <v>439892.64051000006</v>
      </c>
      <c r="W55" s="88">
        <f t="shared" si="38"/>
        <v>293261.76034000004</v>
      </c>
      <c r="X55" s="88">
        <f t="shared" si="38"/>
        <v>2199463.2025500005</v>
      </c>
      <c r="Y55" s="292">
        <f t="shared" si="38"/>
        <v>71221314.70552623</v>
      </c>
      <c r="Z55" s="88">
        <f t="shared" si="38"/>
        <v>5935109.558793852</v>
      </c>
      <c r="AA55" s="220"/>
      <c r="AB55" s="51"/>
      <c r="AC55" s="4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33" ht="14.25">
      <c r="A56" s="149" t="s">
        <v>99</v>
      </c>
      <c r="B56" s="47" t="s">
        <v>184</v>
      </c>
      <c r="C56" s="48">
        <v>1</v>
      </c>
      <c r="D56" s="99">
        <v>41091</v>
      </c>
      <c r="E56" s="99">
        <v>41182</v>
      </c>
      <c r="F56" s="98">
        <f>DAYS360(D56,E56,0)+1</f>
        <v>90</v>
      </c>
      <c r="G56" s="50">
        <f>+$E$7*13</f>
        <v>7367100</v>
      </c>
      <c r="H56" s="50">
        <f>+G56*70%</f>
        <v>5156970</v>
      </c>
      <c r="I56" s="50">
        <v>0</v>
      </c>
      <c r="J56" s="50">
        <f>G56</f>
        <v>7367100</v>
      </c>
      <c r="K56" s="50">
        <f>+J56/30*F56</f>
        <v>22101300</v>
      </c>
      <c r="L56" s="321">
        <v>0</v>
      </c>
      <c r="M56" s="50">
        <f>+L56*12%</f>
        <v>0</v>
      </c>
      <c r="N56" s="50">
        <v>0</v>
      </c>
      <c r="O56" s="321">
        <f>+J56*F56/720</f>
        <v>920887.5</v>
      </c>
      <c r="P56" s="50">
        <f>+H56*0.085</f>
        <v>438342.45</v>
      </c>
      <c r="Q56" s="50">
        <f>+H56*12%</f>
        <v>618836.4</v>
      </c>
      <c r="R56" s="50">
        <f>+H56*0.522%</f>
        <v>26919.3834</v>
      </c>
      <c r="S56" s="50">
        <f>+((P56+Q56+R56)/30*F56)</f>
        <v>3252294.7002</v>
      </c>
      <c r="T56" s="50">
        <f>+H56*0.04</f>
        <v>206278.80000000002</v>
      </c>
      <c r="U56" s="50">
        <f>+(T56/30)*F56</f>
        <v>618836.4000000001</v>
      </c>
      <c r="V56" s="50">
        <f>+H56*0.03</f>
        <v>154709.1</v>
      </c>
      <c r="W56" s="50">
        <f>+H56*0.02</f>
        <v>103139.40000000001</v>
      </c>
      <c r="X56" s="50">
        <f>+((V56+W56)/30*F56)</f>
        <v>773545.5000000001</v>
      </c>
      <c r="Y56" s="294">
        <f>K56+L56+M56+N56+O56+S56+U56+X56</f>
        <v>27666864.100199997</v>
      </c>
      <c r="Z56" s="50">
        <f>+Y56/12</f>
        <v>2305572.00835</v>
      </c>
      <c r="AA56" s="218"/>
      <c r="AB56" s="52"/>
      <c r="AC56" s="42"/>
      <c r="AD56" s="32"/>
      <c r="AE56" s="32"/>
      <c r="AF56" s="32"/>
      <c r="AG56" s="32"/>
    </row>
    <row r="57" spans="1:57" ht="14.25">
      <c r="A57" s="149" t="s">
        <v>158</v>
      </c>
      <c r="B57" s="47" t="s">
        <v>185</v>
      </c>
      <c r="C57" s="48">
        <v>1</v>
      </c>
      <c r="D57" s="99">
        <v>41091</v>
      </c>
      <c r="E57" s="99">
        <v>41182</v>
      </c>
      <c r="F57" s="98">
        <f>DAYS360(D57,E57,0)+1</f>
        <v>90</v>
      </c>
      <c r="G57" s="50"/>
      <c r="H57" s="50">
        <f>3569101*(1+$C$8)</f>
        <v>3702228.4673000006</v>
      </c>
      <c r="I57" s="50">
        <v>0</v>
      </c>
      <c r="J57" s="50">
        <f>+I57+H57</f>
        <v>3702228.4673000006</v>
      </c>
      <c r="K57" s="50">
        <f>+J57/30*F57</f>
        <v>11106685.401900003</v>
      </c>
      <c r="L57" s="321">
        <f>+J57*F57/360</f>
        <v>925557.1168250002</v>
      </c>
      <c r="M57" s="50">
        <f>+L57*12%</f>
        <v>111066.85401900002</v>
      </c>
      <c r="N57" s="50">
        <f>+L57</f>
        <v>925557.1168250002</v>
      </c>
      <c r="O57" s="321">
        <f>+J57*F57/720</f>
        <v>462778.5584125001</v>
      </c>
      <c r="P57" s="50">
        <f>+H57*0.085</f>
        <v>314689.41972050007</v>
      </c>
      <c r="Q57" s="50">
        <f>+H57*12%</f>
        <v>444267.4160760001</v>
      </c>
      <c r="R57" s="50">
        <f>+H57*0.522%</f>
        <v>19325.632599306</v>
      </c>
      <c r="S57" s="50">
        <f>+((P57+Q57+R57)/30*F57)</f>
        <v>2334847.405187418</v>
      </c>
      <c r="T57" s="50">
        <f>+H57*0.04</f>
        <v>148089.13869200004</v>
      </c>
      <c r="U57" s="50">
        <f>+(T57/30)*F57</f>
        <v>444267.4160760001</v>
      </c>
      <c r="V57" s="50">
        <f>+H57*0.03</f>
        <v>111066.85401900002</v>
      </c>
      <c r="W57" s="50">
        <f>+H57*0.02</f>
        <v>74044.56934600002</v>
      </c>
      <c r="X57" s="50">
        <f>+((V57+W57)/30*F57)</f>
        <v>555334.2700950002</v>
      </c>
      <c r="Y57" s="294">
        <f>K57+L57+M57+N57+O57+S57+U57+X57</f>
        <v>16866094.13933992</v>
      </c>
      <c r="Z57" s="50">
        <f>+Y57/12</f>
        <v>1405507.8449449933</v>
      </c>
      <c r="AA57" s="221"/>
      <c r="AB57" s="167"/>
      <c r="AC57" s="53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4.25">
      <c r="A58" s="289" t="s">
        <v>325</v>
      </c>
      <c r="B58" s="47" t="s">
        <v>185</v>
      </c>
      <c r="C58" s="48">
        <v>1</v>
      </c>
      <c r="D58" s="99">
        <v>41091</v>
      </c>
      <c r="E58" s="99">
        <v>41182</v>
      </c>
      <c r="F58" s="98">
        <f>DAYS360(D58,E58,0)+1</f>
        <v>90</v>
      </c>
      <c r="G58" s="50"/>
      <c r="H58" s="50">
        <f>3569101*(1+$C$8)</f>
        <v>3702228.4673000006</v>
      </c>
      <c r="I58" s="50"/>
      <c r="J58" s="50">
        <f>+I58+H58</f>
        <v>3702228.4673000006</v>
      </c>
      <c r="K58" s="50">
        <f>+J58/30*F58</f>
        <v>11106685.401900003</v>
      </c>
      <c r="L58" s="321">
        <f>+J58*F58/360</f>
        <v>925557.1168250002</v>
      </c>
      <c r="M58" s="50">
        <f>+L58*12%</f>
        <v>111066.85401900002</v>
      </c>
      <c r="N58" s="50">
        <f>+L58</f>
        <v>925557.1168250002</v>
      </c>
      <c r="O58" s="321">
        <f>+J58*F58/720</f>
        <v>462778.5584125001</v>
      </c>
      <c r="P58" s="50">
        <f>+H58*0.085</f>
        <v>314689.41972050007</v>
      </c>
      <c r="Q58" s="50">
        <f>+H58*12%</f>
        <v>444267.4160760001</v>
      </c>
      <c r="R58" s="50">
        <f>+H58*0.522%</f>
        <v>19325.632599306</v>
      </c>
      <c r="S58" s="50">
        <f>+((P58+Q58+R58)/30*F58)</f>
        <v>2334847.405187418</v>
      </c>
      <c r="T58" s="50">
        <f>+H58*0.04</f>
        <v>148089.13869200004</v>
      </c>
      <c r="U58" s="50">
        <f>+(T58/30)*F58</f>
        <v>444267.4160760001</v>
      </c>
      <c r="V58" s="50">
        <f>+H58*0.03</f>
        <v>111066.85401900002</v>
      </c>
      <c r="W58" s="50">
        <f>+H58*0.02</f>
        <v>74044.56934600002</v>
      </c>
      <c r="X58" s="50">
        <f>+((V58+W58)/30*F58)</f>
        <v>555334.2700950002</v>
      </c>
      <c r="Y58" s="294">
        <f>K58+L58+M58+N58+O58+S58+U58+X58</f>
        <v>16866094.13933992</v>
      </c>
      <c r="Z58" s="50">
        <f>+Y58/12</f>
        <v>1405507.8449449933</v>
      </c>
      <c r="AA58" s="221"/>
      <c r="AB58" s="42"/>
      <c r="AC58" s="117"/>
      <c r="AD58" s="13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33" ht="14.25">
      <c r="A59" s="154" t="s">
        <v>229</v>
      </c>
      <c r="B59" s="134" t="s">
        <v>177</v>
      </c>
      <c r="C59" s="48">
        <v>1</v>
      </c>
      <c r="D59" s="99">
        <v>41091</v>
      </c>
      <c r="E59" s="99">
        <v>41182</v>
      </c>
      <c r="F59" s="98">
        <f>DAYS360(D59,E59,0)+1</f>
        <v>90</v>
      </c>
      <c r="G59" s="50"/>
      <c r="H59" s="50">
        <f>1296447*(1+$C$8)</f>
        <v>1344804.4731</v>
      </c>
      <c r="I59" s="50">
        <v>0</v>
      </c>
      <c r="J59" s="50">
        <f>+I59+H59</f>
        <v>1344804.4731</v>
      </c>
      <c r="K59" s="50">
        <f>+J59/30*F59</f>
        <v>4034413.4193</v>
      </c>
      <c r="L59" s="321">
        <f>+J59*F59/360</f>
        <v>336201.118275</v>
      </c>
      <c r="M59" s="50">
        <f>+L59*12%</f>
        <v>40344.134193</v>
      </c>
      <c r="N59" s="50">
        <f>+L59</f>
        <v>336201.118275</v>
      </c>
      <c r="O59" s="321">
        <f>+J59*F59/720</f>
        <v>168100.5591375</v>
      </c>
      <c r="P59" s="50">
        <f>+H59*0.085</f>
        <v>114308.38021350002</v>
      </c>
      <c r="Q59" s="50">
        <f>+H59*12%</f>
        <v>161376.536772</v>
      </c>
      <c r="R59" s="50">
        <f>+H59*0.522%</f>
        <v>7019.879349582</v>
      </c>
      <c r="S59" s="50">
        <f>+((P59+Q59+R59)/30*F59)</f>
        <v>848114.3890052461</v>
      </c>
      <c r="T59" s="50">
        <f>+H59*0.04</f>
        <v>53792.17892400001</v>
      </c>
      <c r="U59" s="50">
        <f>+(T59/30)*F59</f>
        <v>161376.53677200002</v>
      </c>
      <c r="V59" s="50">
        <f>+H59*0.03</f>
        <v>40344.134193</v>
      </c>
      <c r="W59" s="50">
        <f>+H59*0.02</f>
        <v>26896.089462000004</v>
      </c>
      <c r="X59" s="50">
        <f>+((V59+W59)/30*F59)</f>
        <v>201720.67096500003</v>
      </c>
      <c r="Y59" s="294">
        <f>K59+L59+M59+N59+O59+S59+U59+X59</f>
        <v>6126471.945922746</v>
      </c>
      <c r="Z59" s="50">
        <f>+Y59/12</f>
        <v>510539.3288268955</v>
      </c>
      <c r="AA59" s="218"/>
      <c r="AB59" s="51"/>
      <c r="AC59" s="42"/>
      <c r="AD59" s="32"/>
      <c r="AE59" s="32"/>
      <c r="AF59" s="32"/>
      <c r="AG59" s="32"/>
    </row>
    <row r="60" spans="1:57" ht="14.25">
      <c r="A60" s="47" t="s">
        <v>12</v>
      </c>
      <c r="B60" s="47" t="s">
        <v>178</v>
      </c>
      <c r="C60" s="48">
        <v>1</v>
      </c>
      <c r="D60" s="99">
        <v>41091</v>
      </c>
      <c r="E60" s="99">
        <v>41182</v>
      </c>
      <c r="F60" s="98">
        <f>DAYS360(D60,E60,0)+1</f>
        <v>90</v>
      </c>
      <c r="G60" s="48"/>
      <c r="H60" s="50">
        <f>729641*(1+$C$8)</f>
        <v>756856.6093000001</v>
      </c>
      <c r="I60" s="50">
        <f>+E8</f>
        <v>67800</v>
      </c>
      <c r="J60" s="50">
        <f>+I60+H60</f>
        <v>824656.6093000001</v>
      </c>
      <c r="K60" s="50">
        <f>+J60/30*F60</f>
        <v>2473969.8279000004</v>
      </c>
      <c r="L60" s="321">
        <f>+J60*F60/360</f>
        <v>206164.15232500003</v>
      </c>
      <c r="M60" s="50">
        <f>+L60*12%</f>
        <v>24739.698279000004</v>
      </c>
      <c r="N60" s="50">
        <f>+L60</f>
        <v>206164.15232500003</v>
      </c>
      <c r="O60" s="321">
        <f>+J60*F60/720</f>
        <v>103082.07616250002</v>
      </c>
      <c r="P60" s="50">
        <f>+H60*0.085</f>
        <v>64332.81179050002</v>
      </c>
      <c r="Q60" s="50">
        <f>+H60*12%</f>
        <v>90822.79311600002</v>
      </c>
      <c r="R60" s="50">
        <f>+H60*0.522%</f>
        <v>3950.7915005460004</v>
      </c>
      <c r="S60" s="50">
        <f>+((P60+Q60+R60)/30*F60)</f>
        <v>477319.1892211381</v>
      </c>
      <c r="T60" s="50">
        <f>+H60*0.04</f>
        <v>30274.264372000005</v>
      </c>
      <c r="U60" s="50">
        <f>+(T60/30)*F60</f>
        <v>90822.79311600002</v>
      </c>
      <c r="V60" s="50">
        <f>+H60*0.03</f>
        <v>22705.698279000004</v>
      </c>
      <c r="W60" s="50">
        <f>+H60*0.02</f>
        <v>15137.132186000003</v>
      </c>
      <c r="X60" s="50">
        <f>+((V60+W60)/30*F60)</f>
        <v>113528.49139500002</v>
      </c>
      <c r="Y60" s="294">
        <f>K60+L60+M60+N60+O60+S60+U60+X60</f>
        <v>3695790.3807236385</v>
      </c>
      <c r="Z60" s="50">
        <f>+Y60/12</f>
        <v>307982.5317269699</v>
      </c>
      <c r="AA60" s="221"/>
      <c r="AB60" s="42"/>
      <c r="AC60" s="40"/>
      <c r="AD60" s="13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2.75">
      <c r="A61" s="57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221"/>
      <c r="AB61" s="42"/>
      <c r="AC61" s="40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12.75">
      <c r="A62" s="57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221"/>
      <c r="AB62" s="42"/>
      <c r="AC62" s="40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ht="15.75">
      <c r="A63" s="81" t="s">
        <v>21</v>
      </c>
      <c r="B63" s="81" t="s">
        <v>176</v>
      </c>
      <c r="C63" s="38"/>
      <c r="D63" s="38"/>
      <c r="E63" s="38"/>
      <c r="F63" s="38"/>
      <c r="G63" s="40"/>
      <c r="H63" s="40"/>
      <c r="I63" s="40"/>
      <c r="J63" s="40"/>
      <c r="K63" s="40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88">
        <f>+Y64</f>
        <v>76336341.10109673</v>
      </c>
      <c r="Z63" s="13"/>
      <c r="AA63" s="222"/>
      <c r="AB63" s="42"/>
      <c r="AC63" s="40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12.75">
      <c r="A64" s="86" t="s">
        <v>272</v>
      </c>
      <c r="B64" s="86"/>
      <c r="C64" s="55">
        <f>SUM(C65:C71)</f>
        <v>6</v>
      </c>
      <c r="D64" s="55"/>
      <c r="E64" s="55"/>
      <c r="F64" s="55"/>
      <c r="G64" s="87">
        <f>SUM(G66:G78)</f>
        <v>22101300</v>
      </c>
      <c r="H64" s="88">
        <f>SUM(H65:H71)</f>
        <v>15785872.947300002</v>
      </c>
      <c r="I64" s="88">
        <f aca="true" t="shared" si="39" ref="I64:Y64">SUM(I65:I71)</f>
        <v>67800</v>
      </c>
      <c r="J64" s="88">
        <f t="shared" si="39"/>
        <v>18063802.947300002</v>
      </c>
      <c r="K64" s="88">
        <f t="shared" si="39"/>
        <v>54191408.8419</v>
      </c>
      <c r="L64" s="324">
        <f t="shared" si="39"/>
        <v>2674175.7368250005</v>
      </c>
      <c r="M64" s="88">
        <f t="shared" si="39"/>
        <v>320901.08841900004</v>
      </c>
      <c r="N64" s="88">
        <f t="shared" si="39"/>
        <v>2674175.7368250005</v>
      </c>
      <c r="O64" s="324">
        <f t="shared" si="39"/>
        <v>2257975.3684125002</v>
      </c>
      <c r="P64" s="88">
        <f t="shared" si="39"/>
        <v>1341799.2005205003</v>
      </c>
      <c r="Q64" s="88">
        <f t="shared" si="39"/>
        <v>1894304.753676</v>
      </c>
      <c r="R64" s="88">
        <f t="shared" si="39"/>
        <v>82402.256784906</v>
      </c>
      <c r="S64" s="88">
        <f t="shared" si="39"/>
        <v>9955518.632944219</v>
      </c>
      <c r="T64" s="88">
        <f t="shared" si="39"/>
        <v>631434.917892</v>
      </c>
      <c r="U64" s="88">
        <f t="shared" si="39"/>
        <v>1894304.753676</v>
      </c>
      <c r="V64" s="88">
        <f t="shared" si="39"/>
        <v>473576.188419</v>
      </c>
      <c r="W64" s="88">
        <f t="shared" si="39"/>
        <v>315717.458946</v>
      </c>
      <c r="X64" s="88">
        <f t="shared" si="39"/>
        <v>2367880.9420950003</v>
      </c>
      <c r="Y64" s="292">
        <f t="shared" si="39"/>
        <v>76336341.10109673</v>
      </c>
      <c r="Z64" s="88">
        <f>SUM(Z66:Z71)</f>
        <v>4055789.750074727</v>
      </c>
      <c r="AA64" s="220"/>
      <c r="AB64" s="42"/>
      <c r="AC64" s="40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14.25">
      <c r="A65" s="142" t="s">
        <v>210</v>
      </c>
      <c r="B65" s="47" t="s">
        <v>184</v>
      </c>
      <c r="C65" s="48">
        <v>1</v>
      </c>
      <c r="D65" s="99">
        <v>41091</v>
      </c>
      <c r="E65" s="99">
        <v>41182</v>
      </c>
      <c r="F65" s="98">
        <f aca="true" t="shared" si="40" ref="F65:F70">DAYS360(D65,E65,0)+1</f>
        <v>90</v>
      </c>
      <c r="G65" s="50">
        <f>+$E$7*13</f>
        <v>7367100</v>
      </c>
      <c r="H65" s="50">
        <f>+G65*70%</f>
        <v>5156970</v>
      </c>
      <c r="I65" s="50">
        <v>0</v>
      </c>
      <c r="J65" s="50">
        <f>G65</f>
        <v>7367100</v>
      </c>
      <c r="K65" s="50">
        <f aca="true" t="shared" si="41" ref="K65:K70">+J65/30*F65</f>
        <v>22101300</v>
      </c>
      <c r="L65" s="321">
        <v>0</v>
      </c>
      <c r="M65" s="50">
        <f aca="true" t="shared" si="42" ref="M65:M70">+L65*12%</f>
        <v>0</v>
      </c>
      <c r="N65" s="50">
        <v>0</v>
      </c>
      <c r="O65" s="321">
        <f aca="true" t="shared" si="43" ref="O65:O70">+J65*F65/720</f>
        <v>920887.5</v>
      </c>
      <c r="P65" s="50">
        <f aca="true" t="shared" si="44" ref="P65:P70">+H65*0.085</f>
        <v>438342.45</v>
      </c>
      <c r="Q65" s="50">
        <f aca="true" t="shared" si="45" ref="Q65:Q70">+H65*12%</f>
        <v>618836.4</v>
      </c>
      <c r="R65" s="50">
        <f aca="true" t="shared" si="46" ref="R65:R70">+H65*0.522%</f>
        <v>26919.3834</v>
      </c>
      <c r="S65" s="50">
        <f aca="true" t="shared" si="47" ref="S65:S70">+((P65+Q65+R65)/30*F65)</f>
        <v>3252294.7002</v>
      </c>
      <c r="T65" s="50">
        <f aca="true" t="shared" si="48" ref="T65:T70">+H65*0.04</f>
        <v>206278.80000000002</v>
      </c>
      <c r="U65" s="50">
        <f aca="true" t="shared" si="49" ref="U65:U70">+(T65/30)*F65</f>
        <v>618836.4000000001</v>
      </c>
      <c r="V65" s="50">
        <f aca="true" t="shared" si="50" ref="V65:V70">+H65*0.03</f>
        <v>154709.1</v>
      </c>
      <c r="W65" s="50">
        <f aca="true" t="shared" si="51" ref="W65:W70">+H65*0.02</f>
        <v>103139.40000000001</v>
      </c>
      <c r="X65" s="50">
        <f aca="true" t="shared" si="52" ref="X65:X70">+((V65+W65)/30*F65)</f>
        <v>773545.5000000001</v>
      </c>
      <c r="Y65" s="294">
        <f aca="true" t="shared" si="53" ref="Y65:Y70">K65+L65+M65+N65+O65+S65+U65+X65</f>
        <v>27666864.100199997</v>
      </c>
      <c r="Z65" s="50">
        <f aca="true" t="shared" si="54" ref="Z65:Z70">+Y65/12</f>
        <v>2305572.00835</v>
      </c>
      <c r="AA65" s="220"/>
      <c r="AB65" s="42"/>
      <c r="AC65" s="40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ht="14.25">
      <c r="A66" s="47" t="s">
        <v>147</v>
      </c>
      <c r="B66" s="47" t="s">
        <v>185</v>
      </c>
      <c r="C66" s="48">
        <v>1</v>
      </c>
      <c r="D66" s="99">
        <v>41091</v>
      </c>
      <c r="E66" s="99">
        <v>41182</v>
      </c>
      <c r="F66" s="98">
        <f t="shared" si="40"/>
        <v>90</v>
      </c>
      <c r="G66" s="50"/>
      <c r="H66" s="50">
        <f>3569101*(1+$C$8)</f>
        <v>3702228.4673000006</v>
      </c>
      <c r="I66" s="50">
        <v>0</v>
      </c>
      <c r="J66" s="50">
        <f>+I66+H66</f>
        <v>3702228.4673000006</v>
      </c>
      <c r="K66" s="50">
        <f t="shared" si="41"/>
        <v>11106685.401900003</v>
      </c>
      <c r="L66" s="321">
        <f>+J66*F66/360</f>
        <v>925557.1168250002</v>
      </c>
      <c r="M66" s="50">
        <f t="shared" si="42"/>
        <v>111066.85401900002</v>
      </c>
      <c r="N66" s="50">
        <f>+L66</f>
        <v>925557.1168250002</v>
      </c>
      <c r="O66" s="321">
        <f t="shared" si="43"/>
        <v>462778.5584125001</v>
      </c>
      <c r="P66" s="50">
        <f t="shared" si="44"/>
        <v>314689.41972050007</v>
      </c>
      <c r="Q66" s="50">
        <f t="shared" si="45"/>
        <v>444267.4160760001</v>
      </c>
      <c r="R66" s="50">
        <f t="shared" si="46"/>
        <v>19325.632599306</v>
      </c>
      <c r="S66" s="50">
        <f t="shared" si="47"/>
        <v>2334847.405187418</v>
      </c>
      <c r="T66" s="50">
        <f t="shared" si="48"/>
        <v>148089.13869200004</v>
      </c>
      <c r="U66" s="50">
        <f t="shared" si="49"/>
        <v>444267.4160760001</v>
      </c>
      <c r="V66" s="50">
        <f t="shared" si="50"/>
        <v>111066.85401900002</v>
      </c>
      <c r="W66" s="50">
        <f t="shared" si="51"/>
        <v>74044.56934600002</v>
      </c>
      <c r="X66" s="50">
        <f t="shared" si="52"/>
        <v>555334.2700950002</v>
      </c>
      <c r="Y66" s="294">
        <f t="shared" si="53"/>
        <v>16866094.13933992</v>
      </c>
      <c r="Z66" s="50">
        <f t="shared" si="54"/>
        <v>1405507.8449449933</v>
      </c>
      <c r="AA66" s="221"/>
      <c r="AB66" s="168"/>
      <c r="AC66" s="40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14.25">
      <c r="A67" s="47" t="s">
        <v>171</v>
      </c>
      <c r="B67" s="47" t="s">
        <v>181</v>
      </c>
      <c r="C67" s="48">
        <v>1</v>
      </c>
      <c r="D67" s="99">
        <v>41091</v>
      </c>
      <c r="E67" s="99">
        <v>41182</v>
      </c>
      <c r="F67" s="98">
        <f t="shared" si="40"/>
        <v>90</v>
      </c>
      <c r="G67" s="50"/>
      <c r="H67" s="50">
        <f>2888729*(1+$C$8)</f>
        <v>2996478.5917</v>
      </c>
      <c r="I67" s="50"/>
      <c r="J67" s="50">
        <f>+I67+H67</f>
        <v>2996478.5917</v>
      </c>
      <c r="K67" s="50">
        <f t="shared" si="41"/>
        <v>8989435.7751</v>
      </c>
      <c r="L67" s="321">
        <f>+J67*F67/360</f>
        <v>749119.647925</v>
      </c>
      <c r="M67" s="50">
        <f t="shared" si="42"/>
        <v>89894.357751</v>
      </c>
      <c r="N67" s="50">
        <f>+L67</f>
        <v>749119.647925</v>
      </c>
      <c r="O67" s="321">
        <f t="shared" si="43"/>
        <v>374559.8239625</v>
      </c>
      <c r="P67" s="50">
        <f t="shared" si="44"/>
        <v>254700.68029450002</v>
      </c>
      <c r="Q67" s="50">
        <f t="shared" si="45"/>
        <v>359577.431004</v>
      </c>
      <c r="R67" s="50">
        <f t="shared" si="46"/>
        <v>15641.618248674</v>
      </c>
      <c r="S67" s="50">
        <f t="shared" si="47"/>
        <v>1889759.188641522</v>
      </c>
      <c r="T67" s="50">
        <f t="shared" si="48"/>
        <v>119859.143668</v>
      </c>
      <c r="U67" s="50">
        <f t="shared" si="49"/>
        <v>359577.431004</v>
      </c>
      <c r="V67" s="50">
        <f t="shared" si="50"/>
        <v>89894.357751</v>
      </c>
      <c r="W67" s="50">
        <f t="shared" si="51"/>
        <v>59929.571834</v>
      </c>
      <c r="X67" s="50">
        <f t="shared" si="52"/>
        <v>449471.788755</v>
      </c>
      <c r="Y67" s="294">
        <f t="shared" si="53"/>
        <v>13650937.661064025</v>
      </c>
      <c r="Z67" s="50">
        <f t="shared" si="54"/>
        <v>1137578.138422002</v>
      </c>
      <c r="AA67" s="221"/>
      <c r="AB67" s="168"/>
      <c r="AC67" s="40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14.25">
      <c r="A68" s="134" t="s">
        <v>236</v>
      </c>
      <c r="B68" s="47" t="s">
        <v>182</v>
      </c>
      <c r="C68" s="48">
        <v>1</v>
      </c>
      <c r="D68" s="99">
        <v>41091</v>
      </c>
      <c r="E68" s="99">
        <v>41182</v>
      </c>
      <c r="F68" s="98">
        <f>DAYS360(D68,E68,0)+1</f>
        <v>90</v>
      </c>
      <c r="G68" s="50"/>
      <c r="H68" s="50">
        <f>1529615*(1+$C$8)</f>
        <v>1586669.6395000003</v>
      </c>
      <c r="I68" s="50">
        <v>0</v>
      </c>
      <c r="J68" s="50">
        <f>+I68+H68</f>
        <v>1586669.6395000003</v>
      </c>
      <c r="K68" s="50">
        <f>+J68/30*F68</f>
        <v>4760008.918500001</v>
      </c>
      <c r="L68" s="321">
        <f>+J68*F68/360</f>
        <v>396667.4098750001</v>
      </c>
      <c r="M68" s="50">
        <f>+L68*12%</f>
        <v>47600.08918500001</v>
      </c>
      <c r="N68" s="50">
        <f>+L68</f>
        <v>396667.4098750001</v>
      </c>
      <c r="O68" s="321">
        <f t="shared" si="43"/>
        <v>198333.70493750006</v>
      </c>
      <c r="P68" s="50">
        <f>+H68*0.085</f>
        <v>134866.91935750004</v>
      </c>
      <c r="Q68" s="50">
        <f>+H68*12%</f>
        <v>190400.35674000002</v>
      </c>
      <c r="R68" s="50">
        <f>+H68*0.522%</f>
        <v>8282.41551819</v>
      </c>
      <c r="S68" s="50">
        <f>+((P68+Q68+R68)/30*F68)</f>
        <v>1000649.0748470702</v>
      </c>
      <c r="T68" s="50">
        <f>+H68*0.04</f>
        <v>63466.78558000001</v>
      </c>
      <c r="U68" s="50">
        <f>+(T68/30)*F68</f>
        <v>190400.35674000005</v>
      </c>
      <c r="V68" s="50">
        <f>+H68*0.03</f>
        <v>47600.089185000004</v>
      </c>
      <c r="W68" s="50">
        <f>+H68*0.02</f>
        <v>31733.392790000005</v>
      </c>
      <c r="X68" s="50">
        <f>+((V68+W68)/30*F68)</f>
        <v>238000.445925</v>
      </c>
      <c r="Y68" s="294">
        <f>K68+L68+M68+N68+O68+S68+U68+X68</f>
        <v>7228327.409884571</v>
      </c>
      <c r="Z68" s="50">
        <f>+Y68/12</f>
        <v>602360.6174903809</v>
      </c>
      <c r="AA68" s="221"/>
      <c r="AB68" s="168"/>
      <c r="AC68" s="40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14.25">
      <c r="A69" s="289" t="s">
        <v>236</v>
      </c>
      <c r="B69" s="288" t="s">
        <v>182</v>
      </c>
      <c r="C69" s="326">
        <v>1</v>
      </c>
      <c r="D69" s="99">
        <v>41091</v>
      </c>
      <c r="E69" s="99">
        <v>41182</v>
      </c>
      <c r="F69" s="98">
        <f>DAYS360(D69,E69,0)+1</f>
        <v>90</v>
      </c>
      <c r="G69" s="50"/>
      <c r="H69" s="50">
        <f>1529615*(1+$C$8)</f>
        <v>1586669.6395000003</v>
      </c>
      <c r="I69" s="50"/>
      <c r="J69" s="50">
        <f>+I69+H69</f>
        <v>1586669.6395000003</v>
      </c>
      <c r="K69" s="50">
        <f>+J69/30*F69</f>
        <v>4760008.918500001</v>
      </c>
      <c r="L69" s="321">
        <f>+J69*F69/360</f>
        <v>396667.4098750001</v>
      </c>
      <c r="M69" s="50">
        <f>+L69*12%</f>
        <v>47600.08918500001</v>
      </c>
      <c r="N69" s="50">
        <f>+L69</f>
        <v>396667.4098750001</v>
      </c>
      <c r="O69" s="321">
        <f t="shared" si="43"/>
        <v>198333.70493750006</v>
      </c>
      <c r="P69" s="50">
        <f>+H69*0.085</f>
        <v>134866.91935750004</v>
      </c>
      <c r="Q69" s="50">
        <f>+H69*12%</f>
        <v>190400.35674000002</v>
      </c>
      <c r="R69" s="50">
        <f>+H69*0.522%</f>
        <v>8282.41551819</v>
      </c>
      <c r="S69" s="50">
        <f>+((P69+Q69+R69)/30*F69)</f>
        <v>1000649.0748470702</v>
      </c>
      <c r="T69" s="50">
        <f>+H69*0.04</f>
        <v>63466.78558000001</v>
      </c>
      <c r="U69" s="50">
        <f>+(T69/30)*F69</f>
        <v>190400.35674000005</v>
      </c>
      <c r="V69" s="50">
        <f>+H69*0.03</f>
        <v>47600.089185000004</v>
      </c>
      <c r="W69" s="50">
        <f>+H69*0.02</f>
        <v>31733.392790000005</v>
      </c>
      <c r="X69" s="50">
        <f>+((V69+W69)/30*F69)</f>
        <v>238000.445925</v>
      </c>
      <c r="Y69" s="294">
        <f>K69+L69+M69+N69+O69+S69+U69+X69</f>
        <v>7228327.409884571</v>
      </c>
      <c r="Z69" s="50">
        <f>+Y69/12</f>
        <v>602360.6174903809</v>
      </c>
      <c r="AA69" s="221"/>
      <c r="AB69" s="168"/>
      <c r="AC69" s="40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14.25">
      <c r="A70" s="149" t="s">
        <v>12</v>
      </c>
      <c r="B70" s="47" t="s">
        <v>178</v>
      </c>
      <c r="C70" s="48">
        <v>1</v>
      </c>
      <c r="D70" s="99">
        <v>41091</v>
      </c>
      <c r="E70" s="99">
        <v>41182</v>
      </c>
      <c r="F70" s="98">
        <f t="shared" si="40"/>
        <v>90</v>
      </c>
      <c r="G70" s="48"/>
      <c r="H70" s="50">
        <f>729641*(1+$C$8)</f>
        <v>756856.6093000001</v>
      </c>
      <c r="I70" s="50">
        <f>+E8</f>
        <v>67800</v>
      </c>
      <c r="J70" s="50">
        <f>+I70+H70</f>
        <v>824656.6093000001</v>
      </c>
      <c r="K70" s="50">
        <f t="shared" si="41"/>
        <v>2473969.8279000004</v>
      </c>
      <c r="L70" s="321">
        <f>+J70*F70/360</f>
        <v>206164.15232500003</v>
      </c>
      <c r="M70" s="50">
        <f t="shared" si="42"/>
        <v>24739.698279000004</v>
      </c>
      <c r="N70" s="50">
        <f>+L70</f>
        <v>206164.15232500003</v>
      </c>
      <c r="O70" s="321">
        <f t="shared" si="43"/>
        <v>103082.07616250002</v>
      </c>
      <c r="P70" s="50">
        <f t="shared" si="44"/>
        <v>64332.81179050002</v>
      </c>
      <c r="Q70" s="50">
        <f t="shared" si="45"/>
        <v>90822.79311600002</v>
      </c>
      <c r="R70" s="50">
        <f t="shared" si="46"/>
        <v>3950.7915005460004</v>
      </c>
      <c r="S70" s="50">
        <f t="shared" si="47"/>
        <v>477319.1892211381</v>
      </c>
      <c r="T70" s="50">
        <f t="shared" si="48"/>
        <v>30274.264372000005</v>
      </c>
      <c r="U70" s="50">
        <f t="shared" si="49"/>
        <v>90822.79311600002</v>
      </c>
      <c r="V70" s="50">
        <f t="shared" si="50"/>
        <v>22705.698279000004</v>
      </c>
      <c r="W70" s="50">
        <f t="shared" si="51"/>
        <v>15137.132186000003</v>
      </c>
      <c r="X70" s="50">
        <f t="shared" si="52"/>
        <v>113528.49139500002</v>
      </c>
      <c r="Y70" s="294">
        <f t="shared" si="53"/>
        <v>3695790.3807236385</v>
      </c>
      <c r="Z70" s="50">
        <f t="shared" si="54"/>
        <v>307982.5317269699</v>
      </c>
      <c r="AA70" s="221"/>
      <c r="AB70" s="168"/>
      <c r="AC70" s="40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12.75">
      <c r="A71" s="57"/>
      <c r="B71" s="57"/>
      <c r="C71" s="58"/>
      <c r="D71" s="58"/>
      <c r="E71" s="58"/>
      <c r="F71" s="58"/>
      <c r="G71" s="58"/>
      <c r="H71" s="58"/>
      <c r="I71" s="58"/>
      <c r="J71" s="58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221"/>
      <c r="AB71" s="42"/>
      <c r="AC71" s="40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ht="12.75">
      <c r="A72" s="57"/>
      <c r="B72" s="57"/>
      <c r="C72" s="58"/>
      <c r="D72" s="58"/>
      <c r="E72" s="58"/>
      <c r="F72" s="58"/>
      <c r="G72" s="58"/>
      <c r="H72" s="58"/>
      <c r="I72" s="58"/>
      <c r="J72" s="58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221"/>
      <c r="AB72" s="42"/>
      <c r="AC72" s="40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5.75">
      <c r="A73" s="81" t="s">
        <v>313</v>
      </c>
      <c r="B73" s="81" t="s">
        <v>176</v>
      </c>
      <c r="C73" s="38"/>
      <c r="D73" s="38"/>
      <c r="E73" s="38"/>
      <c r="F73" s="38"/>
      <c r="G73" s="40"/>
      <c r="H73" s="40"/>
      <c r="I73" s="40"/>
      <c r="J73" s="40"/>
      <c r="K73" s="40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88">
        <f>+Y74</f>
        <v>38590981.89080821</v>
      </c>
      <c r="Z73" s="13"/>
      <c r="AA73" s="222"/>
      <c r="AB73" s="42"/>
      <c r="AC73" s="40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12.75">
      <c r="A74" s="86" t="s">
        <v>282</v>
      </c>
      <c r="B74" s="86"/>
      <c r="C74" s="55">
        <f>SUM(C75:C78)</f>
        <v>3</v>
      </c>
      <c r="D74" s="55"/>
      <c r="E74" s="55"/>
      <c r="F74" s="55"/>
      <c r="G74" s="87">
        <f>SUM(G77:G87)</f>
        <v>14734200</v>
      </c>
      <c r="H74" s="88">
        <f>SUM(H75:H78)</f>
        <v>7500496.2488</v>
      </c>
      <c r="I74" s="88">
        <f aca="true" t="shared" si="55" ref="I74:X74">SUM(I75:I78)</f>
        <v>67800</v>
      </c>
      <c r="J74" s="88">
        <f t="shared" si="55"/>
        <v>9778426.2488</v>
      </c>
      <c r="K74" s="88">
        <f t="shared" si="55"/>
        <v>29335278.7464</v>
      </c>
      <c r="L74" s="324">
        <f t="shared" si="55"/>
        <v>602831.5622000002</v>
      </c>
      <c r="M74" s="88">
        <f t="shared" si="55"/>
        <v>72339.78746400002</v>
      </c>
      <c r="N74" s="88">
        <f t="shared" si="55"/>
        <v>602831.5622000002</v>
      </c>
      <c r="O74" s="88">
        <f t="shared" si="55"/>
        <v>1222303.2811</v>
      </c>
      <c r="P74" s="88">
        <f t="shared" si="55"/>
        <v>637542.1811480001</v>
      </c>
      <c r="Q74" s="88">
        <f t="shared" si="55"/>
        <v>900059.5498560001</v>
      </c>
      <c r="R74" s="88">
        <f t="shared" si="55"/>
        <v>39152.590418736</v>
      </c>
      <c r="S74" s="88">
        <f t="shared" si="55"/>
        <v>4730262.9642682085</v>
      </c>
      <c r="T74" s="88">
        <f t="shared" si="55"/>
        <v>300019.849952</v>
      </c>
      <c r="U74" s="88">
        <f t="shared" si="55"/>
        <v>900059.5498560002</v>
      </c>
      <c r="V74" s="88">
        <f t="shared" si="55"/>
        <v>225014.88746400003</v>
      </c>
      <c r="W74" s="88">
        <f t="shared" si="55"/>
        <v>150009.924976</v>
      </c>
      <c r="X74" s="88">
        <f t="shared" si="55"/>
        <v>1125074.43732</v>
      </c>
      <c r="Y74" s="88">
        <f>SUM(Y75:Y78)</f>
        <v>38590981.89080821</v>
      </c>
      <c r="Z74" s="88">
        <f>SUM(Z77:Z78)</f>
        <v>307982.5317269699</v>
      </c>
      <c r="AA74" s="220"/>
      <c r="AB74" s="42"/>
      <c r="AC74" s="40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14.25">
      <c r="A75" s="327" t="s">
        <v>210</v>
      </c>
      <c r="B75" s="288" t="s">
        <v>184</v>
      </c>
      <c r="C75" s="328">
        <v>1</v>
      </c>
      <c r="D75" s="99">
        <v>41091</v>
      </c>
      <c r="E75" s="99">
        <v>41182</v>
      </c>
      <c r="F75" s="329">
        <f>DAYS360(D75,E75,0)+1</f>
        <v>90</v>
      </c>
      <c r="G75" s="276">
        <f>+$E$7*13</f>
        <v>7367100</v>
      </c>
      <c r="H75" s="276">
        <f>+G75*70%</f>
        <v>5156970</v>
      </c>
      <c r="I75" s="276">
        <v>0</v>
      </c>
      <c r="J75" s="276">
        <f>G75</f>
        <v>7367100</v>
      </c>
      <c r="K75" s="276">
        <f>+J75/30*F75</f>
        <v>22101300</v>
      </c>
      <c r="L75" s="325">
        <v>0</v>
      </c>
      <c r="M75" s="276">
        <f>+L75*12%</f>
        <v>0</v>
      </c>
      <c r="N75" s="276">
        <v>0</v>
      </c>
      <c r="O75" s="325">
        <f>+J75*F75/720</f>
        <v>920887.5</v>
      </c>
      <c r="P75" s="276">
        <f>+H75*0.085</f>
        <v>438342.45</v>
      </c>
      <c r="Q75" s="276">
        <f>+H75*12%</f>
        <v>618836.4</v>
      </c>
      <c r="R75" s="276">
        <f>+H75*0.522%</f>
        <v>26919.3834</v>
      </c>
      <c r="S75" s="276">
        <f>+((P75+Q75+R75)/30*F75)</f>
        <v>3252294.7002</v>
      </c>
      <c r="T75" s="276">
        <f>+H75*0.04</f>
        <v>206278.80000000002</v>
      </c>
      <c r="U75" s="276">
        <f>+(T75/30)*F75</f>
        <v>618836.4000000001</v>
      </c>
      <c r="V75" s="276">
        <f>+H75*0.03</f>
        <v>154709.1</v>
      </c>
      <c r="W75" s="276">
        <f>+H75*0.02</f>
        <v>103139.40000000001</v>
      </c>
      <c r="X75" s="276">
        <f>+((V75+W75)/30*F75)</f>
        <v>773545.5000000001</v>
      </c>
      <c r="Y75" s="276">
        <f>K75+L75+M75+N75+O75+S75+U75+X75</f>
        <v>27666864.100199997</v>
      </c>
      <c r="Z75" s="276">
        <f>+Y75/12</f>
        <v>2305572.00835</v>
      </c>
      <c r="AA75" s="220"/>
      <c r="AB75" s="42"/>
      <c r="AC75" s="40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14.25">
      <c r="A76" s="289" t="s">
        <v>236</v>
      </c>
      <c r="B76" s="288" t="s">
        <v>182</v>
      </c>
      <c r="C76" s="328">
        <v>1</v>
      </c>
      <c r="D76" s="99">
        <v>41091</v>
      </c>
      <c r="E76" s="99">
        <v>41182</v>
      </c>
      <c r="F76" s="329">
        <f>DAYS360(D76,E76,0)+1</f>
        <v>90</v>
      </c>
      <c r="G76" s="276"/>
      <c r="H76" s="276">
        <f>1529615*(1+$C$8)</f>
        <v>1586669.6395000003</v>
      </c>
      <c r="I76" s="276">
        <v>0</v>
      </c>
      <c r="J76" s="276">
        <f>+I76+H76</f>
        <v>1586669.6395000003</v>
      </c>
      <c r="K76" s="276">
        <f>+J76/30*F76</f>
        <v>4760008.918500001</v>
      </c>
      <c r="L76" s="325">
        <f>+J76*F76/360</f>
        <v>396667.4098750001</v>
      </c>
      <c r="M76" s="276">
        <f>+L76*12%</f>
        <v>47600.08918500001</v>
      </c>
      <c r="N76" s="276">
        <f>+L76</f>
        <v>396667.4098750001</v>
      </c>
      <c r="O76" s="325">
        <f>+J76*F76/720</f>
        <v>198333.70493750006</v>
      </c>
      <c r="P76" s="276">
        <f>+H76*0.085</f>
        <v>134866.91935750004</v>
      </c>
      <c r="Q76" s="276">
        <f>+H76*12%</f>
        <v>190400.35674000002</v>
      </c>
      <c r="R76" s="276">
        <f>+H76*0.522%</f>
        <v>8282.41551819</v>
      </c>
      <c r="S76" s="276">
        <f>+((P76+Q76+R76)/30*F76)</f>
        <v>1000649.0748470702</v>
      </c>
      <c r="T76" s="276">
        <f>+H76*0.04</f>
        <v>63466.78558000001</v>
      </c>
      <c r="U76" s="276">
        <f>+(T76/30)*F76</f>
        <v>190400.35674000005</v>
      </c>
      <c r="V76" s="276">
        <f>+H76*0.03</f>
        <v>47600.089185000004</v>
      </c>
      <c r="W76" s="276">
        <f>+H76*0.02</f>
        <v>31733.392790000005</v>
      </c>
      <c r="X76" s="276">
        <f>+((V76+W76)/30*F76)</f>
        <v>238000.445925</v>
      </c>
      <c r="Y76" s="276">
        <f>K76+L76+M76+N76+O76+S76+U76+X76</f>
        <v>7228327.409884571</v>
      </c>
      <c r="Z76" s="276">
        <f>+Y76/12</f>
        <v>602360.6174903809</v>
      </c>
      <c r="AA76" s="221"/>
      <c r="AB76" s="168"/>
      <c r="AC76" s="40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14.25">
      <c r="A77" s="288" t="s">
        <v>12</v>
      </c>
      <c r="B77" s="47" t="s">
        <v>178</v>
      </c>
      <c r="C77" s="317">
        <v>1</v>
      </c>
      <c r="D77" s="99">
        <v>41091</v>
      </c>
      <c r="E77" s="99">
        <v>41182</v>
      </c>
      <c r="F77" s="319">
        <f>DAYS360(D77,E77,0)+1</f>
        <v>90</v>
      </c>
      <c r="G77" s="317"/>
      <c r="H77" s="276">
        <f>729641*(1+$C$8)</f>
        <v>756856.6093000001</v>
      </c>
      <c r="I77" s="276">
        <f>+E8</f>
        <v>67800</v>
      </c>
      <c r="J77" s="276">
        <f>+I77+H77</f>
        <v>824656.6093000001</v>
      </c>
      <c r="K77" s="276">
        <f>+J77/30*F77</f>
        <v>2473969.8279000004</v>
      </c>
      <c r="L77" s="325">
        <f>+J77*F77/360</f>
        <v>206164.15232500003</v>
      </c>
      <c r="M77" s="276">
        <f>+L77*12%</f>
        <v>24739.698279000004</v>
      </c>
      <c r="N77" s="276">
        <f>+L77</f>
        <v>206164.15232500003</v>
      </c>
      <c r="O77" s="325">
        <f>+J77*F77/720</f>
        <v>103082.07616250002</v>
      </c>
      <c r="P77" s="276">
        <f>+H77*0.085</f>
        <v>64332.81179050002</v>
      </c>
      <c r="Q77" s="276">
        <f>+H77*12%</f>
        <v>90822.79311600002</v>
      </c>
      <c r="R77" s="276">
        <f>+H77*0.522%</f>
        <v>3950.7915005460004</v>
      </c>
      <c r="S77" s="276">
        <f>+((P77+Q77+R77)/30*F77)</f>
        <v>477319.1892211381</v>
      </c>
      <c r="T77" s="276">
        <f>+H77*0.04</f>
        <v>30274.264372000005</v>
      </c>
      <c r="U77" s="276">
        <f>+(T77/30)*F77</f>
        <v>90822.79311600002</v>
      </c>
      <c r="V77" s="276">
        <f>+H77*0.03</f>
        <v>22705.698279000004</v>
      </c>
      <c r="W77" s="276">
        <f>+H77*0.02</f>
        <v>15137.132186000003</v>
      </c>
      <c r="X77" s="276">
        <f>+((V77+W77)/30*F77)</f>
        <v>113528.49139500002</v>
      </c>
      <c r="Y77" s="276">
        <f>K77+L77+M77+N77+O77+S77+U77+X77</f>
        <v>3695790.3807236385</v>
      </c>
      <c r="Z77" s="276">
        <f>+Y77/12</f>
        <v>307982.5317269699</v>
      </c>
      <c r="AA77" s="221"/>
      <c r="AB77" s="168"/>
      <c r="AC77" s="40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12.75">
      <c r="A78" s="291"/>
      <c r="B78" s="57"/>
      <c r="C78" s="58"/>
      <c r="D78" s="58"/>
      <c r="E78" s="58"/>
      <c r="F78" s="58"/>
      <c r="G78" s="58"/>
      <c r="H78" s="58"/>
      <c r="I78" s="58"/>
      <c r="J78" s="5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221"/>
      <c r="AB78" s="42"/>
      <c r="AC78" s="40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12.75">
      <c r="A79" s="57"/>
      <c r="B79" s="57"/>
      <c r="C79" s="58"/>
      <c r="D79" s="58"/>
      <c r="E79" s="58"/>
      <c r="F79" s="58"/>
      <c r="G79" s="58"/>
      <c r="H79" s="58"/>
      <c r="I79" s="58"/>
      <c r="J79" s="58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221"/>
      <c r="AB79" s="42"/>
      <c r="AC79" s="40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15.75">
      <c r="A80" s="81" t="s">
        <v>117</v>
      </c>
      <c r="B80" s="81" t="s">
        <v>176</v>
      </c>
      <c r="C80" s="58"/>
      <c r="D80" s="58"/>
      <c r="E80" s="58"/>
      <c r="F80" s="58"/>
      <c r="G80" s="58"/>
      <c r="H80" s="58"/>
      <c r="I80" s="58"/>
      <c r="J80" s="58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93">
        <f>+Y81</f>
        <v>228363554.3600435</v>
      </c>
      <c r="Z80" s="59"/>
      <c r="AA80" s="221"/>
      <c r="AB80" s="42"/>
      <c r="AC80" s="40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ht="12.75">
      <c r="A81" s="82" t="s">
        <v>91</v>
      </c>
      <c r="B81" s="82"/>
      <c r="C81" s="49">
        <f>SUM(C82:C90)</f>
        <v>29</v>
      </c>
      <c r="D81" s="49"/>
      <c r="E81" s="49"/>
      <c r="F81" s="49"/>
      <c r="G81" s="92">
        <f>+G82</f>
        <v>7367100</v>
      </c>
      <c r="H81" s="93">
        <f aca="true" t="shared" si="56" ref="H81:Z81">SUM(H82:H90)</f>
        <v>48917228.72350001</v>
      </c>
      <c r="I81" s="93">
        <f t="shared" si="56"/>
        <v>203400</v>
      </c>
      <c r="J81" s="93">
        <f t="shared" si="56"/>
        <v>51330758.72350001</v>
      </c>
      <c r="K81" s="93">
        <f t="shared" si="56"/>
        <v>153992276.1705</v>
      </c>
      <c r="L81" s="323">
        <f t="shared" si="56"/>
        <v>10990914.680875003</v>
      </c>
      <c r="M81" s="93">
        <f t="shared" si="56"/>
        <v>1318909.7617049997</v>
      </c>
      <c r="N81" s="93">
        <f t="shared" si="56"/>
        <v>10990914.680875003</v>
      </c>
      <c r="O81" s="93">
        <f t="shared" si="56"/>
        <v>6416344.840437502</v>
      </c>
      <c r="P81" s="93">
        <f t="shared" si="56"/>
        <v>4157964.4414975005</v>
      </c>
      <c r="Q81" s="93">
        <f t="shared" si="56"/>
        <v>5870067.446819999</v>
      </c>
      <c r="R81" s="93">
        <f t="shared" si="56"/>
        <v>454148.9351178479</v>
      </c>
      <c r="S81" s="93">
        <f t="shared" si="56"/>
        <v>31446542.470306035</v>
      </c>
      <c r="T81" s="93">
        <f t="shared" si="56"/>
        <v>1956689.1489400002</v>
      </c>
      <c r="U81" s="93">
        <f t="shared" si="56"/>
        <v>5870067.446819999</v>
      </c>
      <c r="V81" s="93">
        <f t="shared" si="56"/>
        <v>1467516.8617049998</v>
      </c>
      <c r="W81" s="93">
        <f t="shared" si="56"/>
        <v>978344.5744700001</v>
      </c>
      <c r="X81" s="93">
        <f t="shared" si="56"/>
        <v>7337584.308525</v>
      </c>
      <c r="Y81" s="93">
        <f t="shared" si="56"/>
        <v>228363554.3600435</v>
      </c>
      <c r="Z81" s="93">
        <f t="shared" si="56"/>
        <v>19030296.196670298</v>
      </c>
      <c r="AA81" s="223"/>
      <c r="AB81" s="42"/>
      <c r="AC81" s="40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14.25">
      <c r="A82" s="149" t="s">
        <v>99</v>
      </c>
      <c r="B82" s="47" t="s">
        <v>184</v>
      </c>
      <c r="C82" s="48">
        <v>1</v>
      </c>
      <c r="D82" s="99">
        <v>41091</v>
      </c>
      <c r="E82" s="99">
        <v>41182</v>
      </c>
      <c r="F82" s="98">
        <f aca="true" t="shared" si="57" ref="F82:F88">DAYS360(D82,E82,0)+1</f>
        <v>90</v>
      </c>
      <c r="G82" s="50">
        <f>+$E$7*13</f>
        <v>7367100</v>
      </c>
      <c r="H82" s="50">
        <f>+G82*70%</f>
        <v>5156970</v>
      </c>
      <c r="I82" s="50"/>
      <c r="J82" s="50">
        <f>G82</f>
        <v>7367100</v>
      </c>
      <c r="K82" s="50">
        <f aca="true" t="shared" si="58" ref="K82:K88">+J82/30*F82</f>
        <v>22101300</v>
      </c>
      <c r="L82" s="321">
        <v>0</v>
      </c>
      <c r="M82" s="50">
        <f aca="true" t="shared" si="59" ref="M82:M90">+L82*12%</f>
        <v>0</v>
      </c>
      <c r="N82" s="50">
        <v>0</v>
      </c>
      <c r="O82" s="321">
        <f aca="true" t="shared" si="60" ref="O82:O90">+J82*F82/720</f>
        <v>920887.5</v>
      </c>
      <c r="P82" s="50">
        <f aca="true" t="shared" si="61" ref="P82:P88">+H82*0.085</f>
        <v>438342.45</v>
      </c>
      <c r="Q82" s="50">
        <f aca="true" t="shared" si="62" ref="Q82:Q88">+H82*12%</f>
        <v>618836.4</v>
      </c>
      <c r="R82" s="50">
        <f>+H82*0.522%</f>
        <v>26919.3834</v>
      </c>
      <c r="S82" s="50">
        <f aca="true" t="shared" si="63" ref="S82:S88">+((P82+Q82+R82)/30*F82)</f>
        <v>3252294.7002</v>
      </c>
      <c r="T82" s="50">
        <f aca="true" t="shared" si="64" ref="T82:T88">+H82*0.04</f>
        <v>206278.80000000002</v>
      </c>
      <c r="U82" s="50">
        <f aca="true" t="shared" si="65" ref="U82:U88">+(T82/30)*F82</f>
        <v>618836.4000000001</v>
      </c>
      <c r="V82" s="50">
        <f aca="true" t="shared" si="66" ref="V82:V88">+H82*0.03</f>
        <v>154709.1</v>
      </c>
      <c r="W82" s="50">
        <f aca="true" t="shared" si="67" ref="W82:W88">+H82*0.02</f>
        <v>103139.40000000001</v>
      </c>
      <c r="X82" s="50">
        <f aca="true" t="shared" si="68" ref="X82:X88">+((V82+W82)/30*F82)</f>
        <v>773545.5000000001</v>
      </c>
      <c r="Y82" s="294">
        <f aca="true" t="shared" si="69" ref="Y82:Y88">K82+L82+M82+N82+O82+S82+U82+X82</f>
        <v>27666864.100199997</v>
      </c>
      <c r="Z82" s="50">
        <f aca="true" t="shared" si="70" ref="Z82:Z90">+Y82/12</f>
        <v>2305572.00835</v>
      </c>
      <c r="AA82" s="220"/>
      <c r="AB82" s="42"/>
      <c r="AC82" s="40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4.25">
      <c r="A83" s="149" t="s">
        <v>18</v>
      </c>
      <c r="B83" s="47" t="s">
        <v>181</v>
      </c>
      <c r="C83" s="54">
        <v>1</v>
      </c>
      <c r="D83" s="99">
        <v>41091</v>
      </c>
      <c r="E83" s="99">
        <v>41182</v>
      </c>
      <c r="F83" s="98">
        <f>DAYS360(D83,E83,0)+1</f>
        <v>90</v>
      </c>
      <c r="G83" s="55"/>
      <c r="H83" s="50">
        <f>2888729*(1+$C$8)</f>
        <v>2996478.5917</v>
      </c>
      <c r="I83" s="50"/>
      <c r="J83" s="50">
        <f>+I83+H83</f>
        <v>2996478.5917</v>
      </c>
      <c r="K83" s="50">
        <f>+J83/30*F83</f>
        <v>8989435.7751</v>
      </c>
      <c r="L83" s="321">
        <f aca="true" t="shared" si="71" ref="L83:L90">+J83*F83/360</f>
        <v>749119.647925</v>
      </c>
      <c r="M83" s="50">
        <f t="shared" si="59"/>
        <v>89894.357751</v>
      </c>
      <c r="N83" s="50">
        <f aca="true" t="shared" si="72" ref="N83:N90">+L83</f>
        <v>749119.647925</v>
      </c>
      <c r="O83" s="321">
        <f t="shared" si="60"/>
        <v>374559.8239625</v>
      </c>
      <c r="P83" s="50">
        <f>+H83*0.085</f>
        <v>254700.68029450002</v>
      </c>
      <c r="Q83" s="50">
        <f>+H83*12%</f>
        <v>359577.431004</v>
      </c>
      <c r="R83" s="50">
        <f>+H83*1.044%</f>
        <v>31283.236497348</v>
      </c>
      <c r="S83" s="50">
        <f>+((P83+Q83+R83)/30*F83)</f>
        <v>1936684.043387544</v>
      </c>
      <c r="T83" s="50">
        <f>+H83*0.04</f>
        <v>119859.143668</v>
      </c>
      <c r="U83" s="50">
        <f>+(T83/30)*F83</f>
        <v>359577.431004</v>
      </c>
      <c r="V83" s="50">
        <f>+H83*0.03</f>
        <v>89894.357751</v>
      </c>
      <c r="W83" s="50">
        <f>+H83*0.02</f>
        <v>59929.571834</v>
      </c>
      <c r="X83" s="50">
        <f>+((V83+W83)/30*F83)</f>
        <v>449471.788755</v>
      </c>
      <c r="Y83" s="294">
        <f>K83+L83+M83+N83+O83+S83+U83+X83</f>
        <v>13697862.515810046</v>
      </c>
      <c r="Z83" s="50">
        <f t="shared" si="70"/>
        <v>1141488.5429841706</v>
      </c>
      <c r="AA83" s="220"/>
      <c r="AB83" s="42"/>
      <c r="AC83" s="40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4.25">
      <c r="A84" s="154" t="s">
        <v>230</v>
      </c>
      <c r="B84" s="47" t="s">
        <v>181</v>
      </c>
      <c r="C84" s="54">
        <v>1</v>
      </c>
      <c r="D84" s="99">
        <v>41091</v>
      </c>
      <c r="E84" s="99">
        <v>41182</v>
      </c>
      <c r="F84" s="98">
        <f>DAYS360(D84,E84,0)+1</f>
        <v>90</v>
      </c>
      <c r="G84" s="55"/>
      <c r="H84" s="50">
        <f>2888729*(1+$C$8)</f>
        <v>2996478.5917</v>
      </c>
      <c r="I84" s="50"/>
      <c r="J84" s="50">
        <f>+I84+H84</f>
        <v>2996478.5917</v>
      </c>
      <c r="K84" s="50">
        <f>+J84/30*F84</f>
        <v>8989435.7751</v>
      </c>
      <c r="L84" s="321">
        <f t="shared" si="71"/>
        <v>749119.647925</v>
      </c>
      <c r="M84" s="50">
        <f t="shared" si="59"/>
        <v>89894.357751</v>
      </c>
      <c r="N84" s="50">
        <f t="shared" si="72"/>
        <v>749119.647925</v>
      </c>
      <c r="O84" s="321">
        <f t="shared" si="60"/>
        <v>374559.8239625</v>
      </c>
      <c r="P84" s="50">
        <f>+H84*0.085</f>
        <v>254700.68029450002</v>
      </c>
      <c r="Q84" s="50">
        <f>+H84*12%</f>
        <v>359577.431004</v>
      </c>
      <c r="R84" s="50">
        <f>+H84*0.522%</f>
        <v>15641.618248674</v>
      </c>
      <c r="S84" s="50">
        <f>+((P84+Q84+R84)/30*F84)</f>
        <v>1889759.188641522</v>
      </c>
      <c r="T84" s="50">
        <f>+H84*0.04</f>
        <v>119859.143668</v>
      </c>
      <c r="U84" s="50">
        <f>+(T84/30)*F84</f>
        <v>359577.431004</v>
      </c>
      <c r="V84" s="50">
        <f>+H84*0.03</f>
        <v>89894.357751</v>
      </c>
      <c r="W84" s="50">
        <f>+H84*0.02</f>
        <v>59929.571834</v>
      </c>
      <c r="X84" s="50">
        <f>+((V84+W84)/30*F84)</f>
        <v>449471.788755</v>
      </c>
      <c r="Y84" s="294">
        <f>K84+L84+M84+N84+O84+S84+U84+X84</f>
        <v>13650937.661064025</v>
      </c>
      <c r="Z84" s="50">
        <f t="shared" si="70"/>
        <v>1137578.138422002</v>
      </c>
      <c r="AA84" s="220"/>
      <c r="AB84" s="42"/>
      <c r="AC84" s="40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14.25">
      <c r="A85" s="47" t="s">
        <v>10</v>
      </c>
      <c r="B85" s="47" t="s">
        <v>185</v>
      </c>
      <c r="C85" s="48">
        <v>17</v>
      </c>
      <c r="D85" s="99">
        <v>41091</v>
      </c>
      <c r="E85" s="99">
        <v>41182</v>
      </c>
      <c r="F85" s="98">
        <f t="shared" si="57"/>
        <v>90</v>
      </c>
      <c r="G85" s="48"/>
      <c r="H85" s="50">
        <f>(1555791*(1+$C$8))*C85</f>
        <v>27434974.0731</v>
      </c>
      <c r="I85" s="50">
        <v>0</v>
      </c>
      <c r="J85" s="50">
        <f>+H85</f>
        <v>27434974.0731</v>
      </c>
      <c r="K85" s="50">
        <f t="shared" si="58"/>
        <v>82304922.2193</v>
      </c>
      <c r="L85" s="321">
        <f t="shared" si="71"/>
        <v>6858743.518275</v>
      </c>
      <c r="M85" s="50">
        <f t="shared" si="59"/>
        <v>823049.222193</v>
      </c>
      <c r="N85" s="50">
        <f t="shared" si="72"/>
        <v>6858743.518275</v>
      </c>
      <c r="O85" s="321">
        <f t="shared" si="60"/>
        <v>3429371.7591375</v>
      </c>
      <c r="P85" s="50">
        <f t="shared" si="61"/>
        <v>2331972.7962135</v>
      </c>
      <c r="Q85" s="50">
        <f t="shared" si="62"/>
        <v>3292196.888772</v>
      </c>
      <c r="R85" s="50">
        <f>+H85*1.044%</f>
        <v>286421.129323164</v>
      </c>
      <c r="S85" s="50">
        <f t="shared" si="63"/>
        <v>17731772.44292599</v>
      </c>
      <c r="T85" s="50">
        <f t="shared" si="64"/>
        <v>1097398.962924</v>
      </c>
      <c r="U85" s="50">
        <f t="shared" si="65"/>
        <v>3292196.888772</v>
      </c>
      <c r="V85" s="50">
        <f t="shared" si="66"/>
        <v>823049.222193</v>
      </c>
      <c r="W85" s="50">
        <f t="shared" si="67"/>
        <v>548699.481462</v>
      </c>
      <c r="X85" s="50">
        <f t="shared" si="68"/>
        <v>4115246.110965</v>
      </c>
      <c r="Y85" s="294">
        <f t="shared" si="69"/>
        <v>125414045.67984347</v>
      </c>
      <c r="Z85" s="50">
        <f t="shared" si="70"/>
        <v>10451170.473320289</v>
      </c>
      <c r="AA85" s="221"/>
      <c r="AB85" s="51"/>
      <c r="AC85" s="40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4.25">
      <c r="A86" s="47" t="s">
        <v>11</v>
      </c>
      <c r="B86" s="47" t="s">
        <v>186</v>
      </c>
      <c r="C86" s="48">
        <v>5</v>
      </c>
      <c r="D86" s="99">
        <v>41091</v>
      </c>
      <c r="E86" s="99">
        <v>41182</v>
      </c>
      <c r="F86" s="98">
        <f t="shared" si="57"/>
        <v>90</v>
      </c>
      <c r="G86" s="48"/>
      <c r="H86" s="50">
        <f>(1362206*(1+$C$8))*C86</f>
        <v>7065081.419000001</v>
      </c>
      <c r="I86" s="50"/>
      <c r="J86" s="50">
        <f>+I86+H86</f>
        <v>7065081.419000001</v>
      </c>
      <c r="K86" s="50">
        <f t="shared" si="58"/>
        <v>21195244.257000003</v>
      </c>
      <c r="L86" s="321">
        <f t="shared" si="71"/>
        <v>1766270.3547500002</v>
      </c>
      <c r="M86" s="50">
        <f t="shared" si="59"/>
        <v>211952.44257</v>
      </c>
      <c r="N86" s="50">
        <f t="shared" si="72"/>
        <v>1766270.3547500002</v>
      </c>
      <c r="O86" s="321">
        <f t="shared" si="60"/>
        <v>883135.1773750001</v>
      </c>
      <c r="P86" s="50">
        <f t="shared" si="61"/>
        <v>600531.9206150001</v>
      </c>
      <c r="Q86" s="50">
        <f t="shared" si="62"/>
        <v>847809.77028</v>
      </c>
      <c r="R86" s="50">
        <f>+H86*1.044%</f>
        <v>73759.45001436</v>
      </c>
      <c r="S86" s="50">
        <f t="shared" si="63"/>
        <v>4566303.42272808</v>
      </c>
      <c r="T86" s="50">
        <f t="shared" si="64"/>
        <v>282603.25676</v>
      </c>
      <c r="U86" s="50">
        <f t="shared" si="65"/>
        <v>847809.77028</v>
      </c>
      <c r="V86" s="50">
        <f t="shared" si="66"/>
        <v>211952.44257</v>
      </c>
      <c r="W86" s="50">
        <f t="shared" si="67"/>
        <v>141301.62838</v>
      </c>
      <c r="X86" s="50">
        <f t="shared" si="68"/>
        <v>1059762.21285</v>
      </c>
      <c r="Y86" s="294">
        <f t="shared" si="69"/>
        <v>32296747.992303085</v>
      </c>
      <c r="Z86" s="50">
        <f t="shared" si="70"/>
        <v>2691395.666025257</v>
      </c>
      <c r="AA86" s="221"/>
      <c r="AB86" s="42"/>
      <c r="AC86" s="40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ht="14.25">
      <c r="A87" s="47" t="s">
        <v>45</v>
      </c>
      <c r="B87" s="47" t="s">
        <v>187</v>
      </c>
      <c r="C87" s="48">
        <v>1</v>
      </c>
      <c r="D87" s="99">
        <v>41091</v>
      </c>
      <c r="E87" s="99">
        <v>41182</v>
      </c>
      <c r="F87" s="98">
        <f t="shared" si="57"/>
        <v>90</v>
      </c>
      <c r="G87" s="48"/>
      <c r="H87" s="50">
        <f>1123671*(1+$C$8)</f>
        <v>1165583.9283</v>
      </c>
      <c r="I87" s="50">
        <v>0</v>
      </c>
      <c r="J87" s="50">
        <f>+I87+H87</f>
        <v>1165583.9283</v>
      </c>
      <c r="K87" s="50">
        <f t="shared" si="58"/>
        <v>3496751.7849000003</v>
      </c>
      <c r="L87" s="321">
        <f t="shared" si="71"/>
        <v>291395.982075</v>
      </c>
      <c r="M87" s="50">
        <f t="shared" si="59"/>
        <v>34967.517848999996</v>
      </c>
      <c r="N87" s="50">
        <f t="shared" si="72"/>
        <v>291395.982075</v>
      </c>
      <c r="O87" s="321">
        <f t="shared" si="60"/>
        <v>145697.9910375</v>
      </c>
      <c r="P87" s="50">
        <f t="shared" si="61"/>
        <v>99074.63390550001</v>
      </c>
      <c r="Q87" s="50">
        <f t="shared" si="62"/>
        <v>139870.07139599998</v>
      </c>
      <c r="R87" s="50">
        <f>+H87*0.522%</f>
        <v>6084.348105726</v>
      </c>
      <c r="S87" s="50">
        <f t="shared" si="63"/>
        <v>735087.160221678</v>
      </c>
      <c r="T87" s="50">
        <f t="shared" si="64"/>
        <v>46623.357132000005</v>
      </c>
      <c r="U87" s="50">
        <f t="shared" si="65"/>
        <v>139870.071396</v>
      </c>
      <c r="V87" s="50">
        <f t="shared" si="66"/>
        <v>34967.517848999996</v>
      </c>
      <c r="W87" s="50">
        <f t="shared" si="67"/>
        <v>23311.678566000002</v>
      </c>
      <c r="X87" s="50">
        <f t="shared" si="68"/>
        <v>174837.58924499998</v>
      </c>
      <c r="Y87" s="294">
        <f t="shared" si="69"/>
        <v>5310004.078799179</v>
      </c>
      <c r="Z87" s="50">
        <f t="shared" si="70"/>
        <v>442500.33989993157</v>
      </c>
      <c r="AA87" s="221"/>
      <c r="AB87" s="42"/>
      <c r="AC87" s="53"/>
      <c r="AD87" s="130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ht="14.25">
      <c r="A88" s="154" t="s">
        <v>204</v>
      </c>
      <c r="B88" s="154" t="s">
        <v>178</v>
      </c>
      <c r="C88" s="217">
        <v>1</v>
      </c>
      <c r="D88" s="99">
        <v>41091</v>
      </c>
      <c r="E88" s="99">
        <v>41182</v>
      </c>
      <c r="F88" s="239">
        <f t="shared" si="57"/>
        <v>90</v>
      </c>
      <c r="G88" s="217"/>
      <c r="H88" s="50">
        <f>729641*(1+$C$8)</f>
        <v>756856.6093000001</v>
      </c>
      <c r="I88" s="50">
        <f>+E8</f>
        <v>67800</v>
      </c>
      <c r="J88" s="276">
        <f>+I88+H88</f>
        <v>824656.6093000001</v>
      </c>
      <c r="K88" s="276">
        <f t="shared" si="58"/>
        <v>2473969.8279000004</v>
      </c>
      <c r="L88" s="325">
        <f t="shared" si="71"/>
        <v>206164.15232500003</v>
      </c>
      <c r="M88" s="276">
        <f t="shared" si="59"/>
        <v>24739.698279000004</v>
      </c>
      <c r="N88" s="276">
        <f t="shared" si="72"/>
        <v>206164.15232500003</v>
      </c>
      <c r="O88" s="325">
        <f t="shared" si="60"/>
        <v>103082.07616250002</v>
      </c>
      <c r="P88" s="276">
        <f t="shared" si="61"/>
        <v>64332.81179050002</v>
      </c>
      <c r="Q88" s="276">
        <f t="shared" si="62"/>
        <v>90822.79311600002</v>
      </c>
      <c r="R88" s="276">
        <f>+H88*0.522%</f>
        <v>3950.7915005460004</v>
      </c>
      <c r="S88" s="276">
        <f t="shared" si="63"/>
        <v>477319.1892211381</v>
      </c>
      <c r="T88" s="276">
        <f t="shared" si="64"/>
        <v>30274.264372000005</v>
      </c>
      <c r="U88" s="276">
        <f t="shared" si="65"/>
        <v>90822.79311600002</v>
      </c>
      <c r="V88" s="276">
        <f t="shared" si="66"/>
        <v>22705.698279000004</v>
      </c>
      <c r="W88" s="276">
        <f t="shared" si="67"/>
        <v>15137.132186000003</v>
      </c>
      <c r="X88" s="276">
        <f t="shared" si="68"/>
        <v>113528.49139500002</v>
      </c>
      <c r="Y88" s="295">
        <f t="shared" si="69"/>
        <v>3695790.3807236385</v>
      </c>
      <c r="Z88" s="276">
        <f t="shared" si="70"/>
        <v>307982.5317269699</v>
      </c>
      <c r="AA88" s="221"/>
      <c r="AB88" s="42"/>
      <c r="AC88" s="40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4.25">
      <c r="A89" s="47" t="s">
        <v>12</v>
      </c>
      <c r="B89" s="47" t="s">
        <v>178</v>
      </c>
      <c r="C89" s="48">
        <v>1</v>
      </c>
      <c r="D89" s="99">
        <v>41091</v>
      </c>
      <c r="E89" s="99">
        <v>41182</v>
      </c>
      <c r="F89" s="98">
        <f>DAYS360(D89,E89,0)+1</f>
        <v>90</v>
      </c>
      <c r="G89" s="48"/>
      <c r="H89" s="50">
        <f>729641*(1+$C$8)</f>
        <v>756856.6093000001</v>
      </c>
      <c r="I89" s="50">
        <f>+E8</f>
        <v>67800</v>
      </c>
      <c r="J89" s="50">
        <f>+I89+H89</f>
        <v>824656.6093000001</v>
      </c>
      <c r="K89" s="50">
        <f>+J89/30*F89</f>
        <v>2473969.8279000004</v>
      </c>
      <c r="L89" s="321">
        <f t="shared" si="71"/>
        <v>206164.15232500003</v>
      </c>
      <c r="M89" s="50">
        <f>+L89*12%</f>
        <v>24739.698279000004</v>
      </c>
      <c r="N89" s="50">
        <f>+L89</f>
        <v>206164.15232500003</v>
      </c>
      <c r="O89" s="321">
        <f t="shared" si="60"/>
        <v>103082.07616250002</v>
      </c>
      <c r="P89" s="50">
        <f>+H89*0.085</f>
        <v>64332.81179050002</v>
      </c>
      <c r="Q89" s="50">
        <f>+H89*12%</f>
        <v>90822.79311600002</v>
      </c>
      <c r="R89" s="50">
        <f>+H89*0.522%</f>
        <v>3950.7915005460004</v>
      </c>
      <c r="S89" s="50">
        <f>+((P89+Q89+R89)/30*F89)</f>
        <v>477319.1892211381</v>
      </c>
      <c r="T89" s="50">
        <f>+H89*0.04</f>
        <v>30274.264372000005</v>
      </c>
      <c r="U89" s="50">
        <f>+(T89/30)*F89</f>
        <v>90822.79311600002</v>
      </c>
      <c r="V89" s="50">
        <f>+H89*0.03</f>
        <v>22705.698279000004</v>
      </c>
      <c r="W89" s="50">
        <f>+H89*0.02</f>
        <v>15137.132186000003</v>
      </c>
      <c r="X89" s="50">
        <f>+((V89+W89)/30*F89)</f>
        <v>113528.49139500002</v>
      </c>
      <c r="Y89" s="294">
        <f>K89+L89+M89+N89+O89+S89+U89+X89</f>
        <v>3695790.3807236385</v>
      </c>
      <c r="Z89" s="50">
        <f>+Y89/12</f>
        <v>307982.5317269699</v>
      </c>
      <c r="AA89" s="221"/>
      <c r="AB89" s="169"/>
      <c r="AC89" s="40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ht="14.25">
      <c r="A90" s="134" t="s">
        <v>233</v>
      </c>
      <c r="B90" s="134" t="s">
        <v>234</v>
      </c>
      <c r="C90" s="48">
        <v>1</v>
      </c>
      <c r="D90" s="99">
        <v>41091</v>
      </c>
      <c r="E90" s="99">
        <v>41182</v>
      </c>
      <c r="F90" s="98">
        <f>DAYS360(D90,E90,0)+1</f>
        <v>90</v>
      </c>
      <c r="G90" s="48"/>
      <c r="H90" s="50">
        <f>566807*(1+$C$8)</f>
        <v>587948.9011</v>
      </c>
      <c r="I90" s="50">
        <f>+E8</f>
        <v>67800</v>
      </c>
      <c r="J90" s="50">
        <f>+I90+H90</f>
        <v>655748.9011</v>
      </c>
      <c r="K90" s="50">
        <f>+J90/30*F90</f>
        <v>1967246.7033</v>
      </c>
      <c r="L90" s="321">
        <f t="shared" si="71"/>
        <v>163937.225275</v>
      </c>
      <c r="M90" s="50">
        <f t="shared" si="59"/>
        <v>19672.467033</v>
      </c>
      <c r="N90" s="50">
        <f t="shared" si="72"/>
        <v>163937.225275</v>
      </c>
      <c r="O90" s="321">
        <f t="shared" si="60"/>
        <v>81968.6126375</v>
      </c>
      <c r="P90" s="50">
        <f>+H90*0.085</f>
        <v>49975.6565935</v>
      </c>
      <c r="Q90" s="50">
        <f>+H90*12%</f>
        <v>70553.868132</v>
      </c>
      <c r="R90" s="50">
        <f>+H90*1.044%</f>
        <v>6138.186527484</v>
      </c>
      <c r="S90" s="50">
        <f>+((P90+Q90+R90)/30*F90)</f>
        <v>380003.13375895197</v>
      </c>
      <c r="T90" s="50">
        <f>+H90*0.04</f>
        <v>23517.956044000002</v>
      </c>
      <c r="U90" s="50">
        <f>+(T90/30)*F90</f>
        <v>70553.868132</v>
      </c>
      <c r="V90" s="50">
        <f>+H90*0.03</f>
        <v>17638.467033</v>
      </c>
      <c r="W90" s="50">
        <f>+H90*0.02</f>
        <v>11758.978022000001</v>
      </c>
      <c r="X90" s="50">
        <f>+((V90+W90)/30*F90)</f>
        <v>88192.33516500001</v>
      </c>
      <c r="Y90" s="294">
        <f>K90+L90+M90+N90+O90+S90+U90+X90</f>
        <v>2935511.5705764517</v>
      </c>
      <c r="Z90" s="50">
        <f t="shared" si="70"/>
        <v>244625.96421470432</v>
      </c>
      <c r="AA90" s="221"/>
      <c r="AB90" s="169"/>
      <c r="AC90" s="40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29" ht="14.25">
      <c r="A91" s="152"/>
      <c r="B91" s="151"/>
      <c r="C91" s="156"/>
      <c r="D91" s="157"/>
      <c r="E91" s="157"/>
      <c r="F91" s="158"/>
      <c r="G91" s="156"/>
      <c r="H91" s="157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61"/>
      <c r="Z91" s="150"/>
      <c r="AA91" s="224"/>
      <c r="AB91" s="42"/>
      <c r="AC91" s="38"/>
    </row>
    <row r="92" spans="1:29" ht="13.5" thickBot="1">
      <c r="A92" s="38"/>
      <c r="B92" s="38"/>
      <c r="C92" s="40"/>
      <c r="D92" s="40"/>
      <c r="E92" s="40"/>
      <c r="F92" s="40"/>
      <c r="G92" s="42"/>
      <c r="H92" s="42"/>
      <c r="I92" s="144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60"/>
      <c r="Z92" s="61"/>
      <c r="AA92" s="224"/>
      <c r="AB92" s="75"/>
      <c r="AC92" s="38"/>
    </row>
    <row r="93" spans="1:29" ht="13.5" thickBot="1">
      <c r="A93" s="146" t="s">
        <v>172</v>
      </c>
      <c r="B93" s="147"/>
      <c r="C93" s="148">
        <f>+C81+C64+C55+C27+C12+C74</f>
        <v>79</v>
      </c>
      <c r="D93" s="148"/>
      <c r="E93" s="148"/>
      <c r="F93" s="148"/>
      <c r="G93" s="148"/>
      <c r="H93" s="145">
        <f>+H81+H64+H55+H27+H12+H74</f>
        <v>146120930.44340006</v>
      </c>
      <c r="I93" s="145">
        <f>+I81+I64+I55+I27+I12+I74</f>
        <v>745800</v>
      </c>
      <c r="J93" s="145">
        <f>+J81+J64+J55+J27+J12+J74</f>
        <v>157917380.44340006</v>
      </c>
      <c r="K93" s="145">
        <f>+K81+K64+K55+K27+K12+K74</f>
        <v>473752141.3302</v>
      </c>
      <c r="L93" s="145">
        <f>+L81+L64+L55+L27+L12+L74</f>
        <v>29845445.110850006</v>
      </c>
      <c r="M93" s="145">
        <f aca="true" t="shared" si="73" ref="M93:X93">+M81+M64+M55+M27+M12+M74</f>
        <v>3581453.413302</v>
      </c>
      <c r="N93" s="145">
        <f t="shared" si="73"/>
        <v>29845445.110850006</v>
      </c>
      <c r="O93" s="145">
        <f t="shared" si="73"/>
        <v>19527160.055425007</v>
      </c>
      <c r="P93" s="145">
        <f t="shared" si="73"/>
        <v>12346608.087689001</v>
      </c>
      <c r="Q93" s="145">
        <f t="shared" si="73"/>
        <v>17330499.653208002</v>
      </c>
      <c r="R93" s="145">
        <f t="shared" si="73"/>
        <v>1063943.1878313061</v>
      </c>
      <c r="S93" s="145">
        <f t="shared" si="73"/>
        <v>92887313.8521849</v>
      </c>
      <c r="T93" s="145">
        <f t="shared" si="73"/>
        <v>5776833.217736001</v>
      </c>
      <c r="U93" s="145">
        <f t="shared" si="73"/>
        <v>17330499.653208002</v>
      </c>
      <c r="V93" s="145">
        <f t="shared" si="73"/>
        <v>4332624.913302001</v>
      </c>
      <c r="W93" s="145">
        <f t="shared" si="73"/>
        <v>2888416.6088680006</v>
      </c>
      <c r="X93" s="145">
        <f t="shared" si="73"/>
        <v>21663124.566510007</v>
      </c>
      <c r="Y93" s="145">
        <f>+Y81+Y64+Y55+Y27+Y12+Y74</f>
        <v>688432583.09253</v>
      </c>
      <c r="Z93" s="62"/>
      <c r="AA93" s="224"/>
      <c r="AB93" s="75"/>
      <c r="AC93" s="38"/>
    </row>
    <row r="94" spans="1:29" ht="13.5" thickBot="1">
      <c r="A94" s="38"/>
      <c r="B94" s="38"/>
      <c r="C94" s="38"/>
      <c r="D94" s="38"/>
      <c r="E94" s="38"/>
      <c r="F94" s="38"/>
      <c r="G94" s="38"/>
      <c r="H94" s="13"/>
      <c r="I94" s="80"/>
      <c r="J94" s="13"/>
      <c r="K94" s="13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38"/>
      <c r="AA94" s="224"/>
      <c r="AB94" s="75"/>
      <c r="AC94" s="38"/>
    </row>
    <row r="95" spans="1:29" ht="13.5" thickBot="1">
      <c r="A95" s="111" t="s">
        <v>92</v>
      </c>
      <c r="B95" s="131"/>
      <c r="C95" s="466">
        <f>+Y12+Y27+Y55+Y64+Y81+Y74</f>
        <v>688432583.09253</v>
      </c>
      <c r="D95" s="466"/>
      <c r="E95" s="466"/>
      <c r="F95" s="466"/>
      <c r="G95" s="466"/>
      <c r="H95" s="467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64"/>
      <c r="Y95" s="64"/>
      <c r="Z95" s="38"/>
      <c r="AA95" s="224"/>
      <c r="AB95" s="75"/>
      <c r="AC95" s="38"/>
    </row>
    <row r="96" spans="1:29" ht="12.75">
      <c r="A96" s="38"/>
      <c r="B96" s="38"/>
      <c r="C96" s="65"/>
      <c r="D96" s="65"/>
      <c r="E96" s="65"/>
      <c r="F96" s="65"/>
      <c r="G96" s="116"/>
      <c r="H96" s="62"/>
      <c r="I96" s="42"/>
      <c r="J96" s="38"/>
      <c r="K96" s="38"/>
      <c r="L96" s="42"/>
      <c r="M96" s="42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24"/>
      <c r="AB96" s="75"/>
      <c r="AC96" s="38"/>
    </row>
    <row r="97" spans="1:29" ht="12.75">
      <c r="A97" s="38"/>
      <c r="B97" s="38"/>
      <c r="C97" s="65"/>
      <c r="D97" s="65"/>
      <c r="E97" s="65"/>
      <c r="F97" s="65"/>
      <c r="G97" s="65"/>
      <c r="I97" s="113"/>
      <c r="J97" s="38"/>
      <c r="K97" s="38"/>
      <c r="L97" s="42"/>
      <c r="M97" s="42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24"/>
      <c r="AB97" s="75"/>
      <c r="AC97" s="38"/>
    </row>
    <row r="98" spans="1:29" ht="12.75">
      <c r="A98" s="38"/>
      <c r="B98" s="38"/>
      <c r="C98" s="65"/>
      <c r="D98" s="65"/>
      <c r="E98" s="65"/>
      <c r="F98" s="65"/>
      <c r="G98" s="65"/>
      <c r="H98" s="112"/>
      <c r="I98" s="38"/>
      <c r="J98" s="38"/>
      <c r="K98" s="38"/>
      <c r="L98" s="42"/>
      <c r="M98" s="42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24"/>
      <c r="AB98" s="75"/>
      <c r="AC98" s="38"/>
    </row>
    <row r="99" spans="1:29" ht="12.75">
      <c r="A99" s="38"/>
      <c r="B99" s="65"/>
      <c r="C99" s="65"/>
      <c r="D99" s="65"/>
      <c r="E99" s="65"/>
      <c r="F99" s="65"/>
      <c r="G99" s="65"/>
      <c r="I99" s="38"/>
      <c r="J99" s="38"/>
      <c r="K99" s="38"/>
      <c r="L99" s="42"/>
      <c r="M99" s="42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24"/>
      <c r="AB99" s="75"/>
      <c r="AC99" s="38"/>
    </row>
    <row r="100" spans="1:29" ht="12.75">
      <c r="A100" s="38"/>
      <c r="B100" s="65"/>
      <c r="C100" s="65"/>
      <c r="D100" s="65"/>
      <c r="E100" s="65"/>
      <c r="F100" s="65"/>
      <c r="G100" s="65"/>
      <c r="H100" s="38"/>
      <c r="I100" s="38"/>
      <c r="J100" s="38"/>
      <c r="K100" s="38"/>
      <c r="L100" s="42"/>
      <c r="M100" s="42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224"/>
      <c r="AB100" s="75"/>
      <c r="AC100" s="38"/>
    </row>
    <row r="101" spans="1:29" ht="13.5" thickBot="1">
      <c r="A101" s="38"/>
      <c r="B101" s="65"/>
      <c r="C101" s="65"/>
      <c r="D101" s="65"/>
      <c r="E101" s="65"/>
      <c r="F101" s="65"/>
      <c r="G101" s="65"/>
      <c r="H101" s="66"/>
      <c r="I101" s="66"/>
      <c r="J101" s="66"/>
      <c r="K101" s="66"/>
      <c r="L101" s="42"/>
      <c r="M101" s="42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224"/>
      <c r="AB101" s="75"/>
      <c r="AC101" s="38"/>
    </row>
    <row r="102" spans="1:29" ht="31.5" customHeight="1" thickBot="1">
      <c r="A102" s="108" t="s">
        <v>173</v>
      </c>
      <c r="B102" s="65"/>
      <c r="C102" s="65"/>
      <c r="D102" s="65"/>
      <c r="E102" s="65"/>
      <c r="F102" s="65"/>
      <c r="G102" s="65"/>
      <c r="H102" s="94" t="s">
        <v>113</v>
      </c>
      <c r="I102" s="67"/>
      <c r="J102" s="94" t="s">
        <v>19</v>
      </c>
      <c r="K102" s="68"/>
      <c r="L102" s="94" t="s">
        <v>20</v>
      </c>
      <c r="M102" s="68"/>
      <c r="N102" s="95" t="s">
        <v>21</v>
      </c>
      <c r="O102" s="40"/>
      <c r="P102" s="94" t="s">
        <v>287</v>
      </c>
      <c r="Q102" s="40"/>
      <c r="R102" s="94" t="s">
        <v>117</v>
      </c>
      <c r="S102" s="40"/>
      <c r="T102" s="38"/>
      <c r="U102" s="38"/>
      <c r="V102" s="38"/>
      <c r="W102" s="38"/>
      <c r="X102" s="38"/>
      <c r="Y102" s="38"/>
      <c r="Z102" s="38"/>
      <c r="AA102" s="224"/>
      <c r="AB102" s="75"/>
      <c r="AC102" s="38"/>
    </row>
    <row r="103" spans="1:29" ht="12.75">
      <c r="A103" s="38"/>
      <c r="B103" s="65"/>
      <c r="C103" s="65"/>
      <c r="D103" s="65"/>
      <c r="E103" s="65"/>
      <c r="F103" s="65"/>
      <c r="G103" s="65"/>
      <c r="H103" s="69"/>
      <c r="I103" s="69"/>
      <c r="J103" s="69"/>
      <c r="K103" s="69"/>
      <c r="L103" s="69"/>
      <c r="M103" s="69"/>
      <c r="N103" s="69"/>
      <c r="O103" s="38"/>
      <c r="P103" s="69"/>
      <c r="Q103" s="38"/>
      <c r="R103" s="69"/>
      <c r="S103" s="38"/>
      <c r="T103" s="38"/>
      <c r="U103" s="38"/>
      <c r="V103" s="38"/>
      <c r="W103" s="38"/>
      <c r="X103" s="38"/>
      <c r="Y103" s="38"/>
      <c r="Z103" s="38"/>
      <c r="AA103" s="224"/>
      <c r="AB103" s="75"/>
      <c r="AC103" s="38"/>
    </row>
    <row r="104" spans="1:29" ht="13.5" thickBot="1">
      <c r="A104" s="38"/>
      <c r="B104" s="65"/>
      <c r="C104" s="65"/>
      <c r="D104" s="65"/>
      <c r="E104" s="65"/>
      <c r="F104" s="65"/>
      <c r="G104" s="65"/>
      <c r="H104" s="70" t="s">
        <v>93</v>
      </c>
      <c r="I104" s="330"/>
      <c r="J104" s="331" t="s">
        <v>93</v>
      </c>
      <c r="K104" s="330"/>
      <c r="L104" s="332" t="s">
        <v>93</v>
      </c>
      <c r="M104" s="330"/>
      <c r="N104" s="331" t="s">
        <v>93</v>
      </c>
      <c r="O104" s="330"/>
      <c r="P104" s="331" t="s">
        <v>93</v>
      </c>
      <c r="Q104" s="330"/>
      <c r="R104" s="331" t="s">
        <v>93</v>
      </c>
      <c r="S104" s="330"/>
      <c r="T104" s="97"/>
      <c r="U104" s="38"/>
      <c r="V104" s="38"/>
      <c r="W104" s="38"/>
      <c r="X104" s="38"/>
      <c r="Y104" s="38"/>
      <c r="Z104" s="38"/>
      <c r="AA104" s="224"/>
      <c r="AB104" s="75"/>
      <c r="AC104" s="38"/>
    </row>
    <row r="105" spans="1:29" ht="13.5" thickBot="1">
      <c r="A105" s="38"/>
      <c r="B105" s="65"/>
      <c r="C105" s="65"/>
      <c r="D105" s="65"/>
      <c r="E105" s="65"/>
      <c r="F105" s="65"/>
      <c r="G105" s="65"/>
      <c r="H105" s="71" t="s">
        <v>174</v>
      </c>
      <c r="I105" s="333"/>
      <c r="J105" s="334" t="s">
        <v>174</v>
      </c>
      <c r="K105" s="333"/>
      <c r="L105" s="334" t="s">
        <v>174</v>
      </c>
      <c r="M105" s="333"/>
      <c r="N105" s="334" t="s">
        <v>174</v>
      </c>
      <c r="O105" s="333"/>
      <c r="P105" s="334" t="s">
        <v>174</v>
      </c>
      <c r="Q105" s="333"/>
      <c r="R105" s="334" t="s">
        <v>174</v>
      </c>
      <c r="S105" s="333"/>
      <c r="T105" s="119"/>
      <c r="U105" s="446" t="s">
        <v>121</v>
      </c>
      <c r="V105" s="465"/>
      <c r="W105" s="38"/>
      <c r="X105" s="38"/>
      <c r="Y105" s="38"/>
      <c r="Z105" s="38"/>
      <c r="AA105" s="224"/>
      <c r="AB105" s="75"/>
      <c r="AC105" s="38"/>
    </row>
    <row r="106" spans="1:29" ht="12.75">
      <c r="A106" s="38"/>
      <c r="B106" s="65"/>
      <c r="C106" s="65"/>
      <c r="D106" s="65"/>
      <c r="E106" s="65"/>
      <c r="F106" s="65"/>
      <c r="G106" s="65"/>
      <c r="H106" s="72" t="s">
        <v>94</v>
      </c>
      <c r="I106" s="335"/>
      <c r="J106" s="335" t="s">
        <v>94</v>
      </c>
      <c r="K106" s="335"/>
      <c r="L106" s="335" t="s">
        <v>94</v>
      </c>
      <c r="M106" s="335"/>
      <c r="N106" s="335" t="s">
        <v>94</v>
      </c>
      <c r="O106" s="335"/>
      <c r="P106" s="335" t="s">
        <v>94</v>
      </c>
      <c r="Q106" s="336"/>
      <c r="R106" s="335" t="s">
        <v>94</v>
      </c>
      <c r="S106" s="335"/>
      <c r="T106" s="38"/>
      <c r="U106" s="459">
        <f>+I107+K107+M107+O107+Q107+S107</f>
        <v>0</v>
      </c>
      <c r="V106" s="460"/>
      <c r="W106" s="38"/>
      <c r="X106" s="38"/>
      <c r="Y106" s="38"/>
      <c r="Z106" s="38"/>
      <c r="AA106" s="224"/>
      <c r="AB106" s="75"/>
      <c r="AC106" s="38"/>
    </row>
    <row r="107" spans="1:29" ht="13.5" thickBot="1">
      <c r="A107" s="73"/>
      <c r="B107" s="65"/>
      <c r="C107" s="74"/>
      <c r="D107" s="74"/>
      <c r="E107" s="74"/>
      <c r="F107" s="74"/>
      <c r="G107" s="74"/>
      <c r="H107" s="63" t="s">
        <v>42</v>
      </c>
      <c r="I107" s="337"/>
      <c r="J107" s="338" t="s">
        <v>42</v>
      </c>
      <c r="K107" s="337"/>
      <c r="L107" s="338" t="s">
        <v>42</v>
      </c>
      <c r="M107" s="337"/>
      <c r="N107" s="338" t="s">
        <v>42</v>
      </c>
      <c r="O107" s="337"/>
      <c r="P107" s="338" t="s">
        <v>42</v>
      </c>
      <c r="Q107" s="339"/>
      <c r="R107" s="338" t="s">
        <v>42</v>
      </c>
      <c r="S107" s="337"/>
      <c r="T107" s="119"/>
      <c r="U107" s="461"/>
      <c r="V107" s="462"/>
      <c r="W107" s="38"/>
      <c r="X107" s="38"/>
      <c r="Y107" s="38"/>
      <c r="Z107" s="38"/>
      <c r="AA107" s="224"/>
      <c r="AB107" s="75"/>
      <c r="AC107" s="38"/>
    </row>
    <row r="108" spans="1:29" ht="12.75">
      <c r="A108" s="73"/>
      <c r="B108" s="65"/>
      <c r="C108" s="74"/>
      <c r="D108" s="74"/>
      <c r="E108" s="74"/>
      <c r="F108" s="74"/>
      <c r="G108" s="7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225"/>
      <c r="AB108" s="38"/>
      <c r="AC108" s="38"/>
    </row>
    <row r="109" spans="1:29" ht="12.75">
      <c r="A109" s="73"/>
      <c r="B109" s="65"/>
      <c r="C109" s="74"/>
      <c r="D109" s="74"/>
      <c r="E109" s="74"/>
      <c r="F109" s="74"/>
      <c r="G109" s="74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225"/>
      <c r="AB109" s="38"/>
      <c r="AC109" s="38"/>
    </row>
    <row r="110" spans="1:29" ht="12.75">
      <c r="A110" s="73"/>
      <c r="B110" s="65"/>
      <c r="C110" s="74"/>
      <c r="D110" s="74"/>
      <c r="E110" s="74"/>
      <c r="F110" s="74"/>
      <c r="G110" s="74"/>
      <c r="H110" s="38"/>
      <c r="I110" s="75"/>
      <c r="J110" s="75"/>
      <c r="K110" s="76"/>
      <c r="L110" s="76"/>
      <c r="M110" s="76"/>
      <c r="N110" s="76"/>
      <c r="O110" s="76"/>
      <c r="P110" s="76"/>
      <c r="Q110" s="76"/>
      <c r="R110" s="75"/>
      <c r="S110" s="75"/>
      <c r="T110" s="75"/>
      <c r="U110" s="75"/>
      <c r="V110" s="75"/>
      <c r="W110" s="75"/>
      <c r="X110" s="75"/>
      <c r="Y110" s="75"/>
      <c r="Z110" s="38"/>
      <c r="AA110" s="225"/>
      <c r="AB110" s="38"/>
      <c r="AC110" s="38"/>
    </row>
    <row r="111" spans="1:29" ht="12.75">
      <c r="A111" s="73"/>
      <c r="B111" s="65"/>
      <c r="C111" s="74"/>
      <c r="D111" s="74"/>
      <c r="E111" s="74"/>
      <c r="F111" s="74"/>
      <c r="G111" s="74"/>
      <c r="H111" s="38"/>
      <c r="I111" s="75"/>
      <c r="J111" s="75"/>
      <c r="K111" s="77"/>
      <c r="L111" s="78"/>
      <c r="M111" s="78"/>
      <c r="N111" s="78"/>
      <c r="O111" s="79"/>
      <c r="P111" s="77"/>
      <c r="Q111" s="78"/>
      <c r="R111" s="79"/>
      <c r="S111" s="77"/>
      <c r="T111" s="75"/>
      <c r="U111" s="75"/>
      <c r="V111" s="75"/>
      <c r="W111" s="75"/>
      <c r="X111" s="75"/>
      <c r="Y111" s="75"/>
      <c r="Z111" s="38"/>
      <c r="AA111" s="225"/>
      <c r="AB111" s="38"/>
      <c r="AC111" s="38"/>
    </row>
    <row r="112" spans="1:29" ht="12.75">
      <c r="A112" s="73"/>
      <c r="B112" s="65"/>
      <c r="C112" s="74"/>
      <c r="D112" s="74"/>
      <c r="E112" s="74"/>
      <c r="F112" s="74"/>
      <c r="G112" s="74"/>
      <c r="H112" s="38"/>
      <c r="I112" s="75"/>
      <c r="J112" s="75"/>
      <c r="K112" s="77"/>
      <c r="L112" s="78"/>
      <c r="M112" s="75"/>
      <c r="N112" s="78"/>
      <c r="O112" s="79"/>
      <c r="P112" s="77"/>
      <c r="Q112" s="78"/>
      <c r="R112" s="79"/>
      <c r="S112" s="75"/>
      <c r="T112" s="75"/>
      <c r="U112" s="75"/>
      <c r="V112" s="75"/>
      <c r="W112" s="75"/>
      <c r="X112" s="75"/>
      <c r="Y112" s="75"/>
      <c r="Z112" s="38"/>
      <c r="AA112" s="225"/>
      <c r="AB112" s="38"/>
      <c r="AC112" s="38"/>
    </row>
    <row r="113" spans="1:29" ht="12.75">
      <c r="A113" s="73"/>
      <c r="B113" s="65"/>
      <c r="C113" s="74"/>
      <c r="D113" s="74"/>
      <c r="E113" s="74"/>
      <c r="F113" s="74"/>
      <c r="G113" s="74"/>
      <c r="H113" s="38"/>
      <c r="I113" s="75"/>
      <c r="J113" s="78"/>
      <c r="K113" s="75"/>
      <c r="L113" s="75"/>
      <c r="M113" s="75"/>
      <c r="N113" s="75"/>
      <c r="O113" s="75"/>
      <c r="P113" s="78"/>
      <c r="Q113" s="75"/>
      <c r="R113" s="75"/>
      <c r="S113" s="75"/>
      <c r="T113" s="75"/>
      <c r="U113" s="75"/>
      <c r="V113" s="75"/>
      <c r="W113" s="75"/>
      <c r="X113" s="75"/>
      <c r="Y113" s="75"/>
      <c r="Z113" s="38"/>
      <c r="AA113" s="225"/>
      <c r="AB113" s="38"/>
      <c r="AC113" s="38"/>
    </row>
    <row r="114" spans="1:29" ht="12.75">
      <c r="A114" s="73"/>
      <c r="B114" s="65"/>
      <c r="C114" s="74"/>
      <c r="D114" s="74"/>
      <c r="E114" s="74"/>
      <c r="F114" s="74"/>
      <c r="G114" s="74"/>
      <c r="H114" s="38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38"/>
      <c r="AA114" s="225"/>
      <c r="AB114" s="38"/>
      <c r="AC114" s="38"/>
    </row>
    <row r="115" spans="1:29" ht="12.75">
      <c r="A115" s="96" t="s">
        <v>44</v>
      </c>
      <c r="B115" s="65"/>
      <c r="C115" s="74"/>
      <c r="D115" s="74"/>
      <c r="E115" s="74"/>
      <c r="F115" s="74"/>
      <c r="G115" s="74"/>
      <c r="H115" s="72" t="s">
        <v>96</v>
      </c>
      <c r="I115" s="277">
        <f>(5800000+(5800000*$C$8))*3</f>
        <v>18049020</v>
      </c>
      <c r="J115" s="78"/>
      <c r="K115" s="78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38"/>
      <c r="AA115" s="225"/>
      <c r="AB115" s="38"/>
      <c r="AC115" s="38"/>
    </row>
    <row r="116" spans="1:29" ht="12.75">
      <c r="A116" s="259"/>
      <c r="B116" s="65"/>
      <c r="C116" s="74"/>
      <c r="D116" s="74"/>
      <c r="E116" s="74"/>
      <c r="F116" s="74"/>
      <c r="G116" s="74"/>
      <c r="H116" s="278" t="s">
        <v>293</v>
      </c>
      <c r="I116" s="277">
        <v>4000000</v>
      </c>
      <c r="J116" s="78"/>
      <c r="K116" s="78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38"/>
      <c r="AA116" s="225"/>
      <c r="AB116" s="38"/>
      <c r="AC116" s="38"/>
    </row>
    <row r="117" spans="1:29" ht="12.75">
      <c r="A117" s="259"/>
      <c r="B117" s="65"/>
      <c r="C117" s="74"/>
      <c r="D117" s="74"/>
      <c r="E117" s="74"/>
      <c r="F117" s="74"/>
      <c r="G117" s="74"/>
      <c r="H117" s="278" t="s">
        <v>339</v>
      </c>
      <c r="I117" s="277">
        <v>4000000</v>
      </c>
      <c r="J117" s="78"/>
      <c r="K117" s="78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38"/>
      <c r="AA117" s="225"/>
      <c r="AB117" s="38"/>
      <c r="AC117" s="38"/>
    </row>
    <row r="118" spans="1:29" ht="12.75">
      <c r="A118" s="38"/>
      <c r="B118" s="65"/>
      <c r="C118" s="65"/>
      <c r="D118" s="65"/>
      <c r="E118" s="65"/>
      <c r="F118" s="65"/>
      <c r="G118" s="65"/>
      <c r="H118" s="72" t="s">
        <v>157</v>
      </c>
      <c r="I118" s="277">
        <v>250000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225"/>
      <c r="AB118" s="38"/>
      <c r="AC118" s="38"/>
    </row>
    <row r="119" spans="1:29" ht="12.75">
      <c r="A119" s="38"/>
      <c r="B119" s="65"/>
      <c r="C119" s="65"/>
      <c r="D119" s="65"/>
      <c r="E119" s="65"/>
      <c r="F119" s="65"/>
      <c r="G119" s="65"/>
      <c r="H119" s="63" t="s">
        <v>42</v>
      </c>
      <c r="I119" s="282">
        <f>SUM(I115:I118)</f>
        <v>26299020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225"/>
      <c r="AB119" s="38"/>
      <c r="AC119" s="38"/>
    </row>
    <row r="120" spans="1:29" ht="12.75">
      <c r="A120" s="38"/>
      <c r="B120" s="65"/>
      <c r="C120" s="65"/>
      <c r="D120" s="65"/>
      <c r="E120" s="65"/>
      <c r="F120" s="65"/>
      <c r="G120" s="65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225"/>
      <c r="AB120" s="38"/>
      <c r="AC120" s="38"/>
    </row>
    <row r="121" spans="1:29" ht="12.75">
      <c r="A121" s="115"/>
      <c r="B121" s="65"/>
      <c r="C121" s="109"/>
      <c r="D121" s="109"/>
      <c r="E121" s="109"/>
      <c r="F121" s="109"/>
      <c r="G121" s="109"/>
      <c r="H121" s="75"/>
      <c r="I121" s="78"/>
      <c r="J121" s="75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225"/>
      <c r="AB121" s="38"/>
      <c r="AC121" s="38"/>
    </row>
    <row r="122" spans="1:29" ht="12.75">
      <c r="A122" s="75"/>
      <c r="B122" s="65"/>
      <c r="C122" s="109"/>
      <c r="D122" s="109"/>
      <c r="E122" s="109"/>
      <c r="F122" s="109"/>
      <c r="G122" s="109"/>
      <c r="H122" s="75"/>
      <c r="I122" s="78"/>
      <c r="J122" s="75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225"/>
      <c r="AB122" s="38"/>
      <c r="AC122" s="38"/>
    </row>
    <row r="123" spans="1:29" ht="12.75">
      <c r="A123" s="75"/>
      <c r="B123" s="65"/>
      <c r="C123" s="109"/>
      <c r="D123" s="109"/>
      <c r="E123" s="109"/>
      <c r="F123" s="109"/>
      <c r="G123" s="109"/>
      <c r="H123" s="12"/>
      <c r="I123" s="110"/>
      <c r="J123" s="75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225"/>
      <c r="AB123" s="38"/>
      <c r="AC123" s="38"/>
    </row>
    <row r="124" spans="1:29" ht="12.75">
      <c r="A124" s="38"/>
      <c r="B124" s="65"/>
      <c r="C124" s="65"/>
      <c r="D124" s="65"/>
      <c r="E124" s="65"/>
      <c r="F124" s="65"/>
      <c r="G124" s="65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225"/>
      <c r="AB124" s="38"/>
      <c r="AC124" s="38"/>
    </row>
    <row r="125" spans="1:29" ht="12.75">
      <c r="A125" s="38"/>
      <c r="B125" s="38"/>
      <c r="C125" s="65"/>
      <c r="D125" s="65"/>
      <c r="E125" s="65"/>
      <c r="F125" s="65"/>
      <c r="G125" s="65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225"/>
      <c r="AB125" s="38"/>
      <c r="AC125" s="38"/>
    </row>
    <row r="126" spans="1:29" ht="12.75">
      <c r="A126" s="38"/>
      <c r="B126" s="38"/>
      <c r="C126" s="65"/>
      <c r="D126" s="65"/>
      <c r="E126" s="65"/>
      <c r="F126" s="65"/>
      <c r="G126" s="65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1:29" ht="12.75">
      <c r="A127" s="38"/>
      <c r="B127" s="38"/>
      <c r="C127" s="65"/>
      <c r="D127" s="65"/>
      <c r="E127" s="65"/>
      <c r="F127" s="65"/>
      <c r="G127" s="65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1:29" ht="12.75">
      <c r="A128" s="38"/>
      <c r="B128" s="38"/>
      <c r="C128" s="65"/>
      <c r="D128" s="65"/>
      <c r="E128" s="65"/>
      <c r="F128" s="65"/>
      <c r="G128" s="65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</row>
    <row r="129" spans="1:29" ht="12.75">
      <c r="A129" s="38"/>
      <c r="B129" s="38"/>
      <c r="C129" s="65"/>
      <c r="D129" s="65"/>
      <c r="E129" s="65"/>
      <c r="F129" s="65"/>
      <c r="G129" s="65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</row>
    <row r="130" spans="1:29" ht="12.75">
      <c r="A130" s="38"/>
      <c r="B130" s="38"/>
      <c r="C130" s="65"/>
      <c r="D130" s="65"/>
      <c r="E130" s="65"/>
      <c r="F130" s="65"/>
      <c r="G130" s="65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</row>
    <row r="131" spans="1:29" ht="12.75">
      <c r="A131" s="38"/>
      <c r="B131" s="38"/>
      <c r="C131" s="65"/>
      <c r="D131" s="65"/>
      <c r="E131" s="65"/>
      <c r="F131" s="65"/>
      <c r="G131" s="65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</row>
    <row r="132" spans="1:29" ht="12.75">
      <c r="A132" s="38"/>
      <c r="B132" s="38"/>
      <c r="C132" s="65"/>
      <c r="D132" s="65"/>
      <c r="E132" s="65"/>
      <c r="F132" s="65"/>
      <c r="G132" s="65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</row>
    <row r="133" spans="1:25" ht="12.75">
      <c r="A133" s="18"/>
      <c r="B133" s="18"/>
      <c r="C133" s="19"/>
      <c r="D133" s="19"/>
      <c r="E133" s="19"/>
      <c r="F133" s="19"/>
      <c r="G133" s="19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2.75">
      <c r="A134" s="18"/>
      <c r="B134" s="18"/>
      <c r="C134" s="19"/>
      <c r="D134" s="19"/>
      <c r="E134" s="19"/>
      <c r="F134" s="19"/>
      <c r="G134" s="19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2.75">
      <c r="A135" s="18"/>
      <c r="B135" s="18"/>
      <c r="C135" s="19"/>
      <c r="D135" s="19"/>
      <c r="E135" s="19"/>
      <c r="F135" s="19"/>
      <c r="G135" s="19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</sheetData>
  <sheetProtection/>
  <mergeCells count="13">
    <mergeCell ref="P4:Z4"/>
    <mergeCell ref="P5:Z5"/>
    <mergeCell ref="P6:Z6"/>
    <mergeCell ref="C4:O4"/>
    <mergeCell ref="C5:O5"/>
    <mergeCell ref="C6:O6"/>
    <mergeCell ref="U106:V107"/>
    <mergeCell ref="X8:X9"/>
    <mergeCell ref="P8:R8"/>
    <mergeCell ref="C95:H95"/>
    <mergeCell ref="S8:S9"/>
    <mergeCell ref="U8:U9"/>
    <mergeCell ref="U105:V105"/>
  </mergeCells>
  <printOptions horizontalCentered="1" verticalCentered="1"/>
  <pageMargins left="0.2362204724409449" right="0.2755905511811024" top="0.15748031496062992" bottom="0.1968503937007874" header="0" footer="0"/>
  <pageSetup fitToHeight="2" fitToWidth="2" horizontalDpi="300" verticalDpi="300" orientation="landscape" scale="43" r:id="rId1"/>
  <rowBreaks count="1" manualBreakCount="1">
    <brk id="96" max="24" man="1"/>
  </rowBreaks>
  <colBreaks count="1" manualBreakCount="1">
    <brk id="15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 Nal. de la Porcicultura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davidgomez</dc:creator>
  <cp:keywords/>
  <dc:description/>
  <cp:lastModifiedBy>Sandra Gonzalez</cp:lastModifiedBy>
  <cp:lastPrinted>2013-04-26T17:02:32Z</cp:lastPrinted>
  <dcterms:created xsi:type="dcterms:W3CDTF">2004-09-15T00:05:45Z</dcterms:created>
  <dcterms:modified xsi:type="dcterms:W3CDTF">2019-11-18T21:37:41Z</dcterms:modified>
  <cp:category/>
  <cp:version/>
  <cp:contentType/>
  <cp:contentStatus/>
</cp:coreProperties>
</file>