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195" windowWidth="9585" windowHeight="8805" activeTab="0"/>
  </bookViews>
  <sheets>
    <sheet name="INGRESOS" sheetId="1" r:id="rId1"/>
    <sheet name="Otros ingresos" sheetId="2" state="hidden" r:id="rId2"/>
    <sheet name="Anexo 2 " sheetId="3" state="hidden" r:id="rId3"/>
    <sheet name="Funcionamiento" sheetId="4" state="hidden" r:id="rId4"/>
    <sheet name="Nómina y honorarios 2012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2">'Anexo 2 '!$A$1:$L$199</definedName>
    <definedName name="_xlnm.Print_Area" localSheetId="3">'Funcionamiento'!$A$1:$V$38</definedName>
    <definedName name="_xlnm.Print_Area" localSheetId="0">'INGRESOS'!$A$1:$F$39</definedName>
    <definedName name="_xlnm.Print_Area" localSheetId="4">'Nómina y honorarios 2012'!$A$1:$Z$122</definedName>
    <definedName name="_xlnm.Print_Area" localSheetId="1">'Otros ingresos'!$A$1:$E$30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_PROYEC">'INGRESOS'!#REF!</definedName>
    <definedName name="CUOTAPPC2005">'INGRESOS'!$B$15</definedName>
    <definedName name="DIAG_PPC">#REF!</definedName>
    <definedName name="DISTRIBUIDOR">#REF!</definedName>
    <definedName name="eeeee">#REF!</definedName>
    <definedName name="EPPC">'INGRESOS'!#REF!</definedName>
    <definedName name="FDGFDG">#REF!</definedName>
    <definedName name="FECHA_DE_RECIBIDO">'[6]BASE'!$E$3:$E$177</definedName>
    <definedName name="FOMENTO">'INGRESOS'!#REF!</definedName>
    <definedName name="FOMENTOS">'[2]Anexo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'[5]Inversión total en programas'!$B$86</definedName>
    <definedName name="RESERV_FUTU">#REF!</definedName>
    <definedName name="saldo">#REF!</definedName>
    <definedName name="saldos">#REF!</definedName>
    <definedName name="SUPERA2004">'INGRESOS'!#REF!</definedName>
    <definedName name="SUPERA2005">'INGRESOS'!#REF!</definedName>
    <definedName name="SUPERA2010">'[5]Anexo 1 Minagricultura'!$C$21</definedName>
    <definedName name="SUPERAVIT">#REF!</definedName>
    <definedName name="SUPERAVIT2005_FNP">#REF!</definedName>
    <definedName name="SUPERAVITPPC_2005">#REF!</definedName>
    <definedName name="_xlnm.Print_Titles" localSheetId="2">'Anexo 2 '!$1:$7</definedName>
    <definedName name="_xlnm.Print_Titles" localSheetId="3">'Funcionamiento'!$A:$A</definedName>
    <definedName name="_xlnm.Print_Titles" localSheetId="0">'INGRESOS'!$1:$5</definedName>
    <definedName name="_xlnm.Print_Titles" localSheetId="4">'Nómina y honorarios 2012'!$A:$A</definedName>
    <definedName name="VTAS2005">'INGRESOS'!$B$32</definedName>
    <definedName name="xx">'[3]Ingresos'!$C$19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'INGRESOS'!$A$1:$B$39</definedName>
    <definedName name="Z_4099E833_BB74_4680_85C9_A6CF399D1CE2_.wvu.PrintTitles" hidden="1">#REF!</definedName>
    <definedName name="Z_4099E833_BB74_4680_85C9_A6CF399D1CE2_.wvu.Rows" hidden="1">#REF!,#REF!</definedName>
  </definedNames>
  <calcPr fullCalcOnLoad="1"/>
</workbook>
</file>

<file path=xl/comments1.xml><?xml version="1.0" encoding="utf-8"?>
<comments xmlns="http://schemas.openxmlformats.org/spreadsheetml/2006/main">
  <authors>
    <author>Oscar Rubio</author>
  </authors>
  <commentList>
    <comment ref="D35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DEVOLUCION CONVENIO UNIVERSIDAD NACIONAL $ 31.049.209</t>
        </r>
      </text>
    </comment>
    <comment ref="D36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Programa IAT Nomina $ 23.204.291 Gastos Proyecto Madr $ 139.526.841 monitoreo seologico $ 32.370.789 menos convenio tecnica $ (1.637169)</t>
        </r>
      </text>
    </comment>
  </commentList>
</comments>
</file>

<file path=xl/comments4.xml><?xml version="1.0" encoding="utf-8"?>
<comments xmlns="http://schemas.openxmlformats.org/spreadsheetml/2006/main">
  <authors>
    <author>Fondo Nal. de la Porcicultura</author>
    <author>martinezp</author>
    <author>Patricia Martinez</author>
    <author> </author>
  </authors>
  <commentList>
    <comment ref="P8" authorId="0">
      <text>
        <r>
          <rPr>
            <sz val="8"/>
            <rFont val="Tahoma"/>
            <family val="2"/>
          </rPr>
          <t>$17,600,000 son del área aconómica</t>
        </r>
      </text>
    </comment>
    <comment ref="P20" authorId="0">
      <text>
        <r>
          <rPr>
            <sz val="8"/>
            <rFont val="Tahoma"/>
            <family val="2"/>
          </rPr>
          <t>ECONÓMICA $42,800,000
MERCADEO $15,600,000</t>
        </r>
        <r>
          <rPr>
            <sz val="8"/>
            <rFont val="Tahoma"/>
            <family val="2"/>
          </rPr>
          <t xml:space="preserve">
PPC $110,000,000
FUNCIONAMIENTO $11,000,000</t>
        </r>
      </text>
    </comment>
    <comment ref="P22" authorId="0">
      <text>
        <r>
          <rPr>
            <sz val="8"/>
            <rFont val="Tahoma"/>
            <family val="2"/>
          </rPr>
          <t>FUNCIONAMIENTO $9,000,000
ECONÓMICA $ 23,130,000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PPC$30,000,000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sz val="8"/>
            <rFont val="Tahoma"/>
            <family val="2"/>
          </rPr>
          <t xml:space="preserve">ECONÓMICA $28,000,000
MERCADEO $8,000,000
PPC $28,000,000
FUNCIONAMIENTO $20,000,000
</t>
        </r>
      </text>
    </comment>
    <comment ref="P32" authorId="0">
      <text>
        <r>
          <rPr>
            <sz val="8"/>
            <rFont val="Tahoma"/>
            <family val="2"/>
          </rPr>
          <t xml:space="preserve">FUNCIONAMIENTO $48,000,000
PPC $45,000,000
</t>
        </r>
      </text>
    </comment>
    <comment ref="G28" authorId="1">
      <text>
        <r>
          <rPr>
            <sz val="8"/>
            <rFont val="Tahoma"/>
            <family val="2"/>
          </rPr>
          <t>valor de venta de chapetas y tenazas x el 9.66/1000, más gstos legales y poliza de transporte chapetas global</t>
        </r>
        <r>
          <rPr>
            <sz val="8"/>
            <rFont val="Tahoma"/>
            <family val="2"/>
          </rPr>
          <t xml:space="preserve">
</t>
        </r>
      </text>
    </comment>
    <comment ref="G32" authorId="1">
      <text>
        <r>
          <rPr>
            <sz val="8"/>
            <rFont val="Tahoma"/>
            <family val="2"/>
          </rPr>
          <t xml:space="preserve">$3.000.000 promedio de comisiones enero-agosto 2011
</t>
        </r>
      </text>
    </comment>
    <comment ref="I8" authorId="2">
      <text>
        <r>
          <rPr>
            <b/>
            <sz val="9"/>
            <rFont val="Tahoma"/>
            <family val="2"/>
          </rPr>
          <t>compra videbeam</t>
        </r>
        <r>
          <rPr>
            <sz val="9"/>
            <rFont val="Tahoma"/>
            <family val="2"/>
          </rPr>
          <t xml:space="preserve">
</t>
        </r>
      </text>
    </comment>
    <comment ref="I24" authorId="2">
      <text>
        <r>
          <rPr>
            <b/>
            <sz val="9"/>
            <rFont val="Tahoma"/>
            <family val="2"/>
          </rPr>
          <t>Costo correo, envio documentación y paquetes a diferentes entidades, productores, etc.</t>
        </r>
        <r>
          <rPr>
            <sz val="9"/>
            <rFont val="Tahoma"/>
            <family val="2"/>
          </rPr>
          <t xml:space="preserve">
</t>
        </r>
      </text>
    </comment>
    <comment ref="I26" authorId="2">
      <text>
        <r>
          <rPr>
            <b/>
            <sz val="9"/>
            <rFont val="Tahoma"/>
            <family val="2"/>
          </rPr>
          <t>Gastos locales; Ambientales (2), Sanitarias (6), Otras (4) por mes y promedio de $ 20.000 c/u.</t>
        </r>
        <r>
          <rPr>
            <sz val="9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9"/>
            <rFont val="Tahoma"/>
            <family val="2"/>
          </rPr>
          <t>Costo de polizas a firmar convenios, gastos de publicación en el diario oficial.</t>
        </r>
        <r>
          <rPr>
            <sz val="9"/>
            <rFont val="Tahoma"/>
            <family val="2"/>
          </rPr>
          <t xml:space="preserve">
</t>
        </r>
      </text>
    </comment>
    <comment ref="C21" authorId="3">
      <text>
        <r>
          <rPr>
            <b/>
            <sz val="8"/>
            <rFont val="Tahoma"/>
            <family val="2"/>
          </rPr>
          <t>solicitar en 3er trimestre</t>
        </r>
      </text>
    </comment>
  </commentList>
</comments>
</file>

<file path=xl/sharedStrings.xml><?xml version="1.0" encoding="utf-8"?>
<sst xmlns="http://schemas.openxmlformats.org/spreadsheetml/2006/main" count="512" uniqueCount="396">
  <si>
    <t>Prima legal</t>
  </si>
  <si>
    <t>Vacaciones</t>
  </si>
  <si>
    <t>Seguros y/o fondos privados</t>
  </si>
  <si>
    <t>Aportes ICBF y SENA</t>
  </si>
  <si>
    <t>Cesantías</t>
  </si>
  <si>
    <t>Intereses de cesantías</t>
  </si>
  <si>
    <t>Caja de compensación</t>
  </si>
  <si>
    <t>Administración del programa</t>
  </si>
  <si>
    <t>Fortalecimiento institucional</t>
  </si>
  <si>
    <t>Capacitación y divulgación</t>
  </si>
  <si>
    <t>COORDINADORES REGIONALES</t>
  </si>
  <si>
    <t>SUB-COORDINADORES REGIONALES ANTIOQUIA</t>
  </si>
  <si>
    <t>ASISTENTE ADMINISTRATIVO</t>
  </si>
  <si>
    <t>SUPERÁVIT VIGENCIAS ANTERIORES</t>
  </si>
  <si>
    <t>GASTOS DE FUNCIONAMIENTO</t>
  </si>
  <si>
    <t>TOTAL PROGRAMAS Y PROYECTOS</t>
  </si>
  <si>
    <t>ANEXO 1</t>
  </si>
  <si>
    <t>PRACTICANTES SENA</t>
  </si>
  <si>
    <t>JEFE DE CONTROL REGIONAL</t>
  </si>
  <si>
    <t>ECONÓMICA</t>
  </si>
  <si>
    <t>MERCADEO</t>
  </si>
  <si>
    <t>TÉCNICA</t>
  </si>
  <si>
    <t>MINISTERIO DE AGRICULTURA  Y DESARROLLO RURAL</t>
  </si>
  <si>
    <t>Honorarios</t>
  </si>
  <si>
    <t>GASTOS GENERALES</t>
  </si>
  <si>
    <t xml:space="preserve">Mantenimiento </t>
  </si>
  <si>
    <t>Arriendos</t>
  </si>
  <si>
    <t>Correo</t>
  </si>
  <si>
    <t>TOTAL PRESUPUESTO</t>
  </si>
  <si>
    <t>CUENTAS</t>
  </si>
  <si>
    <t>Transportes, fletes y acarreos</t>
  </si>
  <si>
    <t>Muebles, equipos de oficina y software</t>
  </si>
  <si>
    <t>Aseo, vigilancia y cafetería</t>
  </si>
  <si>
    <t>Materiales y suministros</t>
  </si>
  <si>
    <t>Servicios públicos</t>
  </si>
  <si>
    <t>Seguros, impuestos y gastos legales</t>
  </si>
  <si>
    <t>Gastos comisión de fomento</t>
  </si>
  <si>
    <t>Comisiones y gastos bancarios</t>
  </si>
  <si>
    <t>Cuota auditaje CGR</t>
  </si>
  <si>
    <t>DIRECCIÓN DE PLANEACIÓN Y SEGUIMIENTO PRESUPUESTAL</t>
  </si>
  <si>
    <t>MINISTERIO DE AGRICULTURA Y DESARROLLO RURAL</t>
  </si>
  <si>
    <t>FONDO NACIONAL DE LA PORCICULTURA</t>
  </si>
  <si>
    <t>TOTAL</t>
  </si>
  <si>
    <t>SERVICIOS GENERALES</t>
  </si>
  <si>
    <t>HONORARIOS</t>
  </si>
  <si>
    <t>ASISTENTE CONTABILIDAD PPC</t>
  </si>
  <si>
    <t>ASISTENTE DE RECAUDO</t>
  </si>
  <si>
    <t>CUOTA VIGENCIAS ANTERIORES</t>
  </si>
  <si>
    <t>Repuestos</t>
  </si>
  <si>
    <t>Aseo y cafetería</t>
  </si>
  <si>
    <t>Fotocopias</t>
  </si>
  <si>
    <t>Papelería</t>
  </si>
  <si>
    <t>Canon laser</t>
  </si>
  <si>
    <t>Teléfonos</t>
  </si>
  <si>
    <t>Celular</t>
  </si>
  <si>
    <t>Energía</t>
  </si>
  <si>
    <t>Acueducto</t>
  </si>
  <si>
    <t>Bodega</t>
  </si>
  <si>
    <t>Viajes</t>
  </si>
  <si>
    <t>Transporte Caja M.</t>
  </si>
  <si>
    <t>Acarreos</t>
  </si>
  <si>
    <t>Seguros</t>
  </si>
  <si>
    <t>Gastos Legales</t>
  </si>
  <si>
    <t>Pasajes</t>
  </si>
  <si>
    <t>Gastos</t>
  </si>
  <si>
    <t>TOTAL GASTOS GENERALES</t>
  </si>
  <si>
    <t>Rendimientos Financieros FNP</t>
  </si>
  <si>
    <t>Rendimientos Financieros PPC</t>
  </si>
  <si>
    <t>Extraordinarios FNP</t>
  </si>
  <si>
    <t>Financieros FNP</t>
  </si>
  <si>
    <t>Financieros PPC</t>
  </si>
  <si>
    <t xml:space="preserve">     Publicidad</t>
  </si>
  <si>
    <t xml:space="preserve">     Compra de materiales y dotaciones</t>
  </si>
  <si>
    <t>Venta de publicaciones y videos de capacitación</t>
  </si>
  <si>
    <t xml:space="preserve">     Pago de auxilios de frío, flete y movilizaciones</t>
  </si>
  <si>
    <t>Regionalización</t>
  </si>
  <si>
    <t>Administración de la base de datos</t>
  </si>
  <si>
    <t>Sistemas de información de mercados</t>
  </si>
  <si>
    <t xml:space="preserve">   Divulgación</t>
  </si>
  <si>
    <t xml:space="preserve">   Capacitación</t>
  </si>
  <si>
    <t>CONTRATACIÓN LABORAL</t>
  </si>
  <si>
    <t xml:space="preserve">SEGUROS Y/O FONDOS PRIVADOS </t>
  </si>
  <si>
    <t>ICBF Y SENA ANUAL</t>
  </si>
  <si>
    <t>No.</t>
  </si>
  <si>
    <t>SALARIO BASE</t>
  </si>
  <si>
    <t xml:space="preserve">SUBSIDIO DE TRANSPORTE </t>
  </si>
  <si>
    <t>VALOR TOTAL A DEVENGAR MENSUAL</t>
  </si>
  <si>
    <t>RIESGOS PROFESIONALES 0,522%</t>
  </si>
  <si>
    <t>ICBF 3%</t>
  </si>
  <si>
    <t>SENA 2%</t>
  </si>
  <si>
    <t>ÁREA DE FUNCIONAMIENTO</t>
  </si>
  <si>
    <t>ÁREA PPC</t>
  </si>
  <si>
    <t>VALOR TOTAL DE LA NÓMINA</t>
  </si>
  <si>
    <t>PERSONAS</t>
  </si>
  <si>
    <t>CANTIDAD DOTACIONES/AÑO</t>
  </si>
  <si>
    <t>Fortalecimiento al recaudo</t>
  </si>
  <si>
    <t>AUDITORIA</t>
  </si>
  <si>
    <t>SALARIO INTEGRAL</t>
  </si>
  <si>
    <t>VALOR MENSUAL</t>
  </si>
  <si>
    <t>DIRECTOR</t>
  </si>
  <si>
    <t>PRESUPUESTO</t>
  </si>
  <si>
    <t>CUOTA DE ADMINISTRACIÓN</t>
  </si>
  <si>
    <t>INGRESOS OPERACIONALES</t>
  </si>
  <si>
    <t>Cuota de Fomento</t>
  </si>
  <si>
    <t>Cuota de Erradicación Peste Porcina Clásica</t>
  </si>
  <si>
    <t>INGRESOS NO OPERACIONALES</t>
  </si>
  <si>
    <t>INGRESOS FINANCIEROS</t>
  </si>
  <si>
    <t>OTROS INGRESOS</t>
  </si>
  <si>
    <t>Ventas Programa PPC</t>
  </si>
  <si>
    <t>TOTAL INGRESOS</t>
  </si>
  <si>
    <t>Investigación</t>
  </si>
  <si>
    <t>Muebles,  equipos  de oficina y software</t>
  </si>
  <si>
    <t>Impresos y publicaciones</t>
  </si>
  <si>
    <t>FUNCIONAMIENTO</t>
  </si>
  <si>
    <t xml:space="preserve">Capacitación </t>
  </si>
  <si>
    <t xml:space="preserve">RESERVA FUTURAS INVERSIONES Y GASTOS </t>
  </si>
  <si>
    <t>Servicios de personal</t>
  </si>
  <si>
    <t>PPC</t>
  </si>
  <si>
    <t>SUBTOTAL GASTOS PERSONAL</t>
  </si>
  <si>
    <t>SUBTOTAL GASTOS GENERALES</t>
  </si>
  <si>
    <t>TOTAL FUNCIONAMIENTO</t>
  </si>
  <si>
    <t>GRAN TOTAL</t>
  </si>
  <si>
    <t>PROGRAMAS ECONÓMICA</t>
  </si>
  <si>
    <t>PROGRAMAS TÉCNICA</t>
  </si>
  <si>
    <t>PROGRAMAS MERCADEO</t>
  </si>
  <si>
    <t>TOTAL INVERSIÓN</t>
  </si>
  <si>
    <t>GASTOS DE PERSONAL</t>
  </si>
  <si>
    <t xml:space="preserve">Dotación y suministro </t>
  </si>
  <si>
    <t>PROGRAMA PPC</t>
  </si>
  <si>
    <t>Sueldos</t>
  </si>
  <si>
    <t>SALUD 8,5%</t>
  </si>
  <si>
    <t>Item</t>
  </si>
  <si>
    <t>Programas y proyectos FNP</t>
  </si>
  <si>
    <t>Gastos de viaje</t>
  </si>
  <si>
    <t>Renovación Legis</t>
  </si>
  <si>
    <t>Impresos varios</t>
  </si>
  <si>
    <t>JEFE DE FORTALECIMIENTO AL RECAUDO</t>
  </si>
  <si>
    <t>COORDINADORES RECAUDO</t>
  </si>
  <si>
    <t>Hospedaje</t>
  </si>
  <si>
    <t>Alimentación</t>
  </si>
  <si>
    <t>Equipos</t>
  </si>
  <si>
    <t>Asoporcicultores</t>
  </si>
  <si>
    <t>TOTAL PPC</t>
  </si>
  <si>
    <t>TOTAL ECONÓMICA</t>
  </si>
  <si>
    <t>TOTAL TÉCNICA</t>
  </si>
  <si>
    <t>TOTAL MERCADEO</t>
  </si>
  <si>
    <t>COORDINADOR DE INFORMACIÓN</t>
  </si>
  <si>
    <t>COORDINADOR DE SANIDAD</t>
  </si>
  <si>
    <t>INICIO</t>
  </si>
  <si>
    <t>FINAL</t>
  </si>
  <si>
    <t>DÍAS</t>
  </si>
  <si>
    <t xml:space="preserve">     Talleres de formación PPC</t>
  </si>
  <si>
    <t xml:space="preserve">     Asesoría internacional</t>
  </si>
  <si>
    <t>Ciclos de vacunación</t>
  </si>
  <si>
    <t>Centro de servicios técnicos y financieros</t>
  </si>
  <si>
    <t>COMSAC</t>
  </si>
  <si>
    <t>Participación en negociaciones</t>
  </si>
  <si>
    <t>EXÁMENES INGRESO-SALIDA</t>
  </si>
  <si>
    <t>COORDINADOR  DE PUBLICIDAD</t>
  </si>
  <si>
    <t xml:space="preserve">CUOTA DE FOMENTO PORCÍCOLA </t>
  </si>
  <si>
    <t>Programas y proyectos PPC</t>
  </si>
  <si>
    <t>Ingresos tarifas Centro de Servicios Técnicos y Financieros</t>
  </si>
  <si>
    <t>Herramientas del Centro de servicios</t>
  </si>
  <si>
    <t>Asesorías a pequeños productores</t>
  </si>
  <si>
    <t>Asesorías a medianos y grandes productores y grupos</t>
  </si>
  <si>
    <t>Actualización de información</t>
  </si>
  <si>
    <t>Auxilios de movilización de los coordinadores de recaudo</t>
  </si>
  <si>
    <t>Recolección de desechos biológicos</t>
  </si>
  <si>
    <t>Cuota de fomento porcícola</t>
  </si>
  <si>
    <t>Cuota de erradicación Peste Porcina Clásica</t>
  </si>
  <si>
    <t>Integra Seguridad</t>
  </si>
  <si>
    <t>JEFE DE GESTIÓN AMBIENTAL</t>
  </si>
  <si>
    <t>TOTAL NÓMINA DE PROGRAMAS</t>
  </si>
  <si>
    <t>DOTACIÓN</t>
  </si>
  <si>
    <t>VR. DOTACIÓN</t>
  </si>
  <si>
    <t>CAJA DE COMPENSACIÓN  4%</t>
  </si>
  <si>
    <t>PERFIL</t>
  </si>
  <si>
    <t>PROFESIONAL GRADO 1</t>
  </si>
  <si>
    <t>ASISTENTE 1</t>
  </si>
  <si>
    <t>AUXILIAR 1</t>
  </si>
  <si>
    <t>PRACTICANTE SENA</t>
  </si>
  <si>
    <t>JEFE DE PROGRAMA</t>
  </si>
  <si>
    <t>PROFESIONAL GRADO 2</t>
  </si>
  <si>
    <t>COORDINADOR REGIONAL</t>
  </si>
  <si>
    <t>DIRECTOR DE PROGRAMA</t>
  </si>
  <si>
    <t>COORDINADOR DE PROGRAMA</t>
  </si>
  <si>
    <t>SUBCOORDINADOR REGIONAL</t>
  </si>
  <si>
    <t>ASISTENTE 2</t>
  </si>
  <si>
    <t>PROFESIONAL GRADO 1  PRESUPUESTO</t>
  </si>
  <si>
    <t>PENSIÓN 12%</t>
  </si>
  <si>
    <t xml:space="preserve">     Brigadas</t>
  </si>
  <si>
    <t xml:space="preserve">     Compra de biológico, chapetas y tenazas</t>
  </si>
  <si>
    <t xml:space="preserve">TOTAL GASTOS </t>
  </si>
  <si>
    <t>JEFE DE CONTROL DE PROYECTOS</t>
  </si>
  <si>
    <t>IPC APROX.</t>
  </si>
  <si>
    <t>Cuota Auditaje</t>
  </si>
  <si>
    <t>Alquiler de equipos visita</t>
  </si>
  <si>
    <t>fotocopias</t>
  </si>
  <si>
    <t>INGRESOS EXTRAORDINARIOS FNP</t>
  </si>
  <si>
    <t>Impuestos</t>
  </si>
  <si>
    <t>Crecimiento Salario mínimo</t>
  </si>
  <si>
    <t>Incremento General</t>
  </si>
  <si>
    <t>Salario mínimo</t>
  </si>
  <si>
    <t xml:space="preserve">ASISTENTE DE CONTABILIDAD </t>
  </si>
  <si>
    <t>ASISTENTE DE PEDIDOS Y DESPACHOS</t>
  </si>
  <si>
    <t>Contratación de personal</t>
  </si>
  <si>
    <t>Campaña de fomento al consumo</t>
  </si>
  <si>
    <t>Divulgación sectorial</t>
  </si>
  <si>
    <t>DIGITADOR-CODIFICADOR</t>
  </si>
  <si>
    <t>DIGITADOR -CODIFICADOR</t>
  </si>
  <si>
    <t xml:space="preserve">DIRECTOR </t>
  </si>
  <si>
    <t>PROFESIONAL GRADO 2 PROYECTO IAT</t>
  </si>
  <si>
    <t>ASISTENTE ADMINISTRATIVO PROYECTO IAT</t>
  </si>
  <si>
    <t>SUPERVISOR PROYECTO IAT</t>
  </si>
  <si>
    <t>SUPERVISOR</t>
  </si>
  <si>
    <t>ANEXO 2</t>
  </si>
  <si>
    <t>ÁREA ECONÓMICA</t>
  </si>
  <si>
    <t>Aux. Transporte</t>
  </si>
  <si>
    <t>INGRESOS PROGRAMAS Y PROYECTOS FNP</t>
  </si>
  <si>
    <t>TOTAL EXTRAORDINARIOS FNP</t>
  </si>
  <si>
    <t>INGRESOS PROGRAMAS Y PROYECTOS PPC</t>
  </si>
  <si>
    <t>TOTAL  PROGRAMAS Y PROYECTOS FNP</t>
  </si>
  <si>
    <t>TOTAL  PROGRAMAS Y PROYECTOS PPC</t>
  </si>
  <si>
    <t>Cocolsi</t>
  </si>
  <si>
    <t>Heinsonh</t>
  </si>
  <si>
    <t>Monitoreo serológico carta entendimiento No.3</t>
  </si>
  <si>
    <t xml:space="preserve">       Contrapartida MADR</t>
  </si>
  <si>
    <t>Licencias antivirus</t>
  </si>
  <si>
    <t xml:space="preserve">  Monitoreo de Medios</t>
  </si>
  <si>
    <t>PROYECTO IAT 1</t>
  </si>
  <si>
    <t xml:space="preserve">   Programa IAT (1)</t>
  </si>
  <si>
    <t xml:space="preserve">Cadena porcícola </t>
  </si>
  <si>
    <t>Seguimiento recaudo regional</t>
  </si>
  <si>
    <t>PROFESIONAL GRADO 1 ECONÓMICO</t>
  </si>
  <si>
    <t>PROFESIONAL GRADO 1 CRM</t>
  </si>
  <si>
    <t>JEFE DE ANÁLISIS EPIDEMIOLÓGICO</t>
  </si>
  <si>
    <t>COORDINADOR ASISTENCIA TÉCNICA</t>
  </si>
  <si>
    <t>COORDINADOR CENTRO DE  SERVICIOS</t>
  </si>
  <si>
    <t>AUXILIAR DE DESPACHOS</t>
  </si>
  <si>
    <t>AUXILIAR 2</t>
  </si>
  <si>
    <t>AÑO 2.011</t>
  </si>
  <si>
    <t xml:space="preserve">PROFESIONAL GRADO 2 </t>
  </si>
  <si>
    <t xml:space="preserve">     Reunión anual</t>
  </si>
  <si>
    <t>Determinación de factores de riesgo</t>
  </si>
  <si>
    <t xml:space="preserve">Auxilios de comités de ganaderos </t>
  </si>
  <si>
    <t>Logistica barridos</t>
  </si>
  <si>
    <t xml:space="preserve">  Asesores técnicos en calidad</t>
  </si>
  <si>
    <t>Comisión de Sacrificio - Trabajo con autoridades</t>
  </si>
  <si>
    <t>Convenio SENA</t>
  </si>
  <si>
    <t>Convenios CAR</t>
  </si>
  <si>
    <t>PRESUPUESTO DE INGRESOS VIGENCIA  2.012</t>
  </si>
  <si>
    <t>AÑO 2012</t>
  </si>
  <si>
    <t>PRESUPUESTO DE GASTOS DE FUNCIONAMIENTO E INVERSIÓN 2.012</t>
  </si>
  <si>
    <t>% 12/11</t>
  </si>
  <si>
    <t>Heinsonh licencia</t>
  </si>
  <si>
    <t>Deprisa</t>
  </si>
  <si>
    <t>TOTAL 2012</t>
  </si>
  <si>
    <t xml:space="preserve">Rivercom </t>
  </si>
  <si>
    <t>Intereses de mora recaudadores</t>
  </si>
  <si>
    <t>FORTALECER LA INSTITUCIONALIDAD SECTORIAL</t>
  </si>
  <si>
    <t>PROMOVER EL CONSUMO DE CARNE DE CERDO COLOMBIANA</t>
  </si>
  <si>
    <t xml:space="preserve">  Home Panel Nielsen</t>
  </si>
  <si>
    <t xml:space="preserve">  Brand Equity and Tracking</t>
  </si>
  <si>
    <t xml:space="preserve">  Eye Tracking</t>
  </si>
  <si>
    <t xml:space="preserve">  Impacto en Salud Humana II (Alergenos)</t>
  </si>
  <si>
    <t xml:space="preserve">  Nutricionistas</t>
  </si>
  <si>
    <t xml:space="preserve">  Asesores Gastronomicos</t>
  </si>
  <si>
    <t xml:space="preserve">  Actividades Dia saludable</t>
  </si>
  <si>
    <t xml:space="preserve">  Eventos Feriales</t>
  </si>
  <si>
    <t xml:space="preserve">  Capacitación anual contratistas</t>
  </si>
  <si>
    <t xml:space="preserve">  Viajes regionales equipo dia saludable</t>
  </si>
  <si>
    <t xml:space="preserve">  Campaña de publicidad</t>
  </si>
  <si>
    <t xml:space="preserve">  Recetarios</t>
  </si>
  <si>
    <t xml:space="preserve">  CRM</t>
  </si>
  <si>
    <t xml:space="preserve">  Club Gourmet</t>
  </si>
  <si>
    <t xml:space="preserve">  Ferias de la Carne de Cerdo</t>
  </si>
  <si>
    <t xml:space="preserve">  Asesoria Invermesas SAS</t>
  </si>
  <si>
    <t xml:space="preserve">  Pauta institucional</t>
  </si>
  <si>
    <t>FORTALECER EL ESTATUS SANITARIO Y LA PRODUCCIÓN SOSTENIBLE DEL SECTOR PORCICOLA</t>
  </si>
  <si>
    <t>FORTALECER LA GESTIÓN EMPRESARIAL E INTEGRACIÓN DE LA CADENA CARNICA PORCICOLA</t>
  </si>
  <si>
    <t>PROMOVER EL ASEGURAMIENTO DE LA CALIDAD DE LA CADENA CÁRNICA PORCINA</t>
  </si>
  <si>
    <t>Sello de respaldo</t>
  </si>
  <si>
    <t xml:space="preserve">  Otras asesorias BPM Sello de Respaldo</t>
  </si>
  <si>
    <t xml:space="preserve">  Material publicitario (POP, Divulgación Sello y Ambiental)</t>
  </si>
  <si>
    <t>HACCP y BPM en cadena de transformación</t>
  </si>
  <si>
    <t xml:space="preserve">  Asesorias BPM y HACCP</t>
  </si>
  <si>
    <t xml:space="preserve">  Afiliación ICONTEC</t>
  </si>
  <si>
    <t xml:space="preserve">  Asesoría internacional en calidad</t>
  </si>
  <si>
    <t>FORTALECER LOS SISTEMAS DE INFORMACIÓN Y GESTIONAR INTELIGENCIA DE MERCADOS</t>
  </si>
  <si>
    <t>FORTALECER EL BENEFICIO FORMAL</t>
  </si>
  <si>
    <t>GESTIONAR LA INVESTIGACIÓN Y DESARROLLO DE LA CADENA</t>
  </si>
  <si>
    <t>Monitoreo serológico carta entendimiento No.5</t>
  </si>
  <si>
    <t xml:space="preserve">Convenios con laboratorios privados  y oficiales registrados ante el ICA </t>
  </si>
  <si>
    <t>Programa Nacional de Mejoramiento del Estatus Sanitario</t>
  </si>
  <si>
    <t>Aseguramiento de la calidad en gestión primaria</t>
  </si>
  <si>
    <t>ÁREA MERCADEO</t>
  </si>
  <si>
    <t>ÁREA TÉCNICA</t>
  </si>
  <si>
    <t>CONVENIO MADR</t>
  </si>
  <si>
    <t xml:space="preserve">  Concurso sabor innovador</t>
  </si>
  <si>
    <t xml:space="preserve">    Convenios Interinstitucionales</t>
  </si>
  <si>
    <t xml:space="preserve">    Desarrollo Sistema Unificado y Estandarizado de Desposte, Cortes y Empaques </t>
  </si>
  <si>
    <t xml:space="preserve">    Programa Piloto para la Medición de Grasa Dorsal</t>
  </si>
  <si>
    <t xml:space="preserve">    Diplomado en alta gerencia de empresas porcícolas</t>
  </si>
  <si>
    <t xml:space="preserve">    Talleres para Chefs e instructores SENA</t>
  </si>
  <si>
    <t xml:space="preserve">    Diseño plan de negocios granja demostrativa SENA</t>
  </si>
  <si>
    <t xml:space="preserve">    Seminario Internacional</t>
  </si>
  <si>
    <t xml:space="preserve">    Talleres "Cómo vender más carne de cerdo"</t>
  </si>
  <si>
    <t xml:space="preserve">    Jornadas técnicas a porcicultores</t>
  </si>
  <si>
    <t xml:space="preserve">    Jornadas socialización SIPO</t>
  </si>
  <si>
    <t>TOTAL INVESTIGACIÓN</t>
  </si>
  <si>
    <t>ÁREA INVESTIGACIÒN</t>
  </si>
  <si>
    <t xml:space="preserve">  Percepción de medios hacia el sector</t>
  </si>
  <si>
    <t xml:space="preserve">  Eventos institucionales</t>
  </si>
  <si>
    <t xml:space="preserve">  Kit publicitario</t>
  </si>
  <si>
    <t xml:space="preserve">    Acompañamiento ambiental</t>
  </si>
  <si>
    <t xml:space="preserve">    Planes operativos convenios CAR`s</t>
  </si>
  <si>
    <t>TRANSFERENCIA</t>
  </si>
  <si>
    <t>incremento ingresos</t>
  </si>
  <si>
    <t xml:space="preserve">    Material de Apoyo</t>
  </si>
  <si>
    <t>SUPERVISOR CONTROL PRESUPUESTAL</t>
  </si>
  <si>
    <t>SUPERVISOR TESORERIA</t>
  </si>
  <si>
    <t>PROFESIONAL GRADO 1  TESORERIA</t>
  </si>
  <si>
    <t>COBRO JURIDICO</t>
  </si>
  <si>
    <t>Proyecto IAT 1 MADR</t>
  </si>
  <si>
    <t>Proyecto IAT 2 MADR</t>
  </si>
  <si>
    <t xml:space="preserve">  Cuota de administración FNP</t>
  </si>
  <si>
    <t xml:space="preserve">  Cuota de administración PPC</t>
  </si>
  <si>
    <t xml:space="preserve">       Contrapartida FNP </t>
  </si>
  <si>
    <t>Asociatividad</t>
  </si>
  <si>
    <t xml:space="preserve">Monitoreo Precios de la Carne al Consumidor </t>
  </si>
  <si>
    <t>Jornadas de trabajo coordinadores</t>
  </si>
  <si>
    <t>Feria de la carne de cerdo</t>
  </si>
  <si>
    <t xml:space="preserve">  Factibilidad Porcinino express</t>
  </si>
  <si>
    <t>Vigilancia epidemiológica</t>
  </si>
  <si>
    <t>Carta 3 -Seguimiento y acompañamiento aplicación de protocolos</t>
  </si>
  <si>
    <t xml:space="preserve">  Gestión ambiental en producción primaria</t>
  </si>
  <si>
    <t>INVESTIGACIÓN Y DESARROLLO</t>
  </si>
  <si>
    <t>TRANSFERENCIA DE TECNOLOGÍA</t>
  </si>
  <si>
    <t>Diagnóstico Rutinario</t>
  </si>
  <si>
    <t>Vigilancia de campo</t>
  </si>
  <si>
    <t>Control de puertos, aeropuertos y pasos</t>
  </si>
  <si>
    <t>Equipos comunicación puestos control</t>
  </si>
  <si>
    <t>Depuración, verificación y codificación de predios</t>
  </si>
  <si>
    <t xml:space="preserve">   Talleres IVA, Costos</t>
  </si>
  <si>
    <t>Asesorías normatividad</t>
  </si>
  <si>
    <t>ERRADICACIÓN DE PPC</t>
  </si>
  <si>
    <t>Fondo de emergencia</t>
  </si>
  <si>
    <t>MEJORAMIENTO DEL ESTATUS SANITARIO</t>
  </si>
  <si>
    <t xml:space="preserve">    Coordinación transferencia de técnología</t>
  </si>
  <si>
    <t>Investigación de mercados</t>
  </si>
  <si>
    <t>PROGRAMAS INVESTIGACIÓN Y TRANSFERENCIA DE TÉCNOLOGÍA</t>
  </si>
  <si>
    <t xml:space="preserve">Convenio SENA </t>
  </si>
  <si>
    <t>Talleres y seminarios</t>
  </si>
  <si>
    <t>INVESTIGACIÒN Y TRANSFERENCIA</t>
  </si>
  <si>
    <t>Sensibilización de las bondades gastronómicas</t>
  </si>
  <si>
    <t>APROBADO</t>
  </si>
  <si>
    <t>SOLICITADO</t>
  </si>
  <si>
    <t>ENERO - MARZO  2012</t>
  </si>
  <si>
    <t>SUELDO TRIMESTRAL</t>
  </si>
  <si>
    <t>ENERO A MARZO AÑO 2.012</t>
  </si>
  <si>
    <t>VALOR TRIMESTRE 2011</t>
  </si>
  <si>
    <t>CAJA DE COMPENSACIÓN TRIMESTRE</t>
  </si>
  <si>
    <t>SEGUROS Y/O FONDOS PRIVADOS TRIMESTRE</t>
  </si>
  <si>
    <t>VAC. TRIMESTRE</t>
  </si>
  <si>
    <t>PRIMA LEGAL TRIMESTRE</t>
  </si>
  <si>
    <t>INT./CES. TRIMESTRE (12%)</t>
  </si>
  <si>
    <t>CESANTÍAS TRIMESTRE</t>
  </si>
  <si>
    <t>ingresos fnp</t>
  </si>
  <si>
    <t>gastos fnp</t>
  </si>
  <si>
    <t>diferencia</t>
  </si>
  <si>
    <t>ingresos ppc</t>
  </si>
  <si>
    <t>gastos ppc</t>
  </si>
  <si>
    <t>ENERO A MARZO DE 2012</t>
  </si>
  <si>
    <t>OTROS INGRESOS ENERO - MARZO 2012</t>
  </si>
  <si>
    <t>COORDINADOR DE CALIDAD E INNOVACIÓN</t>
  </si>
  <si>
    <t>Fortalecimiento de la infraestructura de beneficio</t>
  </si>
  <si>
    <t>Promoción de exportaciones</t>
  </si>
  <si>
    <t>Consultoria sobre el mercado coreano</t>
  </si>
  <si>
    <t>Visita porcicultores a Corea</t>
  </si>
  <si>
    <t>Admisibilidad. Etapa I</t>
  </si>
  <si>
    <t>Admisibilidad. Etapa II</t>
  </si>
  <si>
    <t>Evaluación condición  de Aujeszky en el país</t>
  </si>
  <si>
    <t>Control y monitoreo para la enfermedad de PRRS en granjas de Colombia</t>
  </si>
  <si>
    <t xml:space="preserve">  Diseño Sistema de Certificación BPP</t>
  </si>
  <si>
    <t xml:space="preserve">  Divulgación Resolución 2640</t>
  </si>
  <si>
    <t>Sistema de medición y pago por calidad</t>
  </si>
  <si>
    <t xml:space="preserve">  Seminario pago por calidad</t>
  </si>
  <si>
    <t xml:space="preserve">  Asesor técnico</t>
  </si>
  <si>
    <t xml:space="preserve">  Toma mediciones grasa dorsal pilotos</t>
  </si>
  <si>
    <t>EJECUCIÓN TRIMESTRE ENERO - MARZO 2012</t>
  </si>
  <si>
    <t>EJECUTADO</t>
  </si>
  <si>
    <t>ACUERDO 6/12</t>
  </si>
  <si>
    <t>EJECUCIÓN TRIMESTRE ENERO - MARZO /12</t>
  </si>
  <si>
    <t>TOTAL EJECUTADO</t>
  </si>
  <si>
    <t>% EJECUCION</t>
  </si>
  <si>
    <t>% EJECUCIÓN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</si>
</sst>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 &quot;$&quot;\ * #,##0_ ;_ &quot;$&quot;\ * \-#,##0_ ;_ &quot;$&quot;\ * &quot;-&quot;_ ;_ @_ "/>
    <numFmt numFmtId="174" formatCode="_ * #,##0_ ;_ * \-#,##0_ ;_ * &quot;-&quot;_ ;_ @_ "/>
    <numFmt numFmtId="175" formatCode="_ &quot;$&quot;\ * #,##0.00_ ;_ &quot;$&quot;\ * \-#,##0.00_ ;_ &quot;$&quot;\ * &quot;-&quot;??_ ;_ @_ "/>
    <numFmt numFmtId="176" formatCode="_ * #,##0.00_ ;_ * \-#,##0.00_ ;_ * &quot;-&quot;??_ ;_ @_ "/>
    <numFmt numFmtId="177" formatCode="_ * #,##0_ ;_ * \-#,##0_ ;_ * &quot;-&quot;??_ ;_ @_ "/>
    <numFmt numFmtId="178" formatCode="0.0%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&quot;$&quot;\ #,##0"/>
    <numFmt numFmtId="183" formatCode="_-* #,##0\ _€_-;\-* #,##0\ _€_-;_-* &quot;-&quot;??\ _€_-;_-@_-"/>
    <numFmt numFmtId="184" formatCode="_ &quot;$&quot;\ * #,##0_ ;_ &quot;$&quot;\ * \-#,##0_ ;_ &quot;$&quot;\ * &quot;-&quot;??_ ;_ @_ "/>
    <numFmt numFmtId="185" formatCode="[$$-240A]\ #,##0.00"/>
    <numFmt numFmtId="186" formatCode="0.0"/>
    <numFmt numFmtId="187" formatCode="[$$-240A]\ #,##0.0"/>
    <numFmt numFmtId="188" formatCode="0.0000"/>
    <numFmt numFmtId="189" formatCode="#,##0.00000"/>
    <numFmt numFmtId="190" formatCode="_ [$€-2]\ * #,##0.00_ ;_ [$€-2]\ * \-#,##0.00_ ;_ [$€-2]\ * &quot;-&quot;??_ "/>
    <numFmt numFmtId="191" formatCode="_-* #,##0_-;\-* #,##0_-;_-* &quot;-&quot;??_-;_-@_-"/>
    <numFmt numFmtId="192" formatCode="[$$-240A]\ #,##0"/>
    <numFmt numFmtId="193" formatCode="_-* #,##0.00\ &quot;Pts&quot;_-;\-* #,##0.00\ &quot;Pts&quot;_-;_-* &quot;-&quot;??\ &quot;Pts&quot;_-;_-@_-"/>
    <numFmt numFmtId="194" formatCode="_ * #,##0.000_ ;_ * \-#,##0.000_ ;_ * &quot;-&quot;??_ ;_ @_ "/>
    <numFmt numFmtId="195" formatCode="_ * #,##0.0_ ;_ * \-#,##0.0_ ;_ * &quot;-&quot;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"/>
    <numFmt numFmtId="201" formatCode="#,##0.000000"/>
    <numFmt numFmtId="202" formatCode="_ * #,##0.0000_ ;_ * \-#,##0.0000_ ;_ * &quot;-&quot;??_ ;_ @_ "/>
    <numFmt numFmtId="203" formatCode="_ * #,##0.00000_ ;_ * \-#,##0.00000_ ;_ * &quot;-&quot;??_ ;_ @_ "/>
    <numFmt numFmtId="204" formatCode="_ * #,##0.000000_ ;_ * \-#,##0.000000_ ;_ * &quot;-&quot;??_ ;_ @_ "/>
    <numFmt numFmtId="205" formatCode="_ * #,##0.0000000_ ;_ * \-#,##0.0000000_ ;_ * &quot;-&quot;??_ ;_ @_ "/>
    <numFmt numFmtId="206" formatCode="_ * #,##0.00000000_ ;_ * \-#,##0.00000000_ ;_ * &quot;-&quot;??_ ;_ @_ "/>
    <numFmt numFmtId="207" formatCode="_ * #,##0.000000000_ ;_ * \-#,##0.000000000_ ;_ * &quot;-&quot;??_ ;_ @_ "/>
    <numFmt numFmtId="208" formatCode="_ * #,##0.0000000000_ ;_ * \-#,##0.0000000000_ ;_ * &quot;-&quot;??_ ;_ @_ "/>
    <numFmt numFmtId="209" formatCode="_ * #,##0.00000000000_ ;_ * \-#,##0.00000000000_ ;_ * &quot;-&quot;??_ ;_ @_ "/>
    <numFmt numFmtId="210" formatCode="_ * #,##0.000000000000_ ;_ * \-#,##0.000000000000_ ;_ * &quot;-&quot;??_ ;_ @_ "/>
    <numFmt numFmtId="211" formatCode="_ * #,##0.0000000000000_ ;_ * \-#,##0.0000000000000_ ;_ * &quot;-&quot;??_ ;_ @_ "/>
    <numFmt numFmtId="212" formatCode="_ * #,##0.00000000000000_ ;_ * \-#,##0.00000000000000_ ;_ * &quot;-&quot;??_ ;_ @_ "/>
    <numFmt numFmtId="213" formatCode="_ * #,##0.000000000000000_ ;_ * \-#,##0.000000000000000_ ;_ * &quot;-&quot;??_ ;_ @_ "/>
    <numFmt numFmtId="214" formatCode="_ * #,##0.0000000000000000_ ;_ * \-#,##0.0000000000000000_ ;_ * &quot;-&quot;??_ ;_ @_ "/>
    <numFmt numFmtId="215" formatCode="#,##0.0000"/>
    <numFmt numFmtId="216" formatCode="#,##0.000"/>
    <numFmt numFmtId="217" formatCode="_-* #,##0\ _$_-;\-* #,##0\ _$_-;_-* &quot;-&quot;\ _$_-;_-@_-"/>
  </numFmts>
  <fonts count="66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Comic Sans MS"/>
      <family val="4"/>
    </font>
    <font>
      <b/>
      <sz val="11"/>
      <name val="Comic Sans MS"/>
      <family val="4"/>
    </font>
    <font>
      <sz val="10"/>
      <color indexed="10"/>
      <name val="Comic Sans MS"/>
      <family val="4"/>
    </font>
    <font>
      <sz val="10"/>
      <color indexed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hair"/>
    </border>
    <border>
      <left style="medium"/>
      <right style="medium"/>
      <top style="double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thin">
        <color indexed="55"/>
      </top>
      <bottom style="thin">
        <color indexed="55"/>
      </bottom>
    </border>
    <border>
      <left style="medium"/>
      <right style="double"/>
      <top style="thin">
        <color indexed="55"/>
      </top>
      <bottom style="thin">
        <color indexed="55"/>
      </bottom>
    </border>
    <border>
      <left style="double"/>
      <right style="thin"/>
      <top>
        <color indexed="63"/>
      </top>
      <bottom style="thin">
        <color indexed="55"/>
      </bottom>
    </border>
    <border>
      <left style="medium"/>
      <right style="double"/>
      <top>
        <color indexed="63"/>
      </top>
      <bottom style="thin">
        <color indexed="55"/>
      </bottom>
    </border>
    <border>
      <left style="double"/>
      <right style="thin"/>
      <top style="thin">
        <color indexed="55"/>
      </top>
      <bottom>
        <color indexed="63"/>
      </bottom>
    </border>
    <border>
      <left style="medium"/>
      <right style="double"/>
      <top style="thin">
        <color indexed="55"/>
      </top>
      <bottom>
        <color indexed="63"/>
      </bottom>
    </border>
    <border>
      <left style="double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25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30" borderId="1" applyNumberFormat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1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2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47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177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177" fontId="2" fillId="34" borderId="10" xfId="0" applyNumberFormat="1" applyFont="1" applyFill="1" applyBorder="1" applyAlignment="1">
      <alignment/>
    </xf>
    <xf numFmtId="177" fontId="0" fillId="0" borderId="10" xfId="51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/>
    </xf>
    <xf numFmtId="0" fontId="3" fillId="0" borderId="13" xfId="0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7" fontId="15" fillId="0" borderId="11" xfId="0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 indent="1"/>
    </xf>
    <xf numFmtId="3" fontId="15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77" fontId="15" fillId="0" borderId="13" xfId="51" applyNumberFormat="1" applyFont="1" applyFill="1" applyBorder="1" applyAlignment="1">
      <alignment/>
    </xf>
    <xf numFmtId="179" fontId="1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77" fontId="1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Fill="1" applyBorder="1" applyAlignment="1">
      <alignment horizontal="center" wrapText="1"/>
    </xf>
    <xf numFmtId="1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7" fontId="0" fillId="0" borderId="10" xfId="51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177" fontId="0" fillId="0" borderId="0" xfId="51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5" fontId="20" fillId="0" borderId="0" xfId="0" applyNumberFormat="1" applyFont="1" applyFill="1" applyBorder="1" applyAlignment="1">
      <alignment/>
    </xf>
    <xf numFmtId="177" fontId="2" fillId="0" borderId="10" xfId="51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6" fontId="0" fillId="0" borderId="0" xfId="51" applyFont="1" applyBorder="1" applyAlignment="1">
      <alignment/>
    </xf>
    <xf numFmtId="176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34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 applyProtection="1">
      <alignment horizontal="center"/>
      <protection locked="0"/>
    </xf>
    <xf numFmtId="177" fontId="2" fillId="0" borderId="10" xfId="51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77" fontId="2" fillId="0" borderId="14" xfId="51" applyNumberFormat="1" applyFont="1" applyBorder="1" applyAlignment="1">
      <alignment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10" fontId="2" fillId="34" borderId="15" xfId="0" applyNumberFormat="1" applyFont="1" applyFill="1" applyBorder="1" applyAlignment="1">
      <alignment horizontal="center" wrapText="1"/>
    </xf>
    <xf numFmtId="10" fontId="2" fillId="34" borderId="17" xfId="0" applyNumberFormat="1" applyFont="1" applyFill="1" applyBorder="1" applyAlignment="1">
      <alignment horizontal="center" wrapText="1"/>
    </xf>
    <xf numFmtId="9" fontId="2" fillId="34" borderId="18" xfId="0" applyNumberFormat="1" applyFont="1" applyFill="1" applyBorder="1" applyAlignment="1">
      <alignment horizontal="center" wrapText="1"/>
    </xf>
    <xf numFmtId="10" fontId="2" fillId="34" borderId="19" xfId="0" applyNumberFormat="1" applyFont="1" applyFill="1" applyBorder="1" applyAlignment="1">
      <alignment horizontal="center" wrapText="1"/>
    </xf>
    <xf numFmtId="10" fontId="2" fillId="34" borderId="20" xfId="0" applyNumberFormat="1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15" fontId="0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9" fontId="0" fillId="0" borderId="0" xfId="74" applyFont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76" fontId="0" fillId="0" borderId="0" xfId="51" applyFont="1" applyFill="1" applyAlignment="1">
      <alignment/>
    </xf>
    <xf numFmtId="176" fontId="0" fillId="0" borderId="0" xfId="51" applyFont="1" applyFill="1" applyBorder="1" applyAlignment="1">
      <alignment/>
    </xf>
    <xf numFmtId="177" fontId="0" fillId="0" borderId="0" xfId="51" applyNumberFormat="1" applyFont="1" applyAlignment="1">
      <alignment/>
    </xf>
    <xf numFmtId="0" fontId="15" fillId="0" borderId="21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177" fontId="3" fillId="0" borderId="23" xfId="0" applyNumberFormat="1" applyFont="1" applyFill="1" applyBorder="1" applyAlignment="1">
      <alignment/>
    </xf>
    <xf numFmtId="177" fontId="3" fillId="0" borderId="23" xfId="51" applyNumberFormat="1" applyFont="1" applyFill="1" applyBorder="1" applyAlignment="1">
      <alignment/>
    </xf>
    <xf numFmtId="176" fontId="3" fillId="0" borderId="23" xfId="0" applyNumberFormat="1" applyFont="1" applyFill="1" applyBorder="1" applyAlignment="1">
      <alignment/>
    </xf>
    <xf numFmtId="177" fontId="2" fillId="34" borderId="15" xfId="0" applyNumberFormat="1" applyFont="1" applyFill="1" applyBorder="1" applyAlignment="1">
      <alignment/>
    </xf>
    <xf numFmtId="175" fontId="2" fillId="0" borderId="17" xfId="67" applyFont="1" applyFill="1" applyBorder="1" applyAlignment="1">
      <alignment/>
    </xf>
    <xf numFmtId="176" fontId="0" fillId="0" borderId="0" xfId="51" applyFont="1" applyFill="1" applyAlignment="1">
      <alignment/>
    </xf>
    <xf numFmtId="0" fontId="2" fillId="0" borderId="24" xfId="0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3" fontId="3" fillId="0" borderId="13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75" fontId="2" fillId="35" borderId="17" xfId="67" applyFont="1" applyFill="1" applyBorder="1" applyAlignment="1">
      <alignment/>
    </xf>
    <xf numFmtId="175" fontId="2" fillId="0" borderId="15" xfId="67" applyFont="1" applyFill="1" applyBorder="1" applyAlignment="1">
      <alignment/>
    </xf>
    <xf numFmtId="3" fontId="0" fillId="0" borderId="10" xfId="0" applyNumberFormat="1" applyFont="1" applyFill="1" applyBorder="1" applyAlignment="1">
      <alignment horizontal="left"/>
    </xf>
    <xf numFmtId="177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3" fontId="2" fillId="34" borderId="19" xfId="0" applyNumberFormat="1" applyFont="1" applyFill="1" applyBorder="1" applyAlignment="1">
      <alignment horizontal="right"/>
    </xf>
    <xf numFmtId="0" fontId="2" fillId="34" borderId="2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177" fontId="0" fillId="0" borderId="0" xfId="5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76" fontId="0" fillId="0" borderId="0" xfId="51" applyFont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25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1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left" vertical="center"/>
    </xf>
    <xf numFmtId="15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176" fontId="0" fillId="0" borderId="0" xfId="51" applyFont="1" applyFill="1" applyBorder="1" applyAlignment="1">
      <alignment/>
    </xf>
    <xf numFmtId="177" fontId="0" fillId="0" borderId="0" xfId="51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wrapText="1"/>
    </xf>
    <xf numFmtId="0" fontId="28" fillId="36" borderId="10" xfId="0" applyFont="1" applyFill="1" applyBorder="1" applyAlignment="1">
      <alignment/>
    </xf>
    <xf numFmtId="10" fontId="28" fillId="36" borderId="10" xfId="0" applyNumberFormat="1" applyFont="1" applyFill="1" applyBorder="1" applyAlignment="1">
      <alignment horizontal="center"/>
    </xf>
    <xf numFmtId="177" fontId="28" fillId="36" borderId="10" xfId="51" applyNumberFormat="1" applyFont="1" applyFill="1" applyBorder="1" applyAlignment="1">
      <alignment/>
    </xf>
    <xf numFmtId="10" fontId="28" fillId="36" borderId="10" xfId="0" applyNumberFormat="1" applyFont="1" applyFill="1" applyBorder="1" applyAlignment="1">
      <alignment/>
    </xf>
    <xf numFmtId="184" fontId="2" fillId="34" borderId="17" xfId="67" applyNumberFormat="1" applyFont="1" applyFill="1" applyBorder="1" applyAlignment="1">
      <alignment/>
    </xf>
    <xf numFmtId="0" fontId="15" fillId="35" borderId="22" xfId="0" applyFont="1" applyFill="1" applyBorder="1" applyAlignment="1">
      <alignment horizontal="center"/>
    </xf>
    <xf numFmtId="0" fontId="3" fillId="35" borderId="23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10" fontId="3" fillId="35" borderId="23" xfId="74" applyNumberFormat="1" applyFont="1" applyFill="1" applyBorder="1" applyAlignment="1">
      <alignment/>
    </xf>
    <xf numFmtId="9" fontId="3" fillId="35" borderId="22" xfId="74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15" fillId="35" borderId="0" xfId="0" applyFont="1" applyFill="1" applyBorder="1" applyAlignment="1">
      <alignment horizontal="center"/>
    </xf>
    <xf numFmtId="188" fontId="15" fillId="37" borderId="10" xfId="0" applyNumberFormat="1" applyFont="1" applyFill="1" applyBorder="1" applyAlignment="1">
      <alignment horizontal="center"/>
    </xf>
    <xf numFmtId="0" fontId="15" fillId="37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3" fontId="3" fillId="35" borderId="0" xfId="0" applyNumberFormat="1" applyFont="1" applyFill="1" applyBorder="1" applyAlignment="1">
      <alignment/>
    </xf>
    <xf numFmtId="177" fontId="11" fillId="35" borderId="0" xfId="51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177" fontId="11" fillId="35" borderId="0" xfId="0" applyNumberFormat="1" applyFont="1" applyFill="1" applyBorder="1" applyAlignment="1">
      <alignment/>
    </xf>
    <xf numFmtId="175" fontId="2" fillId="38" borderId="17" xfId="67" applyFont="1" applyFill="1" applyBorder="1" applyAlignment="1">
      <alignment/>
    </xf>
    <xf numFmtId="3" fontId="24" fillId="0" borderId="29" xfId="0" applyNumberFormat="1" applyFont="1" applyFill="1" applyBorder="1" applyAlignment="1">
      <alignment horizontal="centerContinuous"/>
    </xf>
    <xf numFmtId="0" fontId="15" fillId="0" borderId="29" xfId="0" applyFont="1" applyFill="1" applyBorder="1" applyAlignment="1">
      <alignment horizontal="centerContinuous"/>
    </xf>
    <xf numFmtId="0" fontId="24" fillId="0" borderId="29" xfId="0" applyFont="1" applyFill="1" applyBorder="1" applyAlignment="1">
      <alignment horizontal="centerContinuous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0" fontId="0" fillId="0" borderId="0" xfId="74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8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3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176" fontId="1" fillId="0" borderId="0" xfId="51" applyFont="1" applyFill="1" applyAlignment="1">
      <alignment/>
    </xf>
    <xf numFmtId="9" fontId="1" fillId="0" borderId="0" xfId="74" applyFont="1" applyFill="1" applyAlignment="1">
      <alignment/>
    </xf>
    <xf numFmtId="0" fontId="17" fillId="0" borderId="0" xfId="0" applyFont="1" applyFill="1" applyAlignment="1">
      <alignment/>
    </xf>
    <xf numFmtId="177" fontId="0" fillId="35" borderId="10" xfId="51" applyNumberFormat="1" applyFont="1" applyFill="1" applyBorder="1" applyAlignment="1">
      <alignment/>
    </xf>
    <xf numFmtId="177" fontId="0" fillId="35" borderId="0" xfId="0" applyNumberFormat="1" applyFill="1" applyAlignment="1">
      <alignment/>
    </xf>
    <xf numFmtId="0" fontId="2" fillId="35" borderId="0" xfId="0" applyFont="1" applyFill="1" applyBorder="1" applyAlignment="1">
      <alignment horizontal="center" wrapText="1"/>
    </xf>
    <xf numFmtId="0" fontId="0" fillId="35" borderId="1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 wrapText="1"/>
    </xf>
    <xf numFmtId="178" fontId="29" fillId="0" borderId="0" xfId="74" applyNumberFormat="1" applyFont="1" applyFill="1" applyBorder="1" applyAlignment="1">
      <alignment horizontal="center" wrapText="1"/>
    </xf>
    <xf numFmtId="3" fontId="29" fillId="0" borderId="0" xfId="0" applyNumberFormat="1" applyFont="1" applyFill="1" applyBorder="1" applyAlignment="1">
      <alignment horizontal="right"/>
    </xf>
    <xf numFmtId="177" fontId="20" fillId="0" borderId="0" xfId="51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177" fontId="29" fillId="0" borderId="0" xfId="51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3" fontId="2" fillId="35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/>
    </xf>
    <xf numFmtId="177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7" fontId="0" fillId="0" borderId="0" xfId="5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176" fontId="0" fillId="0" borderId="0" xfId="51" applyFont="1" applyFill="1" applyBorder="1" applyAlignment="1">
      <alignment horizontal="right" wrapText="1"/>
    </xf>
    <xf numFmtId="176" fontId="22" fillId="0" borderId="0" xfId="5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wrapText="1"/>
    </xf>
    <xf numFmtId="177" fontId="0" fillId="0" borderId="0" xfId="0" applyNumberFormat="1" applyFont="1" applyFill="1" applyBorder="1" applyAlignment="1">
      <alignment horizontal="right" wrapText="1"/>
    </xf>
    <xf numFmtId="177" fontId="11" fillId="35" borderId="0" xfId="51" applyNumberFormat="1" applyFont="1" applyFill="1" applyAlignment="1">
      <alignment/>
    </xf>
    <xf numFmtId="177" fontId="3" fillId="35" borderId="0" xfId="51" applyNumberFormat="1" applyFont="1" applyFill="1" applyBorder="1" applyAlignment="1">
      <alignment/>
    </xf>
    <xf numFmtId="177" fontId="0" fillId="35" borderId="0" xfId="51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0" fillId="0" borderId="0" xfId="51" applyNumberFormat="1" applyFont="1" applyFill="1" applyAlignment="1">
      <alignment/>
    </xf>
    <xf numFmtId="0" fontId="2" fillId="0" borderId="0" xfId="0" applyFont="1" applyFill="1" applyAlignment="1">
      <alignment/>
    </xf>
    <xf numFmtId="37" fontId="3" fillId="0" borderId="11" xfId="0" applyNumberFormat="1" applyFont="1" applyFill="1" applyBorder="1" applyAlignment="1">
      <alignment horizontal="left"/>
    </xf>
    <xf numFmtId="37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15" fillId="0" borderId="34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 wrapText="1"/>
    </xf>
    <xf numFmtId="177" fontId="3" fillId="0" borderId="23" xfId="51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177" fontId="3" fillId="0" borderId="22" xfId="51" applyNumberFormat="1" applyFont="1" applyFill="1" applyBorder="1" applyAlignment="1">
      <alignment horizontal="center"/>
    </xf>
    <xf numFmtId="177" fontId="3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177" fontId="0" fillId="35" borderId="0" xfId="51" applyNumberFormat="1" applyFont="1" applyFill="1" applyBorder="1" applyAlignment="1">
      <alignment horizontal="right"/>
    </xf>
    <xf numFmtId="10" fontId="15" fillId="38" borderId="23" xfId="74" applyNumberFormat="1" applyFont="1" applyFill="1" applyBorder="1" applyAlignment="1">
      <alignment/>
    </xf>
    <xf numFmtId="179" fontId="15" fillId="35" borderId="22" xfId="66" applyNumberFormat="1" applyFont="1" applyFill="1" applyBorder="1" applyAlignment="1">
      <alignment horizontal="center"/>
    </xf>
    <xf numFmtId="177" fontId="3" fillId="35" borderId="36" xfId="65" applyNumberFormat="1" applyFont="1" applyFill="1" applyBorder="1" applyAlignment="1">
      <alignment/>
    </xf>
    <xf numFmtId="179" fontId="15" fillId="35" borderId="37" xfId="66" applyNumberFormat="1" applyFont="1" applyFill="1" applyBorder="1" applyAlignment="1">
      <alignment/>
    </xf>
    <xf numFmtId="177" fontId="15" fillId="35" borderId="36" xfId="65" applyNumberFormat="1" applyFont="1" applyFill="1" applyBorder="1" applyAlignment="1">
      <alignment/>
    </xf>
    <xf numFmtId="177" fontId="3" fillId="35" borderId="36" xfId="74" applyNumberFormat="1" applyFont="1" applyFill="1" applyBorder="1" applyAlignment="1">
      <alignment/>
    </xf>
    <xf numFmtId="177" fontId="3" fillId="35" borderId="38" xfId="65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3" fontId="15" fillId="35" borderId="13" xfId="0" applyNumberFormat="1" applyFont="1" applyFill="1" applyBorder="1" applyAlignment="1">
      <alignment/>
    </xf>
    <xf numFmtId="3" fontId="16" fillId="35" borderId="13" xfId="0" applyNumberFormat="1" applyFont="1" applyFill="1" applyBorder="1" applyAlignment="1">
      <alignment/>
    </xf>
    <xf numFmtId="177" fontId="3" fillId="35" borderId="13" xfId="51" applyNumberFormat="1" applyFont="1" applyFill="1" applyBorder="1" applyAlignment="1">
      <alignment/>
    </xf>
    <xf numFmtId="3" fontId="3" fillId="35" borderId="13" xfId="0" applyNumberFormat="1" applyFont="1" applyFill="1" applyBorder="1" applyAlignment="1">
      <alignment/>
    </xf>
    <xf numFmtId="0" fontId="15" fillId="35" borderId="0" xfId="0" applyFont="1" applyFill="1" applyAlignment="1">
      <alignment/>
    </xf>
    <xf numFmtId="0" fontId="2" fillId="34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9" fontId="64" fillId="39" borderId="22" xfId="74" applyNumberFormat="1" applyFont="1" applyFill="1" applyBorder="1" applyAlignment="1">
      <alignment/>
    </xf>
    <xf numFmtId="10" fontId="64" fillId="39" borderId="23" xfId="74" applyNumberFormat="1" applyFont="1" applyFill="1" applyBorder="1" applyAlignment="1">
      <alignment/>
    </xf>
    <xf numFmtId="3" fontId="3" fillId="39" borderId="13" xfId="0" applyNumberFormat="1" applyFont="1" applyFill="1" applyBorder="1" applyAlignment="1">
      <alignment/>
    </xf>
    <xf numFmtId="0" fontId="15" fillId="0" borderId="27" xfId="0" applyFont="1" applyFill="1" applyBorder="1" applyAlignment="1">
      <alignment horizontal="center"/>
    </xf>
    <xf numFmtId="177" fontId="3" fillId="0" borderId="39" xfId="51" applyNumberFormat="1" applyFont="1" applyFill="1" applyBorder="1" applyAlignment="1">
      <alignment/>
    </xf>
    <xf numFmtId="177" fontId="3" fillId="0" borderId="22" xfId="51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177" fontId="15" fillId="0" borderId="22" xfId="51" applyNumberFormat="1" applyFont="1" applyFill="1" applyBorder="1" applyAlignment="1">
      <alignment horizontal="center"/>
    </xf>
    <xf numFmtId="0" fontId="15" fillId="0" borderId="35" xfId="0" applyFont="1" applyFill="1" applyBorder="1" applyAlignment="1">
      <alignment/>
    </xf>
    <xf numFmtId="177" fontId="3" fillId="0" borderId="40" xfId="51" applyNumberFormat="1" applyFont="1" applyFill="1" applyBorder="1" applyAlignment="1">
      <alignment/>
    </xf>
    <xf numFmtId="0" fontId="15" fillId="0" borderId="41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177" fontId="3" fillId="0" borderId="13" xfId="51" applyNumberFormat="1" applyFont="1" applyFill="1" applyBorder="1" applyAlignment="1">
      <alignment/>
    </xf>
    <xf numFmtId="177" fontId="15" fillId="0" borderId="13" xfId="51" applyNumberFormat="1" applyFont="1" applyFill="1" applyBorder="1" applyAlignment="1">
      <alignment/>
    </xf>
    <xf numFmtId="37" fontId="15" fillId="0" borderId="11" xfId="0" applyNumberFormat="1" applyFont="1" applyFill="1" applyBorder="1" applyAlignment="1">
      <alignment horizontal="left" wrapText="1"/>
    </xf>
    <xf numFmtId="37" fontId="15" fillId="0" borderId="11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7" fontId="15" fillId="0" borderId="13" xfId="0" applyNumberFormat="1" applyFont="1" applyFill="1" applyBorder="1" applyAlignment="1">
      <alignment/>
    </xf>
    <xf numFmtId="177" fontId="15" fillId="0" borderId="13" xfId="54" applyNumberFormat="1" applyFont="1" applyFill="1" applyBorder="1" applyAlignment="1">
      <alignment/>
    </xf>
    <xf numFmtId="177" fontId="3" fillId="0" borderId="13" xfId="54" applyNumberFormat="1" applyFont="1" applyFill="1" applyBorder="1" applyAlignment="1">
      <alignment/>
    </xf>
    <xf numFmtId="177" fontId="15" fillId="0" borderId="13" xfId="54" applyNumberFormat="1" applyFont="1" applyFill="1" applyBorder="1" applyAlignment="1">
      <alignment/>
    </xf>
    <xf numFmtId="37" fontId="15" fillId="0" borderId="11" xfId="0" applyNumberFormat="1" applyFont="1" applyFill="1" applyBorder="1" applyAlignment="1">
      <alignment/>
    </xf>
    <xf numFmtId="177" fontId="0" fillId="0" borderId="10" xfId="51" applyNumberFormat="1" applyFont="1" applyFill="1" applyBorder="1" applyAlignment="1">
      <alignment horizontal="right"/>
    </xf>
    <xf numFmtId="177" fontId="0" fillId="0" borderId="1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42" xfId="0" applyFont="1" applyFill="1" applyBorder="1" applyAlignment="1">
      <alignment horizontal="left" indent="1"/>
    </xf>
    <xf numFmtId="0" fontId="15" fillId="8" borderId="11" xfId="0" applyFont="1" applyFill="1" applyBorder="1" applyAlignment="1">
      <alignment wrapText="1"/>
    </xf>
    <xf numFmtId="3" fontId="15" fillId="8" borderId="13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0" fontId="3" fillId="39" borderId="11" xfId="0" applyFont="1" applyFill="1" applyBorder="1" applyAlignment="1">
      <alignment horizontal="left" indent="1"/>
    </xf>
    <xf numFmtId="37" fontId="15" fillId="39" borderId="11" xfId="0" applyNumberFormat="1" applyFont="1" applyFill="1" applyBorder="1" applyAlignment="1">
      <alignment/>
    </xf>
    <xf numFmtId="3" fontId="0" fillId="39" borderId="0" xfId="0" applyNumberFormat="1" applyFill="1" applyAlignment="1">
      <alignment/>
    </xf>
    <xf numFmtId="0" fontId="0" fillId="39" borderId="0" xfId="0" applyFill="1" applyAlignment="1">
      <alignment/>
    </xf>
    <xf numFmtId="0" fontId="0" fillId="39" borderId="10" xfId="0" applyFont="1" applyFill="1" applyBorder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39" borderId="25" xfId="0" applyFont="1" applyFill="1" applyBorder="1" applyAlignment="1">
      <alignment horizontal="left"/>
    </xf>
    <xf numFmtId="3" fontId="0" fillId="39" borderId="10" xfId="0" applyNumberFormat="1" applyFont="1" applyFill="1" applyBorder="1" applyAlignment="1">
      <alignment horizontal="left"/>
    </xf>
    <xf numFmtId="0" fontId="0" fillId="39" borderId="0" xfId="0" applyFont="1" applyFill="1" applyBorder="1" applyAlignment="1">
      <alignment horizontal="left"/>
    </xf>
    <xf numFmtId="3" fontId="2" fillId="39" borderId="10" xfId="0" applyNumberFormat="1" applyFont="1" applyFill="1" applyBorder="1" applyAlignment="1">
      <alignment horizontal="right"/>
    </xf>
    <xf numFmtId="176" fontId="20" fillId="0" borderId="0" xfId="51" applyFont="1" applyFill="1" applyBorder="1" applyAlignment="1">
      <alignment horizontal="right" wrapText="1"/>
    </xf>
    <xf numFmtId="177" fontId="0" fillId="39" borderId="10" xfId="51" applyNumberFormat="1" applyFont="1" applyFill="1" applyBorder="1" applyAlignment="1">
      <alignment horizontal="right"/>
    </xf>
    <xf numFmtId="177" fontId="0" fillId="39" borderId="10" xfId="51" applyNumberFormat="1" applyFont="1" applyFill="1" applyBorder="1" applyAlignment="1">
      <alignment horizontal="right"/>
    </xf>
    <xf numFmtId="0" fontId="2" fillId="39" borderId="0" xfId="0" applyFont="1" applyFill="1" applyBorder="1" applyAlignment="1">
      <alignment horizontal="center" wrapText="1"/>
    </xf>
    <xf numFmtId="177" fontId="2" fillId="39" borderId="10" xfId="51" applyNumberFormat="1" applyFont="1" applyFill="1" applyBorder="1" applyAlignment="1">
      <alignment horizontal="right"/>
    </xf>
    <xf numFmtId="0" fontId="3" fillId="39" borderId="42" xfId="0" applyFont="1" applyFill="1" applyBorder="1" applyAlignment="1">
      <alignment horizontal="left" indent="1"/>
    </xf>
    <xf numFmtId="0" fontId="6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177" fontId="3" fillId="35" borderId="0" xfId="65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7" fontId="3" fillId="35" borderId="0" xfId="65" applyNumberFormat="1" applyFont="1" applyFill="1" applyBorder="1" applyAlignment="1">
      <alignment/>
    </xf>
    <xf numFmtId="177" fontId="3" fillId="35" borderId="43" xfId="65" applyNumberFormat="1" applyFont="1" applyFill="1" applyBorder="1" applyAlignment="1">
      <alignment/>
    </xf>
    <xf numFmtId="177" fontId="3" fillId="0" borderId="39" xfId="54" applyNumberFormat="1" applyFont="1" applyFill="1" applyBorder="1" applyAlignment="1">
      <alignment/>
    </xf>
    <xf numFmtId="37" fontId="3" fillId="39" borderId="11" xfId="0" applyNumberFormat="1" applyFont="1" applyFill="1" applyBorder="1" applyAlignment="1">
      <alignment horizontal="left"/>
    </xf>
    <xf numFmtId="37" fontId="15" fillId="39" borderId="11" xfId="0" applyNumberFormat="1" applyFont="1" applyFill="1" applyBorder="1" applyAlignment="1">
      <alignment horizontal="left"/>
    </xf>
    <xf numFmtId="37" fontId="3" fillId="39" borderId="11" xfId="0" applyNumberFormat="1" applyFont="1" applyFill="1" applyBorder="1" applyAlignment="1">
      <alignment/>
    </xf>
    <xf numFmtId="37" fontId="3" fillId="39" borderId="11" xfId="0" applyNumberFormat="1" applyFont="1" applyFill="1" applyBorder="1" applyAlignment="1">
      <alignment horizontal="left"/>
    </xf>
    <xf numFmtId="177" fontId="3" fillId="39" borderId="36" xfId="65" applyNumberFormat="1" applyFont="1" applyFill="1" applyBorder="1" applyAlignment="1">
      <alignment/>
    </xf>
    <xf numFmtId="179" fontId="15" fillId="39" borderId="37" xfId="66" applyNumberFormat="1" applyFont="1" applyFill="1" applyBorder="1" applyAlignment="1">
      <alignment/>
    </xf>
    <xf numFmtId="177" fontId="15" fillId="39" borderId="36" xfId="65" applyNumberFormat="1" applyFont="1" applyFill="1" applyBorder="1" applyAlignment="1">
      <alignment/>
    </xf>
    <xf numFmtId="177" fontId="3" fillId="39" borderId="36" xfId="74" applyNumberFormat="1" applyFont="1" applyFill="1" applyBorder="1" applyAlignment="1">
      <alignment/>
    </xf>
    <xf numFmtId="177" fontId="3" fillId="39" borderId="38" xfId="65" applyNumberFormat="1" applyFont="1" applyFill="1" applyBorder="1" applyAlignment="1">
      <alignment/>
    </xf>
    <xf numFmtId="3" fontId="15" fillId="39" borderId="13" xfId="0" applyNumberFormat="1" applyFont="1" applyFill="1" applyBorder="1" applyAlignment="1">
      <alignment/>
    </xf>
    <xf numFmtId="3" fontId="3" fillId="39" borderId="13" xfId="0" applyNumberFormat="1" applyFont="1" applyFill="1" applyBorder="1" applyAlignment="1">
      <alignment/>
    </xf>
    <xf numFmtId="3" fontId="15" fillId="39" borderId="13" xfId="0" applyNumberFormat="1" applyFont="1" applyFill="1" applyBorder="1" applyAlignment="1">
      <alignment/>
    </xf>
    <xf numFmtId="0" fontId="3" fillId="39" borderId="11" xfId="0" applyFont="1" applyFill="1" applyBorder="1" applyAlignment="1">
      <alignment horizontal="left" indent="1"/>
    </xf>
    <xf numFmtId="0" fontId="3" fillId="39" borderId="44" xfId="0" applyFont="1" applyFill="1" applyBorder="1" applyAlignment="1">
      <alignment horizontal="left" indent="1"/>
    </xf>
    <xf numFmtId="0" fontId="3" fillId="39" borderId="44" xfId="0" applyFont="1" applyFill="1" applyBorder="1" applyAlignment="1">
      <alignment horizontal="left" indent="1"/>
    </xf>
    <xf numFmtId="3" fontId="3" fillId="39" borderId="13" xfId="0" applyNumberFormat="1" applyFont="1" applyFill="1" applyBorder="1" applyAlignment="1">
      <alignment/>
    </xf>
    <xf numFmtId="0" fontId="3" fillId="39" borderId="13" xfId="0" applyFont="1" applyFill="1" applyBorder="1" applyAlignment="1">
      <alignment/>
    </xf>
    <xf numFmtId="177" fontId="3" fillId="39" borderId="13" xfId="51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  <xf numFmtId="15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wrapText="1"/>
    </xf>
    <xf numFmtId="3" fontId="2" fillId="40" borderId="10" xfId="0" applyNumberFormat="1" applyFont="1" applyFill="1" applyBorder="1" applyAlignment="1" applyProtection="1">
      <alignment horizontal="right"/>
      <protection locked="0"/>
    </xf>
    <xf numFmtId="177" fontId="0" fillId="40" borderId="10" xfId="51" applyNumberFormat="1" applyFont="1" applyFill="1" applyBorder="1" applyAlignment="1">
      <alignment horizontal="right"/>
    </xf>
    <xf numFmtId="177" fontId="0" fillId="40" borderId="0" xfId="51" applyNumberFormat="1" applyFont="1" applyFill="1" applyBorder="1" applyAlignment="1">
      <alignment horizontal="right"/>
    </xf>
    <xf numFmtId="3" fontId="2" fillId="40" borderId="10" xfId="0" applyNumberFormat="1" applyFont="1" applyFill="1" applyBorder="1" applyAlignment="1">
      <alignment horizontal="right" vertical="center"/>
    </xf>
    <xf numFmtId="177" fontId="2" fillId="40" borderId="10" xfId="51" applyNumberFormat="1" applyFont="1" applyFill="1" applyBorder="1" applyAlignment="1">
      <alignment horizontal="right"/>
    </xf>
    <xf numFmtId="3" fontId="2" fillId="40" borderId="10" xfId="0" applyNumberFormat="1" applyFont="1" applyFill="1" applyBorder="1" applyAlignment="1">
      <alignment horizontal="right"/>
    </xf>
    <xf numFmtId="0" fontId="0" fillId="40" borderId="0" xfId="0" applyFont="1" applyFill="1" applyAlignment="1">
      <alignment horizontal="right"/>
    </xf>
    <xf numFmtId="177" fontId="0" fillId="40" borderId="10" xfId="51" applyNumberFormat="1" applyFont="1" applyFill="1" applyBorder="1" applyAlignment="1">
      <alignment horizontal="right"/>
    </xf>
    <xf numFmtId="177" fontId="6" fillId="0" borderId="0" xfId="51" applyNumberFormat="1" applyFont="1" applyAlignment="1">
      <alignment/>
    </xf>
    <xf numFmtId="177" fontId="6" fillId="0" borderId="0" xfId="51" applyNumberFormat="1" applyFont="1" applyFill="1" applyAlignment="1">
      <alignment/>
    </xf>
    <xf numFmtId="177" fontId="15" fillId="35" borderId="22" xfId="51" applyNumberFormat="1" applyFont="1" applyFill="1" applyBorder="1" applyAlignment="1">
      <alignment horizontal="right"/>
    </xf>
    <xf numFmtId="177" fontId="3" fillId="35" borderId="36" xfId="51" applyNumberFormat="1" applyFont="1" applyFill="1" applyBorder="1" applyAlignment="1">
      <alignment horizontal="right"/>
    </xf>
    <xf numFmtId="177" fontId="15" fillId="35" borderId="37" xfId="51" applyNumberFormat="1" applyFont="1" applyFill="1" applyBorder="1" applyAlignment="1">
      <alignment horizontal="right"/>
    </xf>
    <xf numFmtId="177" fontId="15" fillId="35" borderId="36" xfId="51" applyNumberFormat="1" applyFont="1" applyFill="1" applyBorder="1" applyAlignment="1">
      <alignment horizontal="right"/>
    </xf>
    <xf numFmtId="177" fontId="3" fillId="35" borderId="38" xfId="51" applyNumberFormat="1" applyFont="1" applyFill="1" applyBorder="1" applyAlignment="1">
      <alignment horizontal="right"/>
    </xf>
    <xf numFmtId="0" fontId="15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/>
    </xf>
    <xf numFmtId="3" fontId="15" fillId="0" borderId="46" xfId="0" applyNumberFormat="1" applyFont="1" applyFill="1" applyBorder="1" applyAlignment="1">
      <alignment/>
    </xf>
    <xf numFmtId="3" fontId="3" fillId="35" borderId="46" xfId="0" applyNumberFormat="1" applyFont="1" applyFill="1" applyBorder="1" applyAlignment="1">
      <alignment/>
    </xf>
    <xf numFmtId="3" fontId="15" fillId="0" borderId="46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39" borderId="46" xfId="0" applyNumberFormat="1" applyFont="1" applyFill="1" applyBorder="1" applyAlignment="1">
      <alignment/>
    </xf>
    <xf numFmtId="177" fontId="15" fillId="0" borderId="46" xfId="54" applyNumberFormat="1" applyFont="1" applyFill="1" applyBorder="1" applyAlignment="1">
      <alignment/>
    </xf>
    <xf numFmtId="177" fontId="3" fillId="0" borderId="46" xfId="54" applyNumberFormat="1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9" fontId="15" fillId="0" borderId="48" xfId="75" applyNumberFormat="1" applyFont="1" applyFill="1" applyBorder="1" applyAlignment="1">
      <alignment/>
    </xf>
    <xf numFmtId="9" fontId="15" fillId="0" borderId="48" xfId="74" applyFont="1" applyFill="1" applyBorder="1" applyAlignment="1">
      <alignment/>
    </xf>
    <xf numFmtId="9" fontId="15" fillId="0" borderId="49" xfId="74" applyFont="1" applyFill="1" applyBorder="1" applyAlignment="1">
      <alignment/>
    </xf>
    <xf numFmtId="179" fontId="15" fillId="0" borderId="0" xfId="0" applyNumberFormat="1" applyFont="1" applyFill="1" applyBorder="1" applyAlignment="1">
      <alignment horizontal="center"/>
    </xf>
    <xf numFmtId="9" fontId="15" fillId="8" borderId="48" xfId="74" applyFont="1" applyFill="1" applyBorder="1" applyAlignment="1">
      <alignment/>
    </xf>
    <xf numFmtId="177" fontId="3" fillId="0" borderId="36" xfId="51" applyNumberFormat="1" applyFont="1" applyFill="1" applyBorder="1" applyAlignment="1">
      <alignment horizontal="right"/>
    </xf>
    <xf numFmtId="177" fontId="15" fillId="0" borderId="36" xfId="51" applyNumberFormat="1" applyFont="1" applyFill="1" applyBorder="1" applyAlignment="1">
      <alignment horizontal="right"/>
    </xf>
    <xf numFmtId="177" fontId="3" fillId="0" borderId="38" xfId="51" applyNumberFormat="1" applyFont="1" applyFill="1" applyBorder="1" applyAlignment="1">
      <alignment horizontal="right"/>
    </xf>
    <xf numFmtId="9" fontId="3" fillId="0" borderId="48" xfId="75" applyNumberFormat="1" applyFont="1" applyFill="1" applyBorder="1" applyAlignment="1">
      <alignment/>
    </xf>
    <xf numFmtId="9" fontId="3" fillId="0" borderId="48" xfId="74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30" fillId="0" borderId="0" xfId="0" applyFont="1" applyAlignment="1">
      <alignment vertical="center"/>
    </xf>
    <xf numFmtId="9" fontId="3" fillId="39" borderId="48" xfId="74" applyFont="1" applyFill="1" applyBorder="1" applyAlignment="1">
      <alignment/>
    </xf>
    <xf numFmtId="3" fontId="0" fillId="41" borderId="0" xfId="0" applyNumberFormat="1" applyFont="1" applyFill="1" applyAlignment="1">
      <alignment/>
    </xf>
    <xf numFmtId="174" fontId="3" fillId="0" borderId="50" xfId="0" applyNumberFormat="1" applyFont="1" applyFill="1" applyBorder="1" applyAlignment="1">
      <alignment/>
    </xf>
    <xf numFmtId="174" fontId="15" fillId="0" borderId="50" xfId="0" applyNumberFormat="1" applyFont="1" applyFill="1" applyBorder="1" applyAlignment="1">
      <alignment/>
    </xf>
    <xf numFmtId="9" fontId="15" fillId="0" borderId="48" xfId="74" applyNumberFormat="1" applyFont="1" applyFill="1" applyBorder="1" applyAlignment="1">
      <alignment/>
    </xf>
    <xf numFmtId="0" fontId="15" fillId="0" borderId="51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left"/>
    </xf>
    <xf numFmtId="9" fontId="15" fillId="35" borderId="53" xfId="74" applyNumberFormat="1" applyFont="1" applyFill="1" applyBorder="1" applyAlignment="1">
      <alignment horizontal="right"/>
    </xf>
    <xf numFmtId="0" fontId="3" fillId="0" borderId="54" xfId="0" applyFont="1" applyFill="1" applyBorder="1" applyAlignment="1">
      <alignment/>
    </xf>
    <xf numFmtId="9" fontId="3" fillId="35" borderId="55" xfId="51" applyNumberFormat="1" applyFont="1" applyFill="1" applyBorder="1" applyAlignment="1">
      <alignment horizontal="right"/>
    </xf>
    <xf numFmtId="0" fontId="15" fillId="0" borderId="56" xfId="0" applyFont="1" applyFill="1" applyBorder="1" applyAlignment="1">
      <alignment/>
    </xf>
    <xf numFmtId="9" fontId="15" fillId="35" borderId="57" xfId="74" applyNumberFormat="1" applyFont="1" applyFill="1" applyBorder="1" applyAlignment="1">
      <alignment horizontal="right"/>
    </xf>
    <xf numFmtId="9" fontId="3" fillId="35" borderId="55" xfId="74" applyNumberFormat="1" applyFont="1" applyFill="1" applyBorder="1" applyAlignment="1">
      <alignment horizontal="right"/>
    </xf>
    <xf numFmtId="0" fontId="15" fillId="0" borderId="54" xfId="0" applyFont="1" applyFill="1" applyBorder="1" applyAlignment="1">
      <alignment/>
    </xf>
    <xf numFmtId="9" fontId="15" fillId="35" borderId="55" xfId="74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/>
    </xf>
    <xf numFmtId="9" fontId="3" fillId="35" borderId="59" xfId="74" applyNumberFormat="1" applyFont="1" applyFill="1" applyBorder="1" applyAlignment="1">
      <alignment horizontal="right"/>
    </xf>
    <xf numFmtId="0" fontId="15" fillId="0" borderId="60" xfId="0" applyFont="1" applyFill="1" applyBorder="1" applyAlignment="1">
      <alignment/>
    </xf>
    <xf numFmtId="177" fontId="15" fillId="35" borderId="61" xfId="0" applyNumberFormat="1" applyFont="1" applyFill="1" applyBorder="1" applyAlignment="1">
      <alignment/>
    </xf>
    <xf numFmtId="177" fontId="15" fillId="39" borderId="61" xfId="0" applyNumberFormat="1" applyFont="1" applyFill="1" applyBorder="1" applyAlignment="1">
      <alignment/>
    </xf>
    <xf numFmtId="177" fontId="15" fillId="35" borderId="61" xfId="51" applyNumberFormat="1" applyFont="1" applyFill="1" applyBorder="1" applyAlignment="1">
      <alignment horizontal="right"/>
    </xf>
    <xf numFmtId="9" fontId="15" fillId="35" borderId="62" xfId="74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77" fontId="15" fillId="0" borderId="63" xfId="51" applyNumberFormat="1" applyFont="1" applyFill="1" applyBorder="1" applyAlignment="1">
      <alignment horizontal="center" vertical="center"/>
    </xf>
    <xf numFmtId="177" fontId="15" fillId="0" borderId="64" xfId="51" applyNumberFormat="1" applyFont="1" applyFill="1" applyBorder="1" applyAlignment="1">
      <alignment horizontal="center" vertical="center"/>
    </xf>
    <xf numFmtId="177" fontId="15" fillId="0" borderId="65" xfId="51" applyNumberFormat="1" applyFont="1" applyFill="1" applyBorder="1" applyAlignment="1">
      <alignment horizontal="center" vertical="center"/>
    </xf>
    <xf numFmtId="177" fontId="15" fillId="0" borderId="51" xfId="51" applyNumberFormat="1" applyFont="1" applyFill="1" applyBorder="1" applyAlignment="1">
      <alignment horizontal="center" vertical="center"/>
    </xf>
    <xf numFmtId="177" fontId="15" fillId="0" borderId="34" xfId="51" applyNumberFormat="1" applyFont="1" applyFill="1" applyBorder="1" applyAlignment="1">
      <alignment horizontal="center" vertical="center"/>
    </xf>
    <xf numFmtId="177" fontId="15" fillId="0" borderId="23" xfId="51" applyNumberFormat="1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0" fontId="0" fillId="0" borderId="69" xfId="0" applyFont="1" applyFill="1" applyBorder="1" applyAlignment="1">
      <alignment horizontal="left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6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right"/>
    </xf>
    <xf numFmtId="0" fontId="15" fillId="34" borderId="22" xfId="0" applyFont="1" applyFill="1" applyBorder="1" applyAlignment="1">
      <alignment horizontal="center" wrapText="1"/>
    </xf>
    <xf numFmtId="0" fontId="15" fillId="34" borderId="23" xfId="0" applyFont="1" applyFill="1" applyBorder="1" applyAlignment="1">
      <alignment horizontal="center" wrapText="1"/>
    </xf>
    <xf numFmtId="0" fontId="15" fillId="34" borderId="22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15" fillId="34" borderId="40" xfId="0" applyFont="1" applyFill="1" applyBorder="1" applyAlignment="1">
      <alignment horizontal="center"/>
    </xf>
    <xf numFmtId="175" fontId="2" fillId="34" borderId="27" xfId="67" applyFont="1" applyFill="1" applyBorder="1" applyAlignment="1">
      <alignment horizontal="center"/>
    </xf>
    <xf numFmtId="175" fontId="2" fillId="34" borderId="41" xfId="67" applyFont="1" applyFill="1" applyBorder="1" applyAlignment="1">
      <alignment horizontal="center"/>
    </xf>
    <xf numFmtId="175" fontId="2" fillId="34" borderId="28" xfId="67" applyFont="1" applyFill="1" applyBorder="1" applyAlignment="1">
      <alignment horizontal="center"/>
    </xf>
    <xf numFmtId="175" fontId="2" fillId="34" borderId="39" xfId="67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justify" wrapText="1"/>
    </xf>
    <xf numFmtId="0" fontId="2" fillId="34" borderId="23" xfId="0" applyFont="1" applyFill="1" applyBorder="1" applyAlignment="1">
      <alignment horizontal="center" vertical="justify" wrapText="1"/>
    </xf>
    <xf numFmtId="0" fontId="2" fillId="34" borderId="17" xfId="0" applyFont="1" applyFill="1" applyBorder="1" applyAlignment="1">
      <alignment horizontal="center"/>
    </xf>
    <xf numFmtId="177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4" borderId="70" xfId="0" applyFont="1" applyFill="1" applyBorder="1" applyAlignment="1">
      <alignment horizontal="center" vertical="justify" wrapText="1"/>
    </xf>
    <xf numFmtId="0" fontId="2" fillId="34" borderId="71" xfId="0" applyFont="1" applyFill="1" applyBorder="1" applyAlignment="1">
      <alignment horizontal="center" vertical="justify" wrapText="1"/>
    </xf>
    <xf numFmtId="0" fontId="19" fillId="0" borderId="0" xfId="0" applyFont="1" applyAlignment="1">
      <alignment horizontal="center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40% - Énfšsis3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4 2" xfId="57"/>
    <cellStyle name="Millares 4 2 2" xfId="58"/>
    <cellStyle name="Millares 5" xfId="59"/>
    <cellStyle name="Millares 6" xfId="60"/>
    <cellStyle name="Millares 7" xfId="61"/>
    <cellStyle name="Millares 7 2" xfId="62"/>
    <cellStyle name="Millares 8" xfId="63"/>
    <cellStyle name="Millares 9" xfId="64"/>
    <cellStyle name="Millares_Formato Presupuesto Minagricultura" xfId="65"/>
    <cellStyle name="Millares_INGRESOS 2005" xfId="66"/>
    <cellStyle name="Currency" xfId="67"/>
    <cellStyle name="Currency [0]" xfId="68"/>
    <cellStyle name="Moneda 2" xfId="69"/>
    <cellStyle name="Moneda 3" xfId="70"/>
    <cellStyle name="Neutral" xfId="71"/>
    <cellStyle name="Normal 2" xfId="72"/>
    <cellStyle name="Notas" xfId="73"/>
    <cellStyle name="Percent" xfId="74"/>
    <cellStyle name="Porcentaje 2" xfId="75"/>
    <cellStyle name="Porcentual 2" xfId="76"/>
    <cellStyle name="Porcentual 2 2" xfId="77"/>
    <cellStyle name="Porcentual 3" xfId="78"/>
    <cellStyle name="Porcentual 3 2" xfId="79"/>
    <cellStyle name="Porcentual 4" xfId="80"/>
    <cellStyle name="Porcentual 5" xfId="81"/>
    <cellStyle name="Porcentual 6" xfId="82"/>
    <cellStyle name="Porcentual 6 2" xfId="83"/>
    <cellStyle name="Porcentual 7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ntrol%20Previo\A&#241;o2007\MANEJO%20PPTO%202007\PRESUPUESTO%202007%20ESTIM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efeControlRegional\Presupuesto%202008\Presupuesto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ppc%20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PTO%20FONDO%202010\Presupuesto%202010%20versi&#243;n%203\PRESUPUESTO%2010%203a%20%20versi&#243;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1\Presentaciones\COMITES%20PPC\DESPACHOS%20BIOLOGICO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2\Presupuesto%202012%20versi&#243;n%202\Desagregado%20Investigaci&#243;n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&#241;o%202012\Presupuesto%202012%20versi&#243;n%202\Desagregado%20Econ&#243;mica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ACUERDO%202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  <sheetName val="FUN"/>
      <sheetName val="PPC"/>
      <sheetName val="ECO"/>
      <sheetName val="TEC"/>
      <sheetName val="MER"/>
    </sheetNames>
    <sheetDataSet>
      <sheetData sheetId="0">
        <row r="27">
          <cell r="J27">
            <v>49600000</v>
          </cell>
        </row>
        <row r="34">
          <cell r="J34">
            <v>62130000</v>
          </cell>
        </row>
        <row r="35">
          <cell r="J35">
            <v>84000000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4">
        <row r="86">
          <cell r="B86">
            <v>117000000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CO"/>
      <sheetName val="Agregado"/>
      <sheetName val="Desagregado"/>
      <sheetName val="Gastos Generales"/>
      <sheetName val="Regionalizado"/>
      <sheetName val="Ejecución"/>
      <sheetName val="Hoja1"/>
      <sheetName val="Hoja2"/>
      <sheetName val="Hoja3"/>
      <sheetName val="Hoja4"/>
      <sheetName val="Hoja5"/>
      <sheetName val="Hoja6"/>
    </sheetNames>
    <sheetDataSet>
      <sheetData sheetId="1">
        <row r="9">
          <cell r="C9">
            <v>12000000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es"/>
      <sheetName val="Inversión"/>
      <sheetName val="Supuestos"/>
      <sheetName val="IAT 1"/>
      <sheetName val="IAT 2"/>
    </sheetNames>
    <sheetDataSet>
      <sheetData sheetId="0">
        <row r="11">
          <cell r="D11">
            <v>400000</v>
          </cell>
        </row>
        <row r="24">
          <cell r="D24">
            <v>3500000</v>
          </cell>
        </row>
      </sheetData>
      <sheetData sheetId="1">
        <row r="31">
          <cell r="D31">
            <v>50000000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2"/>
    </sheetNames>
    <sheetDataSet>
      <sheetData sheetId="2">
        <row r="38">
          <cell r="B38">
            <v>267457969.51070824</v>
          </cell>
          <cell r="C38">
            <v>80058815.38500342</v>
          </cell>
          <cell r="D38">
            <v>53681109.94821446</v>
          </cell>
          <cell r="E38">
            <v>322616362.0612663</v>
          </cell>
          <cell r="F38">
            <v>88221347.52169873</v>
          </cell>
          <cell r="H38">
            <v>228032753.63090885</v>
          </cell>
        </row>
        <row r="190">
          <cell r="H190">
            <v>236351399.0625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0"/>
  <sheetViews>
    <sheetView tabSelected="1" view="pageBreakPreview" zoomScale="75" zoomScaleNormal="90" zoomScaleSheetLayoutView="75" zoomScalePageLayoutView="0" workbookViewId="0" topLeftCell="A1">
      <pane xSplit="1" ySplit="10" topLeftCell="C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62" sqref="D62"/>
    </sheetView>
  </sheetViews>
  <sheetFormatPr defaultColWidth="11.421875" defaultRowHeight="12.75"/>
  <cols>
    <col min="1" max="1" width="46.00390625" style="1" customWidth="1"/>
    <col min="2" max="2" width="24.8515625" style="1" hidden="1" customWidth="1"/>
    <col min="3" max="3" width="27.7109375" style="1" customWidth="1"/>
    <col min="4" max="4" width="29.421875" style="1" customWidth="1"/>
    <col min="5" max="5" width="22.421875" style="373" customWidth="1"/>
    <col min="6" max="6" width="18.00390625" style="1" bestFit="1" customWidth="1"/>
    <col min="7" max="7" width="15.8515625" style="1" bestFit="1" customWidth="1"/>
    <col min="8" max="8" width="16.140625" style="1" bestFit="1" customWidth="1"/>
    <col min="9" max="9" width="12.00390625" style="1" bestFit="1" customWidth="1"/>
    <col min="10" max="10" width="11.8515625" style="1" bestFit="1" customWidth="1"/>
    <col min="11" max="11" width="12.00390625" style="1" bestFit="1" customWidth="1"/>
    <col min="12" max="16384" width="11.421875" style="1" customWidth="1"/>
  </cols>
  <sheetData>
    <row r="1" spans="1:4" ht="15">
      <c r="A1" s="40"/>
      <c r="B1" s="40"/>
      <c r="C1" s="40"/>
      <c r="D1" s="40"/>
    </row>
    <row r="2" spans="1:6" ht="15">
      <c r="A2" s="427" t="s">
        <v>40</v>
      </c>
      <c r="B2" s="427"/>
      <c r="C2" s="427"/>
      <c r="D2" s="427"/>
      <c r="E2" s="427"/>
      <c r="F2" s="427"/>
    </row>
    <row r="3" spans="1:6" ht="15">
      <c r="A3" s="427" t="s">
        <v>39</v>
      </c>
      <c r="B3" s="427"/>
      <c r="C3" s="427"/>
      <c r="D3" s="427"/>
      <c r="E3" s="427"/>
      <c r="F3" s="427"/>
    </row>
    <row r="4" spans="1:6" ht="15">
      <c r="A4" s="427" t="s">
        <v>250</v>
      </c>
      <c r="B4" s="427"/>
      <c r="C4" s="427"/>
      <c r="D4" s="427"/>
      <c r="E4" s="427"/>
      <c r="F4" s="427"/>
    </row>
    <row r="5" spans="1:6" ht="15">
      <c r="A5" s="427" t="s">
        <v>389</v>
      </c>
      <c r="B5" s="427"/>
      <c r="C5" s="427"/>
      <c r="D5" s="427"/>
      <c r="E5" s="427"/>
      <c r="F5" s="427"/>
    </row>
    <row r="6" spans="1:6" ht="15">
      <c r="A6" s="428" t="s">
        <v>16</v>
      </c>
      <c r="B6" s="428"/>
      <c r="C6" s="428"/>
      <c r="D6" s="428"/>
      <c r="E6" s="428"/>
      <c r="F6" s="428"/>
    </row>
    <row r="7" spans="1:5" ht="15.75" thickBot="1">
      <c r="A7" s="38"/>
      <c r="B7" s="38"/>
      <c r="C7" s="38"/>
      <c r="D7" s="395"/>
      <c r="E7" s="374"/>
    </row>
    <row r="8" spans="1:6" ht="15.75" thickTop="1">
      <c r="A8" s="435" t="s">
        <v>29</v>
      </c>
      <c r="B8" s="410" t="s">
        <v>100</v>
      </c>
      <c r="C8" s="410" t="s">
        <v>100</v>
      </c>
      <c r="D8" s="410" t="s">
        <v>100</v>
      </c>
      <c r="E8" s="432" t="s">
        <v>391</v>
      </c>
      <c r="F8" s="429" t="s">
        <v>395</v>
      </c>
    </row>
    <row r="9" spans="1:6" ht="15">
      <c r="A9" s="436"/>
      <c r="B9" s="257" t="s">
        <v>355</v>
      </c>
      <c r="C9" s="257" t="s">
        <v>356</v>
      </c>
      <c r="D9" s="257" t="s">
        <v>390</v>
      </c>
      <c r="E9" s="433"/>
      <c r="F9" s="430"/>
    </row>
    <row r="10" spans="1:6" ht="15.75" thickBot="1">
      <c r="A10" s="437"/>
      <c r="B10" s="258" t="s">
        <v>251</v>
      </c>
      <c r="C10" s="258" t="s">
        <v>357</v>
      </c>
      <c r="D10" s="258" t="s">
        <v>357</v>
      </c>
      <c r="E10" s="434"/>
      <c r="F10" s="431"/>
    </row>
    <row r="11" spans="1:6" ht="15">
      <c r="A11" s="411" t="s">
        <v>102</v>
      </c>
      <c r="B11" s="272">
        <f>+B13+B17+B21</f>
        <v>19251236892.572334</v>
      </c>
      <c r="C11" s="272">
        <f>+C13+C17+C21</f>
        <v>3871622385</v>
      </c>
      <c r="D11" s="272">
        <v>4049644900</v>
      </c>
      <c r="E11" s="375">
        <f>+D11-C11</f>
        <v>178022515</v>
      </c>
      <c r="F11" s="412">
        <f>+D11/C11</f>
        <v>1.0459813735166221</v>
      </c>
    </row>
    <row r="12" spans="1:6" ht="13.5" customHeight="1">
      <c r="A12" s="413"/>
      <c r="B12" s="273"/>
      <c r="C12" s="347"/>
      <c r="D12" s="347"/>
      <c r="E12" s="376"/>
      <c r="F12" s="414"/>
    </row>
    <row r="13" spans="1:9" ht="15">
      <c r="A13" s="415" t="s">
        <v>159</v>
      </c>
      <c r="B13" s="274">
        <f>SUM(B14:B15)</f>
        <v>16957483514.595001</v>
      </c>
      <c r="C13" s="348">
        <f>+C14+C15</f>
        <v>3721622385</v>
      </c>
      <c r="D13" s="348">
        <v>3936772594</v>
      </c>
      <c r="E13" s="377">
        <f>+D13-C13</f>
        <v>215150209</v>
      </c>
      <c r="F13" s="416">
        <f aca="true" t="shared" si="0" ref="F13:F39">+D13/C13</f>
        <v>1.0578108649247067</v>
      </c>
      <c r="I13" s="6"/>
    </row>
    <row r="14" spans="1:11" ht="15">
      <c r="A14" s="413" t="s">
        <v>103</v>
      </c>
      <c r="B14" s="273">
        <v>10598076545.598</v>
      </c>
      <c r="C14" s="347">
        <f>+(201111+196931+217611)*(6045*62.5%)</f>
        <v>2326013990.625</v>
      </c>
      <c r="D14" s="347">
        <v>2459954363</v>
      </c>
      <c r="E14" s="376">
        <f>+D14-C14</f>
        <v>133940372.375</v>
      </c>
      <c r="F14" s="417">
        <f t="shared" si="0"/>
        <v>1.0575836486430634</v>
      </c>
      <c r="H14" s="41"/>
      <c r="K14" s="6"/>
    </row>
    <row r="15" spans="1:11" ht="15">
      <c r="A15" s="413" t="s">
        <v>104</v>
      </c>
      <c r="B15" s="273">
        <v>6359406968.997001</v>
      </c>
      <c r="C15" s="347">
        <f>+(201111+196931+217611)*(6045*37.5%)</f>
        <v>1395608394.375</v>
      </c>
      <c r="D15" s="347">
        <v>1476818231</v>
      </c>
      <c r="E15" s="376">
        <f>+D15-C15</f>
        <v>81209836.625</v>
      </c>
      <c r="F15" s="417">
        <f t="shared" si="0"/>
        <v>1.0581895587274455</v>
      </c>
      <c r="H15" s="6"/>
      <c r="K15" s="6"/>
    </row>
    <row r="16" spans="1:11" ht="15">
      <c r="A16" s="413"/>
      <c r="B16" s="273"/>
      <c r="C16" s="347"/>
      <c r="D16" s="347"/>
      <c r="E16" s="376"/>
      <c r="F16" s="417"/>
      <c r="H16" s="36"/>
      <c r="K16" s="6"/>
    </row>
    <row r="17" spans="1:8" ht="15">
      <c r="A17" s="418" t="s">
        <v>47</v>
      </c>
      <c r="B17" s="275">
        <f>SUM(B18:B19)</f>
        <v>50000000</v>
      </c>
      <c r="C17" s="349">
        <f>+C18+C19</f>
        <v>50000000</v>
      </c>
      <c r="D17" s="349">
        <v>112872306</v>
      </c>
      <c r="E17" s="378">
        <f aca="true" t="shared" si="1" ref="E17:E24">+D17-C17</f>
        <v>62872306</v>
      </c>
      <c r="F17" s="419">
        <f t="shared" si="0"/>
        <v>2.25744612</v>
      </c>
      <c r="H17" s="6"/>
    </row>
    <row r="18" spans="1:8" ht="15">
      <c r="A18" s="413" t="s">
        <v>103</v>
      </c>
      <c r="B18" s="273">
        <v>37500000</v>
      </c>
      <c r="C18" s="347">
        <v>37500000</v>
      </c>
      <c r="D18" s="347">
        <v>80250998</v>
      </c>
      <c r="E18" s="376">
        <f t="shared" si="1"/>
        <v>42750998</v>
      </c>
      <c r="F18" s="417">
        <f t="shared" si="0"/>
        <v>2.140026613333333</v>
      </c>
      <c r="G18" s="41"/>
      <c r="H18" s="6"/>
    </row>
    <row r="19" spans="1:8" ht="15">
      <c r="A19" s="413" t="s">
        <v>104</v>
      </c>
      <c r="B19" s="273">
        <v>12500000</v>
      </c>
      <c r="C19" s="347">
        <v>12500000</v>
      </c>
      <c r="D19" s="347">
        <v>32621308</v>
      </c>
      <c r="E19" s="376">
        <f t="shared" si="1"/>
        <v>20121308</v>
      </c>
      <c r="F19" s="417">
        <f t="shared" si="0"/>
        <v>2.60970464</v>
      </c>
      <c r="H19" s="6"/>
    </row>
    <row r="20" spans="1:9" ht="15">
      <c r="A20" s="413"/>
      <c r="B20" s="273"/>
      <c r="C20" s="347"/>
      <c r="D20" s="347"/>
      <c r="E20" s="376">
        <f t="shared" si="1"/>
        <v>0</v>
      </c>
      <c r="F20" s="417"/>
      <c r="H20" s="8"/>
      <c r="I20" s="6"/>
    </row>
    <row r="21" spans="1:8" ht="15">
      <c r="A21" s="418" t="s">
        <v>13</v>
      </c>
      <c r="B21" s="275">
        <f>SUM(B22:B23)</f>
        <v>2243753377.977331</v>
      </c>
      <c r="C21" s="349">
        <f>+C22+C23</f>
        <v>100000000</v>
      </c>
      <c r="D21" s="349">
        <v>0</v>
      </c>
      <c r="E21" s="378">
        <f t="shared" si="1"/>
        <v>-100000000</v>
      </c>
      <c r="F21" s="419">
        <f t="shared" si="0"/>
        <v>0</v>
      </c>
      <c r="H21" s="3"/>
    </row>
    <row r="22" spans="1:8" ht="15">
      <c r="A22" s="413" t="s">
        <v>103</v>
      </c>
      <c r="B22" s="276">
        <v>1045047128.5743322</v>
      </c>
      <c r="C22" s="350">
        <v>100000000</v>
      </c>
      <c r="D22" s="350">
        <v>0</v>
      </c>
      <c r="E22" s="397">
        <f t="shared" si="1"/>
        <v>-100000000</v>
      </c>
      <c r="F22" s="417">
        <f t="shared" si="0"/>
        <v>0</v>
      </c>
      <c r="H22" s="34"/>
    </row>
    <row r="23" spans="1:8" ht="15">
      <c r="A23" s="413" t="s">
        <v>104</v>
      </c>
      <c r="B23" s="273">
        <v>1198706249.402999</v>
      </c>
      <c r="C23" s="347">
        <v>0</v>
      </c>
      <c r="D23" s="347"/>
      <c r="E23" s="397">
        <f t="shared" si="1"/>
        <v>0</v>
      </c>
      <c r="F23" s="417">
        <v>0</v>
      </c>
      <c r="H23" s="9"/>
    </row>
    <row r="24" spans="1:8" ht="15">
      <c r="A24" s="413"/>
      <c r="B24" s="273"/>
      <c r="C24" s="347"/>
      <c r="D24" s="347"/>
      <c r="E24" s="397">
        <f t="shared" si="1"/>
        <v>0</v>
      </c>
      <c r="F24" s="417"/>
      <c r="H24" s="9"/>
    </row>
    <row r="25" spans="1:8" ht="15">
      <c r="A25" s="418" t="s">
        <v>105</v>
      </c>
      <c r="B25" s="275">
        <f>+B27+B31</f>
        <v>5900335187.772115</v>
      </c>
      <c r="C25" s="349">
        <f>+C27+C31</f>
        <v>1712220897.3650472</v>
      </c>
      <c r="D25" s="349">
        <v>1305815510</v>
      </c>
      <c r="E25" s="398">
        <f>+D25-C25</f>
        <v>-406405387.3650472</v>
      </c>
      <c r="F25" s="419">
        <f t="shared" si="0"/>
        <v>0.7626443013337425</v>
      </c>
      <c r="H25" s="3"/>
    </row>
    <row r="26" spans="1:8" ht="15">
      <c r="A26" s="413"/>
      <c r="B26" s="273"/>
      <c r="C26" s="347"/>
      <c r="D26" s="347"/>
      <c r="E26" s="397"/>
      <c r="F26" s="417"/>
      <c r="H26" s="6"/>
    </row>
    <row r="27" spans="1:6" ht="15">
      <c r="A27" s="418" t="s">
        <v>106</v>
      </c>
      <c r="B27" s="275">
        <f>SUM(B28:B29)</f>
        <v>25384038.09</v>
      </c>
      <c r="C27" s="349">
        <f>+C28+C29</f>
        <v>6346009.5225</v>
      </c>
      <c r="D27" s="349">
        <v>24539417</v>
      </c>
      <c r="E27" s="398">
        <f>+D27-C27</f>
        <v>18193407.4775</v>
      </c>
      <c r="F27" s="419">
        <f t="shared" si="0"/>
        <v>3.8669051650481507</v>
      </c>
    </row>
    <row r="28" spans="1:8" ht="15">
      <c r="A28" s="413" t="s">
        <v>66</v>
      </c>
      <c r="B28" s="273">
        <v>22398776.43</v>
      </c>
      <c r="C28" s="347">
        <f>+B28/12*3</f>
        <v>5599694.1075</v>
      </c>
      <c r="D28" s="347">
        <v>20998371</v>
      </c>
      <c r="E28" s="397">
        <f>+D28-C28</f>
        <v>15398676.8925</v>
      </c>
      <c r="F28" s="417">
        <f t="shared" si="0"/>
        <v>3.7499139411696873</v>
      </c>
      <c r="H28" s="6"/>
    </row>
    <row r="29" spans="1:8" ht="15">
      <c r="A29" s="413" t="s">
        <v>67</v>
      </c>
      <c r="B29" s="273">
        <v>2985261.66</v>
      </c>
      <c r="C29" s="347">
        <f>+B29/12*3</f>
        <v>746315.415</v>
      </c>
      <c r="D29" s="347">
        <v>3541046</v>
      </c>
      <c r="E29" s="397">
        <f>+D29-C29</f>
        <v>2794730.585</v>
      </c>
      <c r="F29" s="417">
        <f t="shared" si="0"/>
        <v>4.744704355329442</v>
      </c>
      <c r="H29" s="6"/>
    </row>
    <row r="30" spans="1:6" ht="15">
      <c r="A30" s="413"/>
      <c r="B30" s="273"/>
      <c r="C30" s="347"/>
      <c r="D30" s="347"/>
      <c r="E30" s="397"/>
      <c r="F30" s="417"/>
    </row>
    <row r="31" spans="1:6" ht="15">
      <c r="A31" s="418" t="s">
        <v>107</v>
      </c>
      <c r="B31" s="275">
        <f>SUM(B32:B37)</f>
        <v>5874951149.682115</v>
      </c>
      <c r="C31" s="349">
        <f>SUM(C32:C37)</f>
        <v>1705874887.8425472</v>
      </c>
      <c r="D31" s="349">
        <v>1281276093</v>
      </c>
      <c r="E31" s="398">
        <f aca="true" t="shared" si="2" ref="E31:E37">+D31-C31</f>
        <v>-424598794.8425472</v>
      </c>
      <c r="F31" s="419">
        <f t="shared" si="0"/>
        <v>0.7510961689696098</v>
      </c>
    </row>
    <row r="32" spans="1:6" ht="15">
      <c r="A32" s="413" t="s">
        <v>108</v>
      </c>
      <c r="B32" s="273">
        <v>3717266450.6400003</v>
      </c>
      <c r="C32" s="347">
        <v>1350654800</v>
      </c>
      <c r="D32" s="347">
        <v>1040517102</v>
      </c>
      <c r="E32" s="397">
        <f t="shared" si="2"/>
        <v>-310137698</v>
      </c>
      <c r="F32" s="417">
        <f t="shared" si="0"/>
        <v>0.7703797461794086</v>
      </c>
    </row>
    <row r="33" spans="1:7" ht="15">
      <c r="A33" s="420" t="s">
        <v>69</v>
      </c>
      <c r="B33" s="277">
        <v>5617579.428571429</v>
      </c>
      <c r="C33" s="351">
        <f>+B33/4</f>
        <v>1404394.8571428573</v>
      </c>
      <c r="D33" s="351">
        <v>2325790</v>
      </c>
      <c r="E33" s="399">
        <f t="shared" si="2"/>
        <v>921395.1428571427</v>
      </c>
      <c r="F33" s="421">
        <f t="shared" si="0"/>
        <v>1.6560798326559358</v>
      </c>
      <c r="G33" s="6"/>
    </row>
    <row r="34" spans="1:7" ht="15">
      <c r="A34" s="420" t="s">
        <v>70</v>
      </c>
      <c r="B34" s="277">
        <v>6536189.095</v>
      </c>
      <c r="C34" s="351">
        <f>+B34/4</f>
        <v>1634047.27375</v>
      </c>
      <c r="D34" s="351">
        <v>7167211</v>
      </c>
      <c r="E34" s="399">
        <f t="shared" si="2"/>
        <v>5533163.72625</v>
      </c>
      <c r="F34" s="421">
        <f t="shared" si="0"/>
        <v>4.386171143966881</v>
      </c>
      <c r="G34" s="6"/>
    </row>
    <row r="35" spans="1:6" ht="15">
      <c r="A35" s="420" t="s">
        <v>68</v>
      </c>
      <c r="B35" s="277">
        <v>92770934.84145</v>
      </c>
      <c r="C35" s="351">
        <f>+'Otros ingresos'!C11</f>
        <v>11875000</v>
      </c>
      <c r="D35" s="351">
        <f>25000+6727029+31049209</f>
        <v>37801238</v>
      </c>
      <c r="E35" s="399">
        <f t="shared" si="2"/>
        <v>25926238</v>
      </c>
      <c r="F35" s="421">
        <f t="shared" si="0"/>
        <v>3.183262147368421</v>
      </c>
    </row>
    <row r="36" spans="1:6" ht="15">
      <c r="A36" s="420" t="s">
        <v>132</v>
      </c>
      <c r="B36" s="277">
        <v>852759995.6770931</v>
      </c>
      <c r="C36" s="351">
        <f>+'Otros ingresos'!C22</f>
        <v>340306645.7116541</v>
      </c>
      <c r="D36" s="351">
        <f>32370789-1637169+139526841+23204291</f>
        <v>193464752</v>
      </c>
      <c r="E36" s="379">
        <f t="shared" si="2"/>
        <v>-146841893.71165413</v>
      </c>
      <c r="F36" s="421">
        <f t="shared" si="0"/>
        <v>0.5685012456792424</v>
      </c>
    </row>
    <row r="37" spans="1:6" ht="15">
      <c r="A37" s="420" t="s">
        <v>160</v>
      </c>
      <c r="B37" s="277">
        <v>1200000000</v>
      </c>
      <c r="C37" s="351">
        <f>+'Otros ingresos'!C29</f>
        <v>0</v>
      </c>
      <c r="D37" s="351">
        <v>0</v>
      </c>
      <c r="E37" s="379">
        <f t="shared" si="2"/>
        <v>0</v>
      </c>
      <c r="F37" s="421">
        <v>0</v>
      </c>
    </row>
    <row r="38" spans="1:6" ht="15.75" thickBot="1">
      <c r="A38" s="420"/>
      <c r="B38" s="277"/>
      <c r="C38" s="351"/>
      <c r="D38" s="351"/>
      <c r="E38" s="379"/>
      <c r="F38" s="421"/>
    </row>
    <row r="39" spans="1:6" ht="16.5" thickBot="1">
      <c r="A39" s="422" t="s">
        <v>109</v>
      </c>
      <c r="B39" s="423">
        <f>+B25+B11</f>
        <v>25151572080.344448</v>
      </c>
      <c r="C39" s="424">
        <f>+C25+C11</f>
        <v>5583843282.365047</v>
      </c>
      <c r="D39" s="424">
        <v>5355460410</v>
      </c>
      <c r="E39" s="425">
        <f>+D39-C39</f>
        <v>-228382872.36504745</v>
      </c>
      <c r="F39" s="426">
        <f t="shared" si="0"/>
        <v>0.9590993405767084</v>
      </c>
    </row>
    <row r="40" ht="15.75" thickTop="1">
      <c r="A40"/>
    </row>
    <row r="41" ht="15">
      <c r="A41"/>
    </row>
    <row r="42" spans="1:4" ht="15">
      <c r="A42"/>
      <c r="B42" s="336"/>
      <c r="C42" s="336"/>
      <c r="D42" s="336"/>
    </row>
    <row r="43" spans="1:4" ht="15.75" hidden="1">
      <c r="A43"/>
      <c r="B43" s="337"/>
      <c r="C43" s="338"/>
      <c r="D43" s="338"/>
    </row>
    <row r="44" spans="1:4" ht="16.5" hidden="1">
      <c r="A44" s="224"/>
      <c r="B44" s="339" t="s">
        <v>367</v>
      </c>
      <c r="C44" s="340">
        <f>+C14+C18+C28+C33+C35+C36+C22</f>
        <v>2822699725.301297</v>
      </c>
      <c r="D44" s="340">
        <f>+D14+D18+D28+D33+D35+D36+D22</f>
        <v>2794795512</v>
      </c>
    </row>
    <row r="45" spans="1:4" ht="16.5" hidden="1">
      <c r="A45" s="224"/>
      <c r="B45" s="339" t="s">
        <v>368</v>
      </c>
      <c r="C45" s="341">
        <f>+'Anexo 2 '!B197+'Anexo 2 '!C197+'Anexo 2 '!D197+'Anexo 2 '!F197+'Anexo 2 '!H197-'Anexo 2 '!H191</f>
        <v>2819798892.059034</v>
      </c>
      <c r="D45" s="341">
        <f>+'[9]Anexo 2 '!$B$38+'[9]Anexo 2 '!$C$38+'[9]Anexo 2 '!$D$38+'[9]Anexo 2 '!$F$38+'[9]Anexo 2 '!$H$38+'[9]Anexo 2 '!$H$190+'Anexo 2 '!J42+'Anexo 2 '!J49+'Anexo 2 '!J108+'Anexo 2 '!J115+'Anexo 2 '!J125+'Anexo 2 '!J148+'Anexo 2 '!J158+'Anexo 2 '!J167-10042045</f>
        <v>2206513187.0590334</v>
      </c>
    </row>
    <row r="46" spans="1:4" ht="16.5" hidden="1">
      <c r="A46" s="224"/>
      <c r="B46" s="339" t="s">
        <v>369</v>
      </c>
      <c r="C46" s="340">
        <f>+C44-C45</f>
        <v>2900833.242263317</v>
      </c>
      <c r="D46" s="340">
        <f>+D44-D45</f>
        <v>588282324.9409666</v>
      </c>
    </row>
    <row r="47" spans="1:4" ht="16.5" hidden="1">
      <c r="A47" s="224"/>
      <c r="B47" s="339"/>
      <c r="C47" s="340"/>
      <c r="D47" s="340"/>
    </row>
    <row r="48" spans="1:4" ht="15.75" hidden="1">
      <c r="A48"/>
      <c r="B48" s="339" t="s">
        <v>370</v>
      </c>
      <c r="C48" s="340">
        <f>+C15+C19+C29+C32+C34+C37+C23</f>
        <v>2761143557.06375</v>
      </c>
      <c r="D48" s="340">
        <f>+D15+D19+D29+D32+D34+D37+D23</f>
        <v>2560664898</v>
      </c>
    </row>
    <row r="49" spans="1:4" ht="15.75" hidden="1">
      <c r="A49"/>
      <c r="B49" s="339" t="s">
        <v>371</v>
      </c>
      <c r="C49" s="341">
        <f>+'Anexo 2 '!E197+'Anexo 2 '!H191</f>
        <v>1923727201.4987664</v>
      </c>
      <c r="D49" s="341">
        <f>+'[9]Anexo 2 '!$E$38+'Anexo 2 '!J79-5700000+'Anexo 2 '!J191</f>
        <v>1515462796.0612664</v>
      </c>
    </row>
    <row r="50" spans="1:4" ht="15.75" hidden="1">
      <c r="A50"/>
      <c r="B50" s="339" t="s">
        <v>369</v>
      </c>
      <c r="C50" s="340">
        <f>+C48-C49</f>
        <v>837416355.5649834</v>
      </c>
      <c r="D50" s="340">
        <f>+D48-D49</f>
        <v>1045202101.9387336</v>
      </c>
    </row>
    <row r="51" spans="1:4" ht="15.75" hidden="1">
      <c r="A51"/>
      <c r="B51" s="339"/>
      <c r="C51" s="340"/>
      <c r="D51" s="340"/>
    </row>
    <row r="52" spans="1:4" ht="15" hidden="1">
      <c r="A52"/>
      <c r="B52" s="336"/>
      <c r="C52" s="336"/>
      <c r="D52" s="336"/>
    </row>
    <row r="53" spans="1:4" ht="15" hidden="1">
      <c r="A53"/>
      <c r="B53" s="336"/>
      <c r="C53" s="336"/>
      <c r="D53" s="336"/>
    </row>
    <row r="54" spans="1:4" ht="15" hidden="1">
      <c r="A54"/>
      <c r="B54" s="336"/>
      <c r="C54" s="336"/>
      <c r="D54" s="336"/>
    </row>
    <row r="55" ht="15" hidden="1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</sheetData>
  <sheetProtection/>
  <mergeCells count="8">
    <mergeCell ref="A2:F2"/>
    <mergeCell ref="A3:F3"/>
    <mergeCell ref="A4:F4"/>
    <mergeCell ref="A5:F5"/>
    <mergeCell ref="A6:F6"/>
    <mergeCell ref="F8:F10"/>
    <mergeCell ref="E8:E10"/>
    <mergeCell ref="A8:A1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6"/>
  <sheetViews>
    <sheetView zoomScale="75" zoomScaleNormal="75" zoomScalePageLayoutView="0" workbookViewId="0" topLeftCell="A1">
      <selection activeCell="C7" sqref="C7"/>
    </sheetView>
  </sheetViews>
  <sheetFormatPr defaultColWidth="11.421875" defaultRowHeight="12.75"/>
  <cols>
    <col min="1" max="1" width="35.421875" style="0" customWidth="1"/>
    <col min="2" max="2" width="30.57421875" style="0" customWidth="1"/>
    <col min="3" max="3" width="29.140625" style="0" customWidth="1"/>
    <col min="4" max="4" width="14.140625" style="0" bestFit="1" customWidth="1"/>
    <col min="5" max="5" width="14.140625" style="0" customWidth="1"/>
    <col min="6" max="6" width="14.8515625" style="0" bestFit="1" customWidth="1"/>
    <col min="7" max="7" width="12.28125" style="0" bestFit="1" customWidth="1"/>
  </cols>
  <sheetData>
    <row r="1" spans="1:3" ht="12.75">
      <c r="A1" s="15"/>
      <c r="B1" s="15"/>
      <c r="C1" s="15"/>
    </row>
    <row r="2" spans="1:3" ht="15">
      <c r="A2" s="438" t="s">
        <v>40</v>
      </c>
      <c r="B2" s="438"/>
      <c r="C2" s="438"/>
    </row>
    <row r="3" spans="1:3" ht="15">
      <c r="A3" s="438" t="s">
        <v>39</v>
      </c>
      <c r="B3" s="438"/>
      <c r="C3" s="438"/>
    </row>
    <row r="4" spans="1:3" ht="15">
      <c r="A4" s="438" t="s">
        <v>373</v>
      </c>
      <c r="B4" s="438"/>
      <c r="C4" s="438"/>
    </row>
    <row r="5" spans="1:3" ht="12.75">
      <c r="A5" s="15"/>
      <c r="B5" s="15"/>
      <c r="C5" s="15"/>
    </row>
    <row r="6" spans="1:3" ht="38.25" customHeight="1">
      <c r="A6" s="441" t="s">
        <v>198</v>
      </c>
      <c r="B6" s="442"/>
      <c r="C6" s="123" t="s">
        <v>28</v>
      </c>
    </row>
    <row r="7" spans="1:3" ht="38.25" customHeight="1">
      <c r="A7" s="439" t="s">
        <v>258</v>
      </c>
      <c r="B7" s="440"/>
      <c r="C7" s="225">
        <f>2500000/4</f>
        <v>625000</v>
      </c>
    </row>
    <row r="8" spans="1:3" ht="36" customHeight="1">
      <c r="A8" s="439" t="s">
        <v>161</v>
      </c>
      <c r="B8" s="440"/>
      <c r="C8" s="225">
        <f>+'[8]Inversión'!$D$31*70%/4</f>
        <v>8750000</v>
      </c>
    </row>
    <row r="9" spans="1:3" ht="36" customHeight="1">
      <c r="A9" s="439" t="s">
        <v>331</v>
      </c>
      <c r="B9" s="440"/>
      <c r="C9" s="225"/>
    </row>
    <row r="10" spans="1:3" ht="33.75" customHeight="1">
      <c r="A10" s="439" t="s">
        <v>73</v>
      </c>
      <c r="B10" s="440"/>
      <c r="C10" s="225">
        <f>10000000/4</f>
        <v>2500000</v>
      </c>
    </row>
    <row r="11" spans="1:3" ht="49.5" customHeight="1">
      <c r="A11" s="443" t="s">
        <v>219</v>
      </c>
      <c r="B11" s="444"/>
      <c r="C11" s="16">
        <f>SUM(C7:C10)</f>
        <v>11875000</v>
      </c>
    </row>
    <row r="12" spans="1:3" s="177" customFormat="1" ht="15.75" customHeight="1">
      <c r="A12" s="176"/>
      <c r="B12" s="176"/>
      <c r="C12" s="176"/>
    </row>
    <row r="13" spans="1:3" s="177" customFormat="1" ht="12.75" customHeight="1">
      <c r="A13" s="176"/>
      <c r="B13" s="176"/>
      <c r="C13" s="176"/>
    </row>
    <row r="14" spans="1:43" ht="15">
      <c r="A14" s="176"/>
      <c r="B14" s="176"/>
      <c r="C14" s="17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3" ht="45" customHeight="1">
      <c r="A15" s="446" t="s">
        <v>218</v>
      </c>
      <c r="B15" s="446"/>
      <c r="C15" s="123" t="s">
        <v>28</v>
      </c>
    </row>
    <row r="16" spans="1:3" ht="26.25" customHeight="1">
      <c r="A16" s="439" t="s">
        <v>249</v>
      </c>
      <c r="B16" s="440"/>
      <c r="C16" s="225">
        <v>0</v>
      </c>
    </row>
    <row r="17" spans="1:11" ht="26.25" customHeight="1">
      <c r="A17" s="445" t="s">
        <v>248</v>
      </c>
      <c r="B17" s="445"/>
      <c r="C17" s="225">
        <v>85543572</v>
      </c>
      <c r="D17" s="251"/>
      <c r="E17" s="37"/>
      <c r="F17" s="2"/>
      <c r="G17" s="2"/>
      <c r="H17" s="2"/>
      <c r="I17" s="2"/>
      <c r="J17" s="2"/>
      <c r="K17" s="2"/>
    </row>
    <row r="18" spans="1:11" ht="26.25" customHeight="1">
      <c r="A18" s="439" t="s">
        <v>225</v>
      </c>
      <c r="B18" s="440"/>
      <c r="C18" s="225">
        <v>22000000</v>
      </c>
      <c r="D18" s="251"/>
      <c r="E18" s="37"/>
      <c r="F18" s="2"/>
      <c r="G18" s="2"/>
      <c r="H18" s="2"/>
      <c r="I18" s="2"/>
      <c r="J18" s="2"/>
      <c r="K18" s="2"/>
    </row>
    <row r="19" spans="1:11" ht="26.25" customHeight="1">
      <c r="A19" s="439" t="s">
        <v>291</v>
      </c>
      <c r="B19" s="440"/>
      <c r="C19" s="225">
        <v>11936536</v>
      </c>
      <c r="D19" s="251"/>
      <c r="E19" s="37"/>
      <c r="F19" s="2"/>
      <c r="G19" s="2"/>
      <c r="H19" s="2"/>
      <c r="I19" s="2"/>
      <c r="J19" s="2"/>
      <c r="K19" s="2"/>
    </row>
    <row r="20" spans="1:11" ht="29.25" customHeight="1">
      <c r="A20" s="445" t="s">
        <v>323</v>
      </c>
      <c r="B20" s="445"/>
      <c r="C20" s="225">
        <f>+'Anexo 2 '!B118+('Anexo 2 '!B119/2)+'Nómina y honorarios 2012'!Y40+'Nómina y honorarios 2012'!Y41+'Nómina y honorarios 2012'!Y42+('Nómina y honorarios 2012'!Y30/2*80%)</f>
        <v>220826537.71165413</v>
      </c>
      <c r="D20" s="251"/>
      <c r="E20" s="251"/>
      <c r="F20" s="251"/>
      <c r="G20" s="2"/>
      <c r="H20" s="2"/>
      <c r="I20" s="2"/>
      <c r="J20" s="2"/>
      <c r="K20" s="2"/>
    </row>
    <row r="21" spans="1:11" ht="26.25" customHeight="1">
      <c r="A21" s="445" t="s">
        <v>324</v>
      </c>
      <c r="B21" s="445"/>
      <c r="C21" s="225"/>
      <c r="D21" s="251"/>
      <c r="E21" s="251"/>
      <c r="F21" s="252"/>
      <c r="G21" s="2"/>
      <c r="H21" s="2"/>
      <c r="I21" s="2"/>
      <c r="J21" s="2"/>
      <c r="K21" s="2"/>
    </row>
    <row r="22" spans="1:11" ht="34.5" customHeight="1">
      <c r="A22" s="447" t="s">
        <v>221</v>
      </c>
      <c r="B22" s="447"/>
      <c r="C22" s="16">
        <f>SUM(C16:C21)</f>
        <v>340306645.7116541</v>
      </c>
      <c r="D22" s="2"/>
      <c r="E22" s="2"/>
      <c r="F22" s="2"/>
      <c r="G22" s="2"/>
      <c r="H22" s="2"/>
      <c r="I22" s="2"/>
      <c r="J22" s="2"/>
      <c r="K22" s="2"/>
    </row>
    <row r="23" spans="1:11" s="177" customFormat="1" ht="12.75">
      <c r="A23" s="448"/>
      <c r="B23" s="448"/>
      <c r="C23" s="448"/>
      <c r="D23" s="35"/>
      <c r="E23" s="35"/>
      <c r="F23" s="35"/>
      <c r="G23" s="35"/>
      <c r="H23" s="35"/>
      <c r="I23" s="35"/>
      <c r="J23" s="35"/>
      <c r="K23" s="35"/>
    </row>
    <row r="24" spans="1:11" s="177" customFormat="1" ht="12.75">
      <c r="A24" s="448"/>
      <c r="B24" s="448"/>
      <c r="C24" s="448"/>
      <c r="D24" s="35"/>
      <c r="E24" s="35"/>
      <c r="F24" s="35"/>
      <c r="G24" s="35"/>
      <c r="H24" s="35"/>
      <c r="I24" s="35"/>
      <c r="J24" s="35"/>
      <c r="K24" s="35"/>
    </row>
    <row r="25" spans="1:43" ht="15">
      <c r="A25" s="176"/>
      <c r="B25" s="176"/>
      <c r="C25" s="17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42.75" customHeight="1">
      <c r="A26" s="446" t="s">
        <v>220</v>
      </c>
      <c r="B26" s="446"/>
      <c r="C26" s="123" t="s">
        <v>28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22.5" customHeight="1">
      <c r="A27" s="445" t="s">
        <v>297</v>
      </c>
      <c r="B27" s="445"/>
      <c r="C27" s="17"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25.5" customHeight="1">
      <c r="A28" s="445"/>
      <c r="B28" s="445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32.25" customHeight="1">
      <c r="A29" s="447" t="s">
        <v>222</v>
      </c>
      <c r="B29" s="447"/>
      <c r="C29" s="16">
        <f>SUM(C27:C28)</f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ht="15">
      <c r="A30" s="122"/>
      <c r="B30" s="122"/>
      <c r="C30" s="12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3" ht="16.5">
      <c r="A31" s="5"/>
      <c r="B31" s="5"/>
      <c r="C31" s="5"/>
    </row>
    <row r="32" spans="1:3" ht="16.5">
      <c r="A32" s="5"/>
      <c r="B32" s="5"/>
      <c r="C32" s="5"/>
    </row>
    <row r="33" spans="1:3" ht="16.5">
      <c r="A33" s="5"/>
      <c r="B33" s="5"/>
      <c r="C33" s="5"/>
    </row>
    <row r="34" spans="1:3" ht="16.5">
      <c r="A34" s="5"/>
      <c r="B34" s="5"/>
      <c r="C34" s="5"/>
    </row>
    <row r="35" spans="1:3" ht="16.5">
      <c r="A35" s="5"/>
      <c r="B35" s="5"/>
      <c r="C35" s="5"/>
    </row>
    <row r="36" spans="1:3" ht="16.5">
      <c r="A36" s="5"/>
      <c r="B36" s="5"/>
      <c r="C36" s="5"/>
    </row>
  </sheetData>
  <sheetProtection/>
  <mergeCells count="22">
    <mergeCell ref="A29:B29"/>
    <mergeCell ref="A22:B22"/>
    <mergeCell ref="A23:C24"/>
    <mergeCell ref="A26:B26"/>
    <mergeCell ref="A20:B20"/>
    <mergeCell ref="A21:B21"/>
    <mergeCell ref="A27:B27"/>
    <mergeCell ref="A28:B28"/>
    <mergeCell ref="A16:B16"/>
    <mergeCell ref="A11:B11"/>
    <mergeCell ref="A18:B18"/>
    <mergeCell ref="A19:B19"/>
    <mergeCell ref="A17:B17"/>
    <mergeCell ref="A15:B15"/>
    <mergeCell ref="A2:C2"/>
    <mergeCell ref="A3:C3"/>
    <mergeCell ref="A4:C4"/>
    <mergeCell ref="A8:B8"/>
    <mergeCell ref="A6:B6"/>
    <mergeCell ref="A10:B10"/>
    <mergeCell ref="A7:B7"/>
    <mergeCell ref="A9:B9"/>
  </mergeCells>
  <printOptions horizontalCentered="1" verticalCentered="1"/>
  <pageMargins left="1.49" right="0.1968503937007874" top="0.984251968503937" bottom="0.984251968503937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6"/>
  <sheetViews>
    <sheetView view="pageBreakPreview" zoomScale="75" zoomScaleNormal="80" zoomScaleSheetLayoutView="75" workbookViewId="0" topLeftCell="A133">
      <selection activeCell="J190" sqref="J190"/>
    </sheetView>
  </sheetViews>
  <sheetFormatPr defaultColWidth="11.421875" defaultRowHeight="12.75" outlineLevelRow="2" outlineLevelCol="1"/>
  <cols>
    <col min="1" max="1" width="72.28125" style="2" customWidth="1"/>
    <col min="2" max="2" width="19.57421875" style="2" hidden="1" customWidth="1" outlineLevel="1"/>
    <col min="3" max="4" width="21.00390625" style="2" hidden="1" customWidth="1" outlineLevel="1"/>
    <col min="5" max="5" width="20.57421875" style="2" hidden="1" customWidth="1" outlineLevel="1"/>
    <col min="6" max="6" width="16.7109375" style="2" hidden="1" customWidth="1" outlineLevel="1"/>
    <col min="7" max="7" width="21.421875" style="2" hidden="1" customWidth="1" outlineLevel="1"/>
    <col min="8" max="8" width="20.8515625" style="2" hidden="1" customWidth="1" outlineLevel="1"/>
    <col min="9" max="9" width="42.421875" style="2" customWidth="1" collapsed="1"/>
    <col min="10" max="10" width="42.140625" style="2" customWidth="1"/>
    <col min="11" max="11" width="31.421875" style="2" customWidth="1"/>
    <col min="12" max="12" width="17.28125" style="2" customWidth="1"/>
    <col min="13" max="13" width="13.421875" style="2" customWidth="1"/>
    <col min="14" max="17" width="14.57421875" style="2" customWidth="1"/>
    <col min="18" max="16384" width="11.421875" style="2" customWidth="1"/>
  </cols>
  <sheetData>
    <row r="1" spans="1:12" ht="15" outlineLevel="1">
      <c r="A1" s="438" t="s">
        <v>22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</row>
    <row r="2" spans="1:12" ht="15" outlineLevel="1">
      <c r="A2" s="438" t="s">
        <v>39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</row>
    <row r="3" spans="1:12" ht="15" outlineLevel="1">
      <c r="A3" s="438" t="s">
        <v>252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</row>
    <row r="4" spans="1:12" ht="15" outlineLevel="1">
      <c r="A4" s="438" t="s">
        <v>392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</row>
    <row r="5" spans="1:12" ht="15" outlineLevel="1">
      <c r="A5" s="438" t="s">
        <v>215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</row>
    <row r="6" spans="1:12" ht="15.75" outlineLevel="1" thickBot="1">
      <c r="A6" s="205"/>
      <c r="B6" s="206"/>
      <c r="C6" s="207"/>
      <c r="D6" s="207"/>
      <c r="E6" s="206"/>
      <c r="F6" s="206"/>
      <c r="G6" s="206"/>
      <c r="H6" s="206"/>
      <c r="L6" s="4"/>
    </row>
    <row r="7" spans="1:13" ht="60.75" thickTop="1">
      <c r="A7" s="208" t="s">
        <v>29</v>
      </c>
      <c r="B7" s="209" t="s">
        <v>122</v>
      </c>
      <c r="C7" s="209" t="s">
        <v>123</v>
      </c>
      <c r="D7" s="209" t="s">
        <v>350</v>
      </c>
      <c r="E7" s="209" t="s">
        <v>128</v>
      </c>
      <c r="F7" s="209" t="s">
        <v>124</v>
      </c>
      <c r="G7" s="209" t="s">
        <v>125</v>
      </c>
      <c r="H7" s="209" t="s">
        <v>14</v>
      </c>
      <c r="I7" s="209" t="s">
        <v>28</v>
      </c>
      <c r="J7" s="380" t="s">
        <v>393</v>
      </c>
      <c r="K7" s="209" t="s">
        <v>391</v>
      </c>
      <c r="L7" s="210" t="s">
        <v>394</v>
      </c>
      <c r="M7" s="269"/>
    </row>
    <row r="8" spans="1:12" ht="15">
      <c r="A8" s="18" t="s">
        <v>126</v>
      </c>
      <c r="B8" s="22"/>
      <c r="C8" s="22"/>
      <c r="D8" s="22"/>
      <c r="E8" s="22"/>
      <c r="F8" s="22"/>
      <c r="G8" s="22"/>
      <c r="H8" s="22"/>
      <c r="I8" s="22"/>
      <c r="J8" s="381"/>
      <c r="K8" s="22"/>
      <c r="L8" s="391"/>
    </row>
    <row r="9" spans="1:14" ht="15">
      <c r="A9" s="39" t="s">
        <v>116</v>
      </c>
      <c r="B9" s="30">
        <f>+B10+B11+B12+B13+B14+B16+B17+B18</f>
        <v>220783499.63570824</v>
      </c>
      <c r="C9" s="30">
        <f>+C10+C11+C12+C13+C14+C16+C17+C18</f>
        <v>69875880.51000342</v>
      </c>
      <c r="D9" s="30">
        <f>+D10+D11+D12+D13+D14+D16+D17+D18</f>
        <v>26156109.948214453</v>
      </c>
      <c r="E9" s="30">
        <f>+E10+E11+E12+E13+E14+E16+E17+E18</f>
        <v>230900927.18626627</v>
      </c>
      <c r="F9" s="30">
        <f>+F10+F11+F12+F13+F14+F16+F17+F18</f>
        <v>72012662.64669873</v>
      </c>
      <c r="G9" s="30">
        <f>+B9+C9+E9+F9+D9</f>
        <v>619729079.9268911</v>
      </c>
      <c r="H9" s="30">
        <f>+H10+H11+H12+H13+H14+H16+H17+H18</f>
        <v>70884540.74900888</v>
      </c>
      <c r="I9" s="30">
        <f aca="true" t="shared" si="0" ref="I9:I20">+G9+H9</f>
        <v>690613620.6759</v>
      </c>
      <c r="J9" s="30">
        <f>+J10+J11+J12+J13+J14+J16+J17+J18</f>
        <v>621548483</v>
      </c>
      <c r="K9" s="30">
        <f>+J9-I9</f>
        <v>-69065137.67589998</v>
      </c>
      <c r="L9" s="392">
        <f aca="true" t="shared" si="1" ref="L9:L18">+J9/I9</f>
        <v>0.8999945329657613</v>
      </c>
      <c r="M9" s="211"/>
      <c r="N9" s="211"/>
    </row>
    <row r="10" spans="1:16" ht="14.25">
      <c r="A10" s="24" t="s">
        <v>129</v>
      </c>
      <c r="B10" s="278">
        <f>+'Nómina y honorarios 2012'!K27</f>
        <v>149140202.0992767</v>
      </c>
      <c r="C10" s="278">
        <f>+'Nómina y honorarios 2012'!K63</f>
        <v>49980637.70032667</v>
      </c>
      <c r="D10" s="278">
        <f>+'Nómina y honorarios 2012'!K73</f>
        <v>19882800.039226666</v>
      </c>
      <c r="E10" s="278">
        <f>+'Nómina y honorarios 2012'!K80</f>
        <v>155703301.46128336</v>
      </c>
      <c r="F10" s="278">
        <f>+'Nómina y honorarios 2012'!K54</f>
        <v>51387754.65156667</v>
      </c>
      <c r="G10" s="147">
        <f aca="true" t="shared" si="2" ref="G10:G20">+B10+C10+E10+F10+D10</f>
        <v>426094695.95168006</v>
      </c>
      <c r="H10" s="278">
        <f>+'Nómina y honorarios 2012'!K12</f>
        <v>48012992.76197667</v>
      </c>
      <c r="I10" s="278">
        <f t="shared" si="0"/>
        <v>474107688.7136567</v>
      </c>
      <c r="J10" s="383">
        <v>421808094</v>
      </c>
      <c r="K10" s="278">
        <f>+J10-I10</f>
        <v>-52299594.71365672</v>
      </c>
      <c r="L10" s="400">
        <f t="shared" si="1"/>
        <v>0.8896883641445357</v>
      </c>
      <c r="P10" s="213"/>
    </row>
    <row r="11" spans="1:16" ht="14.25">
      <c r="A11" s="24" t="s">
        <v>4</v>
      </c>
      <c r="B11" s="278">
        <f>+'Nómina y honorarios 2012'!L27</f>
        <v>10566111.008273056</v>
      </c>
      <c r="C11" s="278">
        <f>+'Nómina y honorarios 2012'!L63</f>
        <v>2302813.9750272227</v>
      </c>
      <c r="D11" s="278">
        <f>+'Nómina y honorarios 2012'!L73</f>
        <v>408585.8366022223</v>
      </c>
      <c r="E11" s="278">
        <f>+'Nómina y honorarios 2012'!L80</f>
        <v>11113035.955106944</v>
      </c>
      <c r="F11" s="278">
        <f>+'Nómina y honorarios 2012'!L54</f>
        <v>2420073.7209638893</v>
      </c>
      <c r="G11" s="147">
        <f>+B11+C11+E11+F11+D11</f>
        <v>26810620.49597333</v>
      </c>
      <c r="H11" s="278">
        <f>+'Nómina y honorarios 2012'!L12</f>
        <v>3571335.2301647225</v>
      </c>
      <c r="I11" s="278">
        <f t="shared" si="0"/>
        <v>30381955.72613805</v>
      </c>
      <c r="J11" s="383">
        <v>28430705</v>
      </c>
      <c r="K11" s="278">
        <f aca="true" t="shared" si="3" ref="K11:K73">+J11-I11</f>
        <v>-1951250.7261380516</v>
      </c>
      <c r="L11" s="400">
        <f t="shared" si="1"/>
        <v>0.9357759999479112</v>
      </c>
      <c r="M11" s="212"/>
      <c r="N11" s="214"/>
      <c r="O11" s="215"/>
      <c r="P11" s="215"/>
    </row>
    <row r="12" spans="1:16" ht="14.25">
      <c r="A12" s="24" t="s">
        <v>5</v>
      </c>
      <c r="B12" s="278">
        <f>+'Nómina y honorarios 2012'!M27</f>
        <v>1267933.3209927666</v>
      </c>
      <c r="C12" s="278">
        <f>+'Nómina y honorarios 2012'!M63</f>
        <v>276337.6770032667</v>
      </c>
      <c r="D12" s="278">
        <f>+'Nómina y honorarios 2012'!M73</f>
        <v>49030.30039226667</v>
      </c>
      <c r="E12" s="278">
        <f>+'Nómina y honorarios 2012'!M80</f>
        <v>1333564.3146128333</v>
      </c>
      <c r="F12" s="278">
        <f>+'Nómina y honorarios 2012'!M54</f>
        <v>290408.8465156667</v>
      </c>
      <c r="G12" s="147">
        <f t="shared" si="2"/>
        <v>3217274.4595168005</v>
      </c>
      <c r="H12" s="278">
        <f>+'Nómina y honorarios 2012'!M12</f>
        <v>428560.22761976667</v>
      </c>
      <c r="I12" s="278">
        <f t="shared" si="0"/>
        <v>3645834.687136567</v>
      </c>
      <c r="J12" s="383">
        <v>3411685</v>
      </c>
      <c r="K12" s="278">
        <f t="shared" si="3"/>
        <v>-234149.6871365672</v>
      </c>
      <c r="L12" s="400">
        <f t="shared" si="1"/>
        <v>0.9357761096621559</v>
      </c>
      <c r="M12" s="212"/>
      <c r="N12" s="214"/>
      <c r="O12" s="215"/>
      <c r="P12" s="215"/>
    </row>
    <row r="13" spans="1:14" ht="14.25">
      <c r="A13" s="24" t="s">
        <v>0</v>
      </c>
      <c r="B13" s="278">
        <f>+'Nómina y honorarios 2012'!N27</f>
        <v>10566111.008273056</v>
      </c>
      <c r="C13" s="278">
        <f>+'Nómina y honorarios 2012'!N63</f>
        <v>2302813.9750272227</v>
      </c>
      <c r="D13" s="278">
        <f>+'Nómina y honorarios 2012'!N73</f>
        <v>408585.8366022223</v>
      </c>
      <c r="E13" s="278">
        <f>+'Nómina y honorarios 2012'!N80</f>
        <v>11113035.955106944</v>
      </c>
      <c r="F13" s="278">
        <f>+'Nómina y honorarios 2012'!N54</f>
        <v>2420073.7209638893</v>
      </c>
      <c r="G13" s="147">
        <f t="shared" si="2"/>
        <v>26810620.49597333</v>
      </c>
      <c r="H13" s="278">
        <f>+'Nómina y honorarios 2012'!N12</f>
        <v>3571335.2301647225</v>
      </c>
      <c r="I13" s="278">
        <f t="shared" si="0"/>
        <v>30381955.72613805</v>
      </c>
      <c r="J13" s="383">
        <v>28430705</v>
      </c>
      <c r="K13" s="278">
        <f t="shared" si="3"/>
        <v>-1951250.7261380516</v>
      </c>
      <c r="L13" s="400">
        <f t="shared" si="1"/>
        <v>0.9357759999479112</v>
      </c>
      <c r="M13" s="212"/>
      <c r="N13" s="214"/>
    </row>
    <row r="14" spans="1:14" ht="14.25">
      <c r="A14" s="24" t="s">
        <v>1</v>
      </c>
      <c r="B14" s="278">
        <f>+'Nómina y honorarios 2012'!O27</f>
        <v>6214175.087469862</v>
      </c>
      <c r="C14" s="278">
        <f>+'Nómina y honorarios 2012'!O63</f>
        <v>2082526.5708469446</v>
      </c>
      <c r="D14" s="278">
        <f>+'Nómina y honorarios 2012'!O73</f>
        <v>828450.0016344446</v>
      </c>
      <c r="E14" s="278">
        <f>+'Nómina y honorarios 2012'!O80</f>
        <v>6487637.560886805</v>
      </c>
      <c r="F14" s="278">
        <f>+'Nómina y honorarios 2012'!O54</f>
        <v>2141156.443815278</v>
      </c>
      <c r="G14" s="147">
        <f t="shared" si="2"/>
        <v>17753945.664653335</v>
      </c>
      <c r="H14" s="278">
        <f>+'Nómina y honorarios 2012'!O12</f>
        <v>1785667.6150823613</v>
      </c>
      <c r="I14" s="278">
        <f t="shared" si="0"/>
        <v>19539613.279735696</v>
      </c>
      <c r="J14" s="383">
        <v>17763919</v>
      </c>
      <c r="K14" s="278">
        <f t="shared" si="3"/>
        <v>-1775694.2797356956</v>
      </c>
      <c r="L14" s="400">
        <f t="shared" si="1"/>
        <v>0.9091233662450604</v>
      </c>
      <c r="M14" s="212"/>
      <c r="N14" s="214"/>
    </row>
    <row r="15" spans="1:14" ht="14.25">
      <c r="A15" s="24" t="s">
        <v>114</v>
      </c>
      <c r="B15" s="278">
        <v>0</v>
      </c>
      <c r="C15" s="278">
        <v>0</v>
      </c>
      <c r="D15" s="278">
        <v>0</v>
      </c>
      <c r="E15" s="278">
        <v>0</v>
      </c>
      <c r="F15" s="278">
        <v>0</v>
      </c>
      <c r="G15" s="147">
        <f>+B15+C15+E15+F15+D15</f>
        <v>0</v>
      </c>
      <c r="H15" s="278">
        <v>15000000</v>
      </c>
      <c r="I15" s="278">
        <f t="shared" si="0"/>
        <v>15000000</v>
      </c>
      <c r="J15" s="383">
        <v>11653940</v>
      </c>
      <c r="K15" s="278">
        <f t="shared" si="3"/>
        <v>-3346060</v>
      </c>
      <c r="L15" s="400">
        <f t="shared" si="1"/>
        <v>0.7769293333333334</v>
      </c>
      <c r="M15" s="212"/>
      <c r="N15" s="214"/>
    </row>
    <row r="16" spans="1:14" ht="14.25">
      <c r="A16" s="24" t="s">
        <v>2</v>
      </c>
      <c r="B16" s="278">
        <f>+'Nómina y honorarios 2012'!S27</f>
        <v>30228223.81248787</v>
      </c>
      <c r="C16" s="278">
        <f>+'Nómina y honorarios 2012'!S63</f>
        <v>9054368.108742671</v>
      </c>
      <c r="D16" s="278">
        <f>+'Nómina y honorarios 2012'!S73</f>
        <v>3206067.1202262295</v>
      </c>
      <c r="E16" s="278">
        <f>+'Nómina y honorarios 2012'!S80</f>
        <v>31795948.49775389</v>
      </c>
      <c r="F16" s="278">
        <f>+'Nómina y honorarios 2012'!S54</f>
        <v>9350172.234232346</v>
      </c>
      <c r="G16" s="147">
        <f t="shared" si="2"/>
        <v>83634779.77344301</v>
      </c>
      <c r="H16" s="278">
        <f>+'Nómina y honorarios 2012'!S12</f>
        <v>9731645.235422736</v>
      </c>
      <c r="I16" s="278">
        <f t="shared" si="0"/>
        <v>93366425.00886574</v>
      </c>
      <c r="J16" s="383">
        <v>85802525</v>
      </c>
      <c r="K16" s="278">
        <f t="shared" si="3"/>
        <v>-7563900.008865744</v>
      </c>
      <c r="L16" s="400">
        <f t="shared" si="1"/>
        <v>0.9189869376690014</v>
      </c>
      <c r="M16" s="212"/>
      <c r="N16" s="214"/>
    </row>
    <row r="17" spans="1:14" ht="14.25">
      <c r="A17" s="24" t="s">
        <v>6</v>
      </c>
      <c r="B17" s="278">
        <f>+'Nómina y honorarios 2012'!U27</f>
        <v>5689219.2439710675</v>
      </c>
      <c r="C17" s="278">
        <f>+'Nómina y honorarios 2012'!U63</f>
        <v>1722836.668013067</v>
      </c>
      <c r="D17" s="278">
        <f>+'Nómina y honorarios 2012'!U73</f>
        <v>610040.3615690668</v>
      </c>
      <c r="E17" s="278">
        <f>+'Nómina y honorarios 2012'!U80</f>
        <v>5935290.4184513325</v>
      </c>
      <c r="F17" s="278">
        <f>+'Nómina y honorarios 2012'!U54</f>
        <v>1779121.346062667</v>
      </c>
      <c r="G17" s="147">
        <f t="shared" si="2"/>
        <v>15736508.038067201</v>
      </c>
      <c r="H17" s="278">
        <f>+'Nómina y honorarios 2012'!U12</f>
        <v>1681335.3104790668</v>
      </c>
      <c r="I17" s="278">
        <f t="shared" si="0"/>
        <v>17417843.348546267</v>
      </c>
      <c r="J17" s="387">
        <v>15958500</v>
      </c>
      <c r="K17" s="278">
        <f t="shared" si="3"/>
        <v>-1459343.3485462666</v>
      </c>
      <c r="L17" s="400">
        <f t="shared" si="1"/>
        <v>0.9162156118100542</v>
      </c>
      <c r="M17" s="212"/>
      <c r="N17" s="214"/>
    </row>
    <row r="18" spans="1:14" ht="14.25">
      <c r="A18" s="24" t="s">
        <v>3</v>
      </c>
      <c r="B18" s="278">
        <f>+'Nómina y honorarios 2012'!X27</f>
        <v>7111524.054963835</v>
      </c>
      <c r="C18" s="278">
        <f>+'Nómina y honorarios 2012'!X63</f>
        <v>2153545.8350163335</v>
      </c>
      <c r="D18" s="278">
        <f>+'Nómina y honorarios 2012'!X73</f>
        <v>762550.4519613334</v>
      </c>
      <c r="E18" s="278">
        <f>+'Nómina y honorarios 2012'!X80</f>
        <v>7419113.023064165</v>
      </c>
      <c r="F18" s="278">
        <f>+'Nómina y honorarios 2012'!X54</f>
        <v>2223901.6825783337</v>
      </c>
      <c r="G18" s="147">
        <f t="shared" si="2"/>
        <v>19670635.047584</v>
      </c>
      <c r="H18" s="278">
        <f>+'Nómina y honorarios 2012'!X12</f>
        <v>2101669.138098833</v>
      </c>
      <c r="I18" s="278">
        <f t="shared" si="0"/>
        <v>21772304.185682833</v>
      </c>
      <c r="J18" s="387">
        <v>19942350</v>
      </c>
      <c r="K18" s="278">
        <f t="shared" si="3"/>
        <v>-1829954.1856828332</v>
      </c>
      <c r="L18" s="400">
        <f t="shared" si="1"/>
        <v>0.9159503665723085</v>
      </c>
      <c r="M18" s="212"/>
      <c r="N18" s="214"/>
    </row>
    <row r="19" spans="1:14" ht="14.25">
      <c r="A19" s="24" t="s">
        <v>127</v>
      </c>
      <c r="B19" s="278">
        <f>+'Nómina y honorarios 2012'!K106</f>
        <v>0</v>
      </c>
      <c r="C19" s="278">
        <f>+'Nómina y honorarios 2012'!O106</f>
        <v>0</v>
      </c>
      <c r="D19" s="278">
        <f>+'Nómina y honorarios 2012'!Q106</f>
        <v>0</v>
      </c>
      <c r="E19" s="278">
        <f>+'Nómina y honorarios 2012'!S106</f>
        <v>0</v>
      </c>
      <c r="F19" s="278">
        <f>+'Nómina y honorarios 2012'!M106</f>
        <v>0</v>
      </c>
      <c r="G19" s="147">
        <f t="shared" si="2"/>
        <v>0</v>
      </c>
      <c r="H19" s="278">
        <f>+'Nómina y honorarios 2012'!I106</f>
        <v>0</v>
      </c>
      <c r="I19" s="278">
        <f t="shared" si="0"/>
        <v>0</v>
      </c>
      <c r="J19" s="387">
        <v>0</v>
      </c>
      <c r="K19" s="278">
        <f t="shared" si="3"/>
        <v>0</v>
      </c>
      <c r="L19" s="400">
        <v>0</v>
      </c>
      <c r="M19" s="212"/>
      <c r="N19" s="214"/>
    </row>
    <row r="20" spans="1:14" ht="14.25">
      <c r="A20" s="24" t="s">
        <v>23</v>
      </c>
      <c r="B20" s="288">
        <f>11743535+9019430</f>
        <v>20762965</v>
      </c>
      <c r="C20" s="280"/>
      <c r="D20" s="280"/>
      <c r="E20" s="282"/>
      <c r="F20" s="282"/>
      <c r="G20" s="147">
        <f t="shared" si="2"/>
        <v>20762965</v>
      </c>
      <c r="H20" s="278">
        <f>+'Nómina y honorarios 2012'!I117</f>
        <v>24049020</v>
      </c>
      <c r="I20" s="278">
        <f t="shared" si="0"/>
        <v>44811985</v>
      </c>
      <c r="J20" s="387">
        <v>32225084</v>
      </c>
      <c r="K20" s="278">
        <f t="shared" si="3"/>
        <v>-12586901</v>
      </c>
      <c r="L20" s="405">
        <f aca="true" t="shared" si="4" ref="L20:L83">+J20/I20</f>
        <v>0.7191175307230867</v>
      </c>
      <c r="N20" s="214"/>
    </row>
    <row r="21" spans="1:14" ht="15">
      <c r="A21" s="32" t="s">
        <v>118</v>
      </c>
      <c r="B21" s="352">
        <f>SUM(B10:B20)</f>
        <v>241546464.63570824</v>
      </c>
      <c r="C21" s="352">
        <f>SUM(C10:C20)</f>
        <v>69875880.51000342</v>
      </c>
      <c r="D21" s="352">
        <f>SUM(D10:D20)</f>
        <v>26156109.948214453</v>
      </c>
      <c r="E21" s="352">
        <f>SUM(E10:E20)</f>
        <v>230900927.18626627</v>
      </c>
      <c r="F21" s="352">
        <f>SUM(F10:F20)</f>
        <v>72012662.64669873</v>
      </c>
      <c r="G21" s="279">
        <f>+B21+C21+E21+F21+D21</f>
        <v>640492044.9268911</v>
      </c>
      <c r="H21" s="279">
        <f>SUM(H10:H20)</f>
        <v>109933560.74900886</v>
      </c>
      <c r="I21" s="279">
        <f>SUM(I10:I20)</f>
        <v>750425605.6759</v>
      </c>
      <c r="J21" s="352">
        <f>SUM(J10:J20)</f>
        <v>665427507</v>
      </c>
      <c r="K21" s="279">
        <f t="shared" si="3"/>
        <v>-84998098.67589998</v>
      </c>
      <c r="L21" s="393">
        <f t="shared" si="4"/>
        <v>0.8867334775985647</v>
      </c>
      <c r="M21" s="212"/>
      <c r="N21" s="214"/>
    </row>
    <row r="22" spans="1:14" ht="15">
      <c r="A22" s="18" t="s">
        <v>24</v>
      </c>
      <c r="B22" s="359"/>
      <c r="C22" s="359"/>
      <c r="D22" s="359"/>
      <c r="E22" s="359"/>
      <c r="F22" s="359"/>
      <c r="G22" s="278"/>
      <c r="H22" s="279"/>
      <c r="I22" s="278"/>
      <c r="J22" s="387"/>
      <c r="K22" s="278"/>
      <c r="L22" s="393"/>
      <c r="M22" s="212"/>
      <c r="N22" s="214"/>
    </row>
    <row r="23" spans="1:14" ht="14.25">
      <c r="A23" s="26" t="s">
        <v>31</v>
      </c>
      <c r="B23" s="360">
        <f>+Funcionamiento!H8</f>
        <v>400000</v>
      </c>
      <c r="C23" s="360">
        <f>+Funcionamiento!I8</f>
        <v>2000000</v>
      </c>
      <c r="D23" s="360">
        <f>+Funcionamiento!J8</f>
        <v>12000000</v>
      </c>
      <c r="E23" s="360">
        <f>+Funcionamiento!G8</f>
        <v>2000000</v>
      </c>
      <c r="F23" s="360">
        <f>+Funcionamiento!K8</f>
        <v>3500000</v>
      </c>
      <c r="G23" s="281">
        <f>+B23+C23+E23+F23+D23</f>
        <v>19900000</v>
      </c>
      <c r="H23" s="278">
        <f>+Funcionamiento!F8</f>
        <v>35277633</v>
      </c>
      <c r="I23" s="278">
        <f>+H23+G23</f>
        <v>55177633</v>
      </c>
      <c r="J23" s="387">
        <v>51326730</v>
      </c>
      <c r="K23" s="278">
        <f t="shared" si="3"/>
        <v>-3850903</v>
      </c>
      <c r="L23" s="401">
        <f t="shared" si="4"/>
        <v>0.9302089852241396</v>
      </c>
      <c r="M23" s="212"/>
      <c r="N23" s="214"/>
    </row>
    <row r="24" spans="1:14" ht="14.25">
      <c r="A24" s="26" t="s">
        <v>32</v>
      </c>
      <c r="B24" s="360">
        <v>0</v>
      </c>
      <c r="C24" s="360">
        <v>0</v>
      </c>
      <c r="D24" s="360"/>
      <c r="E24" s="360">
        <v>0</v>
      </c>
      <c r="F24" s="360">
        <v>0</v>
      </c>
      <c r="G24" s="281">
        <f aca="true" t="shared" si="5" ref="G24:G36">+B24+C24+E24+F24+D24</f>
        <v>0</v>
      </c>
      <c r="H24" s="278">
        <f>+Funcionamiento!F10</f>
        <v>3407726</v>
      </c>
      <c r="I24" s="278">
        <f aca="true" t="shared" si="6" ref="I24:I36">+G24+H24</f>
        <v>3407726</v>
      </c>
      <c r="J24" s="387">
        <v>3266696</v>
      </c>
      <c r="K24" s="278">
        <f t="shared" si="3"/>
        <v>-141030</v>
      </c>
      <c r="L24" s="401">
        <f t="shared" si="4"/>
        <v>0.9586146304016226</v>
      </c>
      <c r="M24" s="212"/>
      <c r="N24" s="214"/>
    </row>
    <row r="25" spans="1:14" ht="14.25">
      <c r="A25" s="26" t="s">
        <v>33</v>
      </c>
      <c r="B25" s="360">
        <v>0</v>
      </c>
      <c r="C25" s="360">
        <v>0</v>
      </c>
      <c r="D25" s="360"/>
      <c r="E25" s="360">
        <f>+Funcionamiento!G12</f>
        <v>1650000</v>
      </c>
      <c r="F25" s="360">
        <v>0</v>
      </c>
      <c r="G25" s="281">
        <f t="shared" si="5"/>
        <v>1650000</v>
      </c>
      <c r="H25" s="278">
        <f>+Funcionamiento!F12</f>
        <v>4417601.375</v>
      </c>
      <c r="I25" s="278">
        <f t="shared" si="6"/>
        <v>6067601.375</v>
      </c>
      <c r="J25" s="387">
        <v>5605563</v>
      </c>
      <c r="K25" s="278">
        <f t="shared" si="3"/>
        <v>-462038.375</v>
      </c>
      <c r="L25" s="401">
        <f t="shared" si="4"/>
        <v>0.9238515607001292</v>
      </c>
      <c r="M25" s="216"/>
      <c r="N25" s="214"/>
    </row>
    <row r="26" spans="1:12" ht="14.25">
      <c r="A26" s="26" t="s">
        <v>25</v>
      </c>
      <c r="B26" s="360">
        <f>+Funcionamiento!H14</f>
        <v>1715434.8750000002</v>
      </c>
      <c r="C26" s="360">
        <f>+Funcionamiento!I14</f>
        <v>1715434.8750000002</v>
      </c>
      <c r="D26" s="360"/>
      <c r="E26" s="360">
        <f>+Funcionamiento!G14</f>
        <v>1715434.8750000002</v>
      </c>
      <c r="F26" s="360">
        <f>+Funcionamiento!K14</f>
        <v>1715434.8750000002</v>
      </c>
      <c r="G26" s="281">
        <f t="shared" si="5"/>
        <v>6861739.500000001</v>
      </c>
      <c r="H26" s="278">
        <f>+Funcionamiento!F14</f>
        <v>5351297.8194</v>
      </c>
      <c r="I26" s="278">
        <f t="shared" si="6"/>
        <v>12213037.319400001</v>
      </c>
      <c r="J26" s="387">
        <v>9182498</v>
      </c>
      <c r="K26" s="278">
        <f>+J26-I26</f>
        <v>-3030539.3194000013</v>
      </c>
      <c r="L26" s="401">
        <f t="shared" si="4"/>
        <v>0.7518603079525442</v>
      </c>
    </row>
    <row r="27" spans="1:12" ht="14.25">
      <c r="A27" s="26" t="s">
        <v>34</v>
      </c>
      <c r="B27" s="358">
        <f>+Funcionamiento!H15+Funcionamiento!H16</f>
        <v>2250000</v>
      </c>
      <c r="C27" s="358">
        <f>+Funcionamiento!I15+Funcionamiento!I16</f>
        <v>875000</v>
      </c>
      <c r="D27" s="358">
        <f>+Funcionamiento!J16</f>
        <v>375000</v>
      </c>
      <c r="E27" s="358">
        <f>+Funcionamiento!G15+Funcionamiento!G16</f>
        <v>1750000</v>
      </c>
      <c r="F27" s="358">
        <f>+Funcionamiento!K15+Funcionamiento!K16</f>
        <v>2250000</v>
      </c>
      <c r="G27" s="281">
        <f>+B27+C27+E27+F27+D27</f>
        <v>7500000</v>
      </c>
      <c r="H27" s="278">
        <f>+Funcionamiento!F16</f>
        <v>6375000</v>
      </c>
      <c r="I27" s="278">
        <f t="shared" si="6"/>
        <v>13875000</v>
      </c>
      <c r="J27" s="387">
        <v>11089393</v>
      </c>
      <c r="K27" s="278">
        <f>+J27-I27</f>
        <v>-2785607</v>
      </c>
      <c r="L27" s="401">
        <f t="shared" si="4"/>
        <v>0.7992355315315315</v>
      </c>
    </row>
    <row r="28" spans="1:12" ht="14.25">
      <c r="A28" s="26" t="s">
        <v>26</v>
      </c>
      <c r="B28" s="360">
        <f>+Funcionamiento!H18</f>
        <v>3500000</v>
      </c>
      <c r="C28" s="360">
        <v>0</v>
      </c>
      <c r="D28" s="360"/>
      <c r="E28" s="360">
        <f>+Funcionamiento!G18</f>
        <v>3500000</v>
      </c>
      <c r="F28" s="360">
        <v>0</v>
      </c>
      <c r="G28" s="281">
        <f>+B28+C28+E28+F28+D28</f>
        <v>7000000</v>
      </c>
      <c r="H28" s="278">
        <f>+Funcionamiento!F18</f>
        <v>10675761.9375</v>
      </c>
      <c r="I28" s="278">
        <f>+G28+H28</f>
        <v>17675761.9375</v>
      </c>
      <c r="J28" s="387">
        <v>16625299</v>
      </c>
      <c r="K28" s="278">
        <f t="shared" si="3"/>
        <v>-1050462.9375</v>
      </c>
      <c r="L28" s="401">
        <f t="shared" si="4"/>
        <v>0.9405704296530838</v>
      </c>
    </row>
    <row r="29" spans="1:12" ht="14.25">
      <c r="A29" s="26" t="s">
        <v>133</v>
      </c>
      <c r="B29" s="358">
        <f>Funcionamiento!H20</f>
        <v>3000000</v>
      </c>
      <c r="C29" s="358">
        <f>Funcionamiento!I20</f>
        <v>3000000</v>
      </c>
      <c r="D29" s="358">
        <f>+Funcionamiento!J20</f>
        <v>1400000</v>
      </c>
      <c r="E29" s="358">
        <f>+Funcionamiento!G20</f>
        <v>43000000</v>
      </c>
      <c r="F29" s="360">
        <f>+Funcionamiento!K20</f>
        <v>5600000</v>
      </c>
      <c r="G29" s="281">
        <f>+B29+C29+E29+F29+D29</f>
        <v>56000000</v>
      </c>
      <c r="H29" s="278">
        <f>+Funcionamiento!F20</f>
        <v>4500000</v>
      </c>
      <c r="I29" s="278">
        <f>+G29+H29</f>
        <v>60500000</v>
      </c>
      <c r="J29" s="387">
        <v>48006051</v>
      </c>
      <c r="K29" s="278">
        <f t="shared" si="3"/>
        <v>-12493949</v>
      </c>
      <c r="L29" s="401">
        <f t="shared" si="4"/>
        <v>0.7934884462809917</v>
      </c>
    </row>
    <row r="30" spans="1:12" ht="14.25">
      <c r="A30" s="26" t="s">
        <v>112</v>
      </c>
      <c r="B30" s="358">
        <f>+Funcionamiento!H22</f>
        <v>2436000</v>
      </c>
      <c r="C30" s="360">
        <f>+Funcionamiento!I22</f>
        <v>0</v>
      </c>
      <c r="D30" s="360">
        <f>+Funcionamiento!J22</f>
        <v>0</v>
      </c>
      <c r="E30" s="358">
        <f>+Funcionamiento!G22</f>
        <v>3000000</v>
      </c>
      <c r="F30" s="360">
        <v>0</v>
      </c>
      <c r="G30" s="281">
        <f t="shared" si="5"/>
        <v>5436000</v>
      </c>
      <c r="H30" s="278">
        <f>+Funcionamiento!F22</f>
        <v>1944937.5000000002</v>
      </c>
      <c r="I30" s="278">
        <f t="shared" si="6"/>
        <v>7380937.5</v>
      </c>
      <c r="J30" s="387">
        <v>4115350</v>
      </c>
      <c r="K30" s="278">
        <f t="shared" si="3"/>
        <v>-3265587.5</v>
      </c>
      <c r="L30" s="401">
        <f t="shared" si="4"/>
        <v>0.5575646725094204</v>
      </c>
    </row>
    <row r="31" spans="1:12" ht="14.25">
      <c r="A31" s="26" t="s">
        <v>27</v>
      </c>
      <c r="B31" s="358">
        <f>+Funcionamiento!H24</f>
        <v>10610070</v>
      </c>
      <c r="C31" s="360">
        <f>+Funcionamiento!I24</f>
        <v>2052500</v>
      </c>
      <c r="D31" s="360">
        <f>+Funcionamiento!J24</f>
        <v>1200000</v>
      </c>
      <c r="E31" s="360">
        <f>+Funcionamiento!G24</f>
        <v>10500000</v>
      </c>
      <c r="F31" s="360">
        <f>+Funcionamiento!K24</f>
        <v>2593250.0000000005</v>
      </c>
      <c r="G31" s="281">
        <f t="shared" si="5"/>
        <v>26955820</v>
      </c>
      <c r="H31" s="278">
        <f>+Funcionamiento!F24</f>
        <v>6250000</v>
      </c>
      <c r="I31" s="278">
        <f t="shared" si="6"/>
        <v>33205820</v>
      </c>
      <c r="J31" s="387">
        <v>25511705</v>
      </c>
      <c r="K31" s="278">
        <f t="shared" si="3"/>
        <v>-7694115</v>
      </c>
      <c r="L31" s="401">
        <f t="shared" si="4"/>
        <v>0.7682901672056284</v>
      </c>
    </row>
    <row r="32" spans="1:12" ht="14.25">
      <c r="A32" s="26" t="s">
        <v>30</v>
      </c>
      <c r="B32" s="360">
        <f>+Funcionamiento!H26</f>
        <v>1000000</v>
      </c>
      <c r="C32" s="360">
        <f>+Funcionamiento!I26</f>
        <v>540000</v>
      </c>
      <c r="D32" s="360">
        <f>+Funcionamiento!J26</f>
        <v>550000</v>
      </c>
      <c r="E32" s="360">
        <f>+Funcionamiento!G26</f>
        <v>1200000</v>
      </c>
      <c r="F32" s="360">
        <f>+Funcionamiento!K26</f>
        <v>550000</v>
      </c>
      <c r="G32" s="281">
        <f t="shared" si="5"/>
        <v>3840000</v>
      </c>
      <c r="H32" s="278">
        <f>+Funcionamiento!F26</f>
        <v>912824.0000000001</v>
      </c>
      <c r="I32" s="278">
        <f t="shared" si="6"/>
        <v>4752824</v>
      </c>
      <c r="J32" s="387">
        <v>1454620</v>
      </c>
      <c r="K32" s="278">
        <f t="shared" si="3"/>
        <v>-3298204</v>
      </c>
      <c r="L32" s="401">
        <f t="shared" si="4"/>
        <v>0.3060538324162645</v>
      </c>
    </row>
    <row r="33" spans="1:13" ht="14.25">
      <c r="A33" s="26" t="s">
        <v>35</v>
      </c>
      <c r="B33" s="360">
        <f>+Funcionamiento!H28</f>
        <v>1000000</v>
      </c>
      <c r="C33" s="360">
        <f>Funcionamiento!I28</f>
        <v>0</v>
      </c>
      <c r="D33" s="360">
        <f>+Funcionamiento!J28</f>
        <v>12000000</v>
      </c>
      <c r="E33" s="360">
        <f>+Funcionamiento!G28</f>
        <v>9000000</v>
      </c>
      <c r="F33" s="360">
        <v>0</v>
      </c>
      <c r="G33" s="281">
        <f t="shared" si="5"/>
        <v>22000000</v>
      </c>
      <c r="H33" s="278">
        <f>+Funcionamiento!F28</f>
        <v>8150000</v>
      </c>
      <c r="I33" s="278">
        <f t="shared" si="6"/>
        <v>30150000</v>
      </c>
      <c r="J33" s="387">
        <v>7790669</v>
      </c>
      <c r="K33" s="278">
        <f t="shared" si="3"/>
        <v>-22359331</v>
      </c>
      <c r="L33" s="401">
        <f t="shared" si="4"/>
        <v>0.2583969817578773</v>
      </c>
      <c r="M33" s="215"/>
    </row>
    <row r="34" spans="1:12" ht="14.25">
      <c r="A34" s="26" t="s">
        <v>36</v>
      </c>
      <c r="B34" s="300">
        <v>0</v>
      </c>
      <c r="C34" s="281">
        <v>0</v>
      </c>
      <c r="D34" s="281"/>
      <c r="E34" s="281">
        <v>0</v>
      </c>
      <c r="F34" s="281">
        <v>0</v>
      </c>
      <c r="G34" s="281">
        <f t="shared" si="5"/>
        <v>0</v>
      </c>
      <c r="H34" s="278">
        <f>+Funcionamiento!F30</f>
        <v>4836411.25</v>
      </c>
      <c r="I34" s="278">
        <f t="shared" si="6"/>
        <v>4836411.25</v>
      </c>
      <c r="J34" s="387">
        <v>3308692</v>
      </c>
      <c r="K34" s="278">
        <f t="shared" si="3"/>
        <v>-1527719.25</v>
      </c>
      <c r="L34" s="401">
        <f t="shared" si="4"/>
        <v>0.6841213099899228</v>
      </c>
    </row>
    <row r="35" spans="1:12" ht="14.25">
      <c r="A35" s="26" t="s">
        <v>37</v>
      </c>
      <c r="B35" s="300">
        <v>0</v>
      </c>
      <c r="C35" s="281">
        <v>0</v>
      </c>
      <c r="D35" s="281"/>
      <c r="E35" s="360">
        <f>+Funcionamiento!G32</f>
        <v>14400000</v>
      </c>
      <c r="F35" s="281">
        <v>0</v>
      </c>
      <c r="G35" s="281">
        <f t="shared" si="5"/>
        <v>14400000</v>
      </c>
      <c r="H35" s="278">
        <f>+Funcionamiento!F32</f>
        <v>26000000</v>
      </c>
      <c r="I35" s="278">
        <f t="shared" si="6"/>
        <v>40400000</v>
      </c>
      <c r="J35" s="387">
        <v>17804412</v>
      </c>
      <c r="K35" s="278">
        <f t="shared" si="3"/>
        <v>-22595588</v>
      </c>
      <c r="L35" s="401">
        <f t="shared" si="4"/>
        <v>0.44070326732673265</v>
      </c>
    </row>
    <row r="36" spans="1:12" ht="14.25">
      <c r="A36" s="26" t="s">
        <v>38</v>
      </c>
      <c r="B36" s="300">
        <v>0</v>
      </c>
      <c r="C36" s="281">
        <v>0</v>
      </c>
      <c r="D36" s="281"/>
      <c r="E36" s="281">
        <v>0</v>
      </c>
      <c r="F36" s="281">
        <v>0</v>
      </c>
      <c r="G36" s="281">
        <f t="shared" si="5"/>
        <v>0</v>
      </c>
      <c r="H36" s="278">
        <f>+Funcionamiento!F34</f>
        <v>0</v>
      </c>
      <c r="I36" s="278">
        <f t="shared" si="6"/>
        <v>0</v>
      </c>
      <c r="J36" s="383">
        <v>0</v>
      </c>
      <c r="K36" s="278">
        <f t="shared" si="3"/>
        <v>0</v>
      </c>
      <c r="L36" s="401">
        <v>0</v>
      </c>
    </row>
    <row r="37" spans="1:13" ht="15">
      <c r="A37" s="32" t="s">
        <v>119</v>
      </c>
      <c r="B37" s="23">
        <f>SUM(B23:B36)</f>
        <v>25911504.875</v>
      </c>
      <c r="C37" s="23">
        <f>SUM(C23:C36)</f>
        <v>10182934.875</v>
      </c>
      <c r="D37" s="23">
        <f>SUM(D23:D36)</f>
        <v>27525000</v>
      </c>
      <c r="E37" s="23">
        <f>SUM(E23:E36)</f>
        <v>91715434.875</v>
      </c>
      <c r="F37" s="23">
        <f>SUM(F23:F36)</f>
        <v>16208684.875</v>
      </c>
      <c r="G37" s="301">
        <f>+B37+C37+E37+F37+D37</f>
        <v>171543559.5</v>
      </c>
      <c r="H37" s="23">
        <f>SUM(H23:H36)</f>
        <v>118099192.8819</v>
      </c>
      <c r="I37" s="23">
        <f>SUM(I22:I36)</f>
        <v>289642752.3819</v>
      </c>
      <c r="J37" s="23">
        <f>SUM(J23:J36)</f>
        <v>205087678</v>
      </c>
      <c r="K37" s="23">
        <f>+J37-I37</f>
        <v>-84555074.38190001</v>
      </c>
      <c r="L37" s="393">
        <f t="shared" si="4"/>
        <v>0.7080711542527659</v>
      </c>
      <c r="M37" s="215"/>
    </row>
    <row r="38" spans="1:14" ht="15">
      <c r="A38" s="32" t="s">
        <v>120</v>
      </c>
      <c r="B38" s="23">
        <f>+B37+B21</f>
        <v>267457969.51070824</v>
      </c>
      <c r="C38" s="23">
        <f>+C37+C21</f>
        <v>80058815.38500342</v>
      </c>
      <c r="D38" s="23">
        <f>+D37+D21</f>
        <v>53681109.94821446</v>
      </c>
      <c r="E38" s="23">
        <f>+E37+E21</f>
        <v>322616362.0612663</v>
      </c>
      <c r="F38" s="23">
        <f>+F37+F21</f>
        <v>88221347.52169873</v>
      </c>
      <c r="G38" s="301">
        <f>+B38+C38+E38+F38+D38</f>
        <v>812035604.4268911</v>
      </c>
      <c r="H38" s="23">
        <f>+H37+H21</f>
        <v>228032753.63090885</v>
      </c>
      <c r="I38" s="23">
        <f>+I37+I21</f>
        <v>1040068358.0578</v>
      </c>
      <c r="J38" s="23">
        <f>+J37+J21</f>
        <v>870515185</v>
      </c>
      <c r="K38" s="23">
        <f>+J38-I38</f>
        <v>-169553173.05780005</v>
      </c>
      <c r="L38" s="393">
        <f t="shared" si="4"/>
        <v>0.836978818032288</v>
      </c>
      <c r="M38" s="215"/>
      <c r="N38" s="142"/>
    </row>
    <row r="39" spans="1:13" ht="15">
      <c r="A39" s="26"/>
      <c r="B39" s="22"/>
      <c r="C39" s="22"/>
      <c r="D39" s="22"/>
      <c r="E39" s="22"/>
      <c r="F39" s="22"/>
      <c r="G39" s="22"/>
      <c r="H39" s="22"/>
      <c r="I39" s="22"/>
      <c r="J39" s="381"/>
      <c r="K39" s="22"/>
      <c r="L39" s="393"/>
      <c r="M39" s="215"/>
    </row>
    <row r="40" spans="1:13" ht="15">
      <c r="A40" s="32" t="s">
        <v>15</v>
      </c>
      <c r="B40" s="23">
        <f>+B42+B115+B148+B158</f>
        <v>566438771</v>
      </c>
      <c r="C40" s="23">
        <f>+C42+C49+C78+C115+C125+C148+C158+C167</f>
        <v>111334185</v>
      </c>
      <c r="D40" s="23">
        <f>+D42+D49+D78+D115+D125+D148+D158+D167</f>
        <v>154406725</v>
      </c>
      <c r="E40" s="23">
        <f>+E42+E49+E78+E115+E125+E148+E158+E167</f>
        <v>1460300000</v>
      </c>
      <c r="F40" s="23">
        <f>+F42+F49+F78+F115+F125+F148+F158+F167</f>
        <v>1033815816</v>
      </c>
      <c r="G40" s="23">
        <f>+B40+C40+E40+F40+D40</f>
        <v>3326295497</v>
      </c>
      <c r="H40" s="23">
        <v>0</v>
      </c>
      <c r="I40" s="23">
        <f>+H40+G40</f>
        <v>3326295497</v>
      </c>
      <c r="J40" s="23">
        <f>+J42+J49+J78+J115+J125+J148+J158+J167</f>
        <v>2313268566</v>
      </c>
      <c r="K40" s="23">
        <f>+K42+K49+K78+K115+K125+K148+K158+K167</f>
        <v>-1013026931</v>
      </c>
      <c r="L40" s="393">
        <f t="shared" si="4"/>
        <v>0.6954489064745891</v>
      </c>
      <c r="M40" s="215"/>
    </row>
    <row r="41" spans="1:13" ht="15">
      <c r="A41" s="32"/>
      <c r="B41" s="23"/>
      <c r="C41" s="23"/>
      <c r="D41" s="23"/>
      <c r="E41" s="23"/>
      <c r="F41" s="23"/>
      <c r="G41" s="23"/>
      <c r="H41" s="23"/>
      <c r="I41" s="23"/>
      <c r="J41" s="384"/>
      <c r="K41" s="23"/>
      <c r="L41" s="393"/>
      <c r="M41" s="215"/>
    </row>
    <row r="42" spans="1:13" s="323" customFormat="1" ht="31.5" customHeight="1">
      <c r="A42" s="316" t="s">
        <v>259</v>
      </c>
      <c r="B42" s="317">
        <f>+B43</f>
        <v>34209897</v>
      </c>
      <c r="C42" s="317"/>
      <c r="D42" s="317"/>
      <c r="E42" s="317"/>
      <c r="F42" s="317"/>
      <c r="G42" s="317">
        <f>SUM(B42:F42)</f>
        <v>34209897</v>
      </c>
      <c r="H42" s="317"/>
      <c r="I42" s="317">
        <f>+H42+G42</f>
        <v>34209897</v>
      </c>
      <c r="J42" s="317">
        <f>+J43</f>
        <v>23476955</v>
      </c>
      <c r="K42" s="317">
        <f aca="true" t="shared" si="7" ref="K42:K47">+J42-I42</f>
        <v>-10732942</v>
      </c>
      <c r="L42" s="396">
        <f t="shared" si="4"/>
        <v>0.6862620779010238</v>
      </c>
      <c r="M42" s="322"/>
    </row>
    <row r="43" spans="1:13" s="253" customFormat="1" ht="15">
      <c r="A43" s="27" t="s">
        <v>8</v>
      </c>
      <c r="B43" s="23">
        <f>+B44+B46+B47+B45</f>
        <v>34209897</v>
      </c>
      <c r="C43" s="28"/>
      <c r="D43" s="28"/>
      <c r="E43" s="28"/>
      <c r="F43" s="28"/>
      <c r="G43" s="23">
        <f>+SUM(B43:F43)</f>
        <v>34209897</v>
      </c>
      <c r="H43" s="28"/>
      <c r="I43" s="23">
        <f>+G43+H43</f>
        <v>34209897</v>
      </c>
      <c r="J43" s="23">
        <f>+J44+J46+J47+J45</f>
        <v>23476955</v>
      </c>
      <c r="K43" s="23">
        <f t="shared" si="7"/>
        <v>-10732942</v>
      </c>
      <c r="L43" s="393">
        <f t="shared" si="4"/>
        <v>0.6862620779010238</v>
      </c>
      <c r="M43" s="215"/>
    </row>
    <row r="44" spans="1:13" s="253" customFormat="1" ht="15" hidden="1" outlineLevel="1">
      <c r="A44" s="146" t="s">
        <v>155</v>
      </c>
      <c r="B44" s="358">
        <f>9146709+20326</f>
        <v>9167035</v>
      </c>
      <c r="C44" s="28"/>
      <c r="D44" s="28"/>
      <c r="E44" s="28"/>
      <c r="F44" s="28"/>
      <c r="G44" s="25">
        <f>+SUM(B44:F44)</f>
        <v>9167035</v>
      </c>
      <c r="H44" s="28"/>
      <c r="I44" s="147">
        <f>+G44+H44</f>
        <v>9167035</v>
      </c>
      <c r="J44" s="385">
        <v>9167034</v>
      </c>
      <c r="K44" s="147">
        <f t="shared" si="7"/>
        <v>-1</v>
      </c>
      <c r="L44" s="393">
        <f t="shared" si="4"/>
        <v>0.9999998909134742</v>
      </c>
      <c r="M44" s="215"/>
    </row>
    <row r="45" spans="1:13" s="253" customFormat="1" ht="15" hidden="1" outlineLevel="1">
      <c r="A45" s="320" t="s">
        <v>344</v>
      </c>
      <c r="B45" s="358">
        <v>3000000</v>
      </c>
      <c r="C45" s="28"/>
      <c r="D45" s="28"/>
      <c r="E45" s="28"/>
      <c r="F45" s="28"/>
      <c r="G45" s="25">
        <f>+SUM(B45:F45)</f>
        <v>3000000</v>
      </c>
      <c r="H45" s="28"/>
      <c r="I45" s="147">
        <f>+G45+H45</f>
        <v>3000000</v>
      </c>
      <c r="J45" s="385">
        <v>0</v>
      </c>
      <c r="K45" s="147">
        <f t="shared" si="7"/>
        <v>-3000000</v>
      </c>
      <c r="L45" s="393">
        <f t="shared" si="4"/>
        <v>0</v>
      </c>
      <c r="M45" s="215"/>
    </row>
    <row r="46" spans="1:13" s="253" customFormat="1" ht="15" hidden="1" outlineLevel="1">
      <c r="A46" s="146" t="s">
        <v>156</v>
      </c>
      <c r="B46" s="358">
        <v>8000000</v>
      </c>
      <c r="C46" s="28"/>
      <c r="D46" s="28"/>
      <c r="E46" s="28"/>
      <c r="F46" s="28"/>
      <c r="G46" s="25">
        <f>+SUM(B46:F46)</f>
        <v>8000000</v>
      </c>
      <c r="H46" s="28"/>
      <c r="I46" s="147">
        <f>+G46+H46</f>
        <v>8000000</v>
      </c>
      <c r="J46" s="385">
        <v>2850150</v>
      </c>
      <c r="K46" s="147">
        <f t="shared" si="7"/>
        <v>-5149850</v>
      </c>
      <c r="L46" s="393">
        <f t="shared" si="4"/>
        <v>0.35626875</v>
      </c>
      <c r="M46" s="215"/>
    </row>
    <row r="47" spans="1:13" s="253" customFormat="1" ht="15" hidden="1" outlineLevel="1">
      <c r="A47" s="146" t="s">
        <v>231</v>
      </c>
      <c r="B47" s="358">
        <f>14021747+21115</f>
        <v>14042862</v>
      </c>
      <c r="C47" s="28"/>
      <c r="D47" s="28"/>
      <c r="E47" s="28"/>
      <c r="F47" s="28"/>
      <c r="G47" s="25">
        <f>+SUM(B47:F47)</f>
        <v>14042862</v>
      </c>
      <c r="H47" s="28"/>
      <c r="I47" s="147">
        <f>+G47+H47</f>
        <v>14042862</v>
      </c>
      <c r="J47" s="385">
        <v>11459771</v>
      </c>
      <c r="K47" s="147">
        <f t="shared" si="7"/>
        <v>-2583091</v>
      </c>
      <c r="L47" s="393">
        <f t="shared" si="4"/>
        <v>0.8160566556874232</v>
      </c>
      <c r="M47" s="215"/>
    </row>
    <row r="48" spans="1:13" s="253" customFormat="1" ht="15" collapsed="1">
      <c r="A48" s="146"/>
      <c r="B48" s="25"/>
      <c r="C48" s="28"/>
      <c r="D48" s="28"/>
      <c r="E48" s="28"/>
      <c r="F48" s="28"/>
      <c r="G48" s="25"/>
      <c r="H48" s="28"/>
      <c r="I48" s="147"/>
      <c r="J48" s="385"/>
      <c r="K48" s="147"/>
      <c r="L48" s="393"/>
      <c r="M48" s="215"/>
    </row>
    <row r="49" spans="1:13" s="323" customFormat="1" ht="35.25" customHeight="1">
      <c r="A49" s="316" t="s">
        <v>260</v>
      </c>
      <c r="B49" s="317"/>
      <c r="C49" s="317"/>
      <c r="D49" s="317"/>
      <c r="E49" s="317"/>
      <c r="F49" s="317">
        <f>+F50+F58+F65+F73</f>
        <v>929286126</v>
      </c>
      <c r="G49" s="317">
        <f>+F49+E49+C49+B49</f>
        <v>929286126</v>
      </c>
      <c r="H49" s="317"/>
      <c r="I49" s="317">
        <f>+H49+G49</f>
        <v>929286126</v>
      </c>
      <c r="J49" s="317">
        <f>+J50+J58+J65+J73</f>
        <v>709154934</v>
      </c>
      <c r="K49" s="317">
        <f t="shared" si="3"/>
        <v>-220131192</v>
      </c>
      <c r="L49" s="396">
        <f t="shared" si="4"/>
        <v>0.7631179613672614</v>
      </c>
      <c r="M49" s="322"/>
    </row>
    <row r="50" spans="1:13" ht="18.75" customHeight="1">
      <c r="A50" s="27" t="s">
        <v>349</v>
      </c>
      <c r="B50" s="33"/>
      <c r="C50" s="25"/>
      <c r="D50" s="25"/>
      <c r="E50" s="25"/>
      <c r="F50" s="30">
        <f>SUM(F51:F57)</f>
        <v>73553484</v>
      </c>
      <c r="G50" s="23">
        <f>+G51+G52+G53+G54+G55+G56+G57</f>
        <v>73553484</v>
      </c>
      <c r="H50" s="22"/>
      <c r="I50" s="23">
        <f>+I51+I52+I53+I54+I55+I56+I57</f>
        <v>73553484</v>
      </c>
      <c r="J50" s="30">
        <f>SUM(J51:J57)</f>
        <v>9186500</v>
      </c>
      <c r="K50" s="23">
        <f t="shared" si="3"/>
        <v>-64366984</v>
      </c>
      <c r="L50" s="393">
        <f t="shared" si="4"/>
        <v>0.12489551140772612</v>
      </c>
      <c r="M50" s="402"/>
    </row>
    <row r="51" spans="1:13" ht="16.5" customHeight="1" hidden="1" outlineLevel="1">
      <c r="A51" s="255" t="s">
        <v>261</v>
      </c>
      <c r="B51" s="33"/>
      <c r="C51" s="25"/>
      <c r="D51" s="25"/>
      <c r="E51" s="25"/>
      <c r="F51" s="353">
        <v>0</v>
      </c>
      <c r="G51" s="147">
        <f aca="true" t="shared" si="8" ref="G51:G57">+F51+E51+C51+B51</f>
        <v>0</v>
      </c>
      <c r="H51" s="22"/>
      <c r="I51" s="147">
        <f aca="true" t="shared" si="9" ref="I51:I57">+H51+G51</f>
        <v>0</v>
      </c>
      <c r="J51" s="385">
        <v>0</v>
      </c>
      <c r="K51" s="147">
        <f t="shared" si="3"/>
        <v>0</v>
      </c>
      <c r="L51" s="401">
        <v>0</v>
      </c>
      <c r="M51" s="215"/>
    </row>
    <row r="52" spans="1:13" ht="15" customHeight="1" hidden="1" outlineLevel="1">
      <c r="A52" s="343" t="s">
        <v>262</v>
      </c>
      <c r="B52" s="33"/>
      <c r="C52" s="25"/>
      <c r="D52" s="25"/>
      <c r="E52" s="25"/>
      <c r="F52" s="353">
        <v>7206936</v>
      </c>
      <c r="G52" s="147">
        <f t="shared" si="8"/>
        <v>7206936</v>
      </c>
      <c r="H52" s="22"/>
      <c r="I52" s="147">
        <f t="shared" si="9"/>
        <v>7206936</v>
      </c>
      <c r="J52" s="385">
        <v>7200000</v>
      </c>
      <c r="K52" s="147">
        <f t="shared" si="3"/>
        <v>-6936</v>
      </c>
      <c r="L52" s="401">
        <f t="shared" si="4"/>
        <v>0.9990375937846541</v>
      </c>
      <c r="M52" s="215"/>
    </row>
    <row r="53" spans="1:13" ht="15.75" customHeight="1" hidden="1" outlineLevel="1">
      <c r="A53" s="343" t="s">
        <v>263</v>
      </c>
      <c r="B53" s="33"/>
      <c r="C53" s="25"/>
      <c r="D53" s="25"/>
      <c r="E53" s="25"/>
      <c r="F53" s="353">
        <v>18000000</v>
      </c>
      <c r="G53" s="147">
        <f t="shared" si="8"/>
        <v>18000000</v>
      </c>
      <c r="H53" s="22"/>
      <c r="I53" s="147">
        <f t="shared" si="9"/>
        <v>18000000</v>
      </c>
      <c r="J53" s="385">
        <v>0</v>
      </c>
      <c r="K53" s="147">
        <f t="shared" si="3"/>
        <v>-18000000</v>
      </c>
      <c r="L53" s="401">
        <f t="shared" si="4"/>
        <v>0</v>
      </c>
      <c r="M53" s="403"/>
    </row>
    <row r="54" spans="1:13" ht="15" customHeight="1" hidden="1" outlineLevel="1">
      <c r="A54" s="343" t="s">
        <v>228</v>
      </c>
      <c r="B54" s="33"/>
      <c r="C54" s="25"/>
      <c r="D54" s="25"/>
      <c r="E54" s="25"/>
      <c r="F54" s="353">
        <v>3346548</v>
      </c>
      <c r="G54" s="147">
        <f t="shared" si="8"/>
        <v>3346548</v>
      </c>
      <c r="H54" s="22"/>
      <c r="I54" s="147">
        <f t="shared" si="9"/>
        <v>3346548</v>
      </c>
      <c r="J54" s="385">
        <v>1986500</v>
      </c>
      <c r="K54" s="147">
        <f t="shared" si="3"/>
        <v>-1360048</v>
      </c>
      <c r="L54" s="401">
        <f t="shared" si="4"/>
        <v>0.5935967450638688</v>
      </c>
      <c r="M54" s="402"/>
    </row>
    <row r="55" spans="1:13" ht="15.75" customHeight="1" hidden="1" outlineLevel="1">
      <c r="A55" s="343" t="s">
        <v>264</v>
      </c>
      <c r="B55" s="33"/>
      <c r="C55" s="25"/>
      <c r="D55" s="25"/>
      <c r="E55" s="25"/>
      <c r="F55" s="353">
        <v>0</v>
      </c>
      <c r="G55" s="147">
        <f t="shared" si="8"/>
        <v>0</v>
      </c>
      <c r="H55" s="22"/>
      <c r="I55" s="147">
        <f t="shared" si="9"/>
        <v>0</v>
      </c>
      <c r="J55" s="385">
        <v>0</v>
      </c>
      <c r="K55" s="147">
        <f t="shared" si="3"/>
        <v>0</v>
      </c>
      <c r="L55" s="401">
        <v>0</v>
      </c>
      <c r="M55" s="215"/>
    </row>
    <row r="56" spans="1:13" ht="15" customHeight="1" hidden="1" outlineLevel="1">
      <c r="A56" s="343" t="s">
        <v>332</v>
      </c>
      <c r="B56" s="33"/>
      <c r="C56" s="25"/>
      <c r="D56" s="25"/>
      <c r="E56" s="25"/>
      <c r="F56" s="353">
        <v>20000000</v>
      </c>
      <c r="G56" s="147">
        <f t="shared" si="8"/>
        <v>20000000</v>
      </c>
      <c r="H56" s="22"/>
      <c r="I56" s="147">
        <f t="shared" si="9"/>
        <v>20000000</v>
      </c>
      <c r="J56" s="385">
        <v>0</v>
      </c>
      <c r="K56" s="147">
        <f t="shared" si="3"/>
        <v>-20000000</v>
      </c>
      <c r="L56" s="401">
        <f t="shared" si="4"/>
        <v>0</v>
      </c>
      <c r="M56" s="215"/>
    </row>
    <row r="57" spans="1:13" ht="16.5" customHeight="1" hidden="1" outlineLevel="1">
      <c r="A57" s="343" t="s">
        <v>311</v>
      </c>
      <c r="B57" s="33"/>
      <c r="C57" s="25"/>
      <c r="D57" s="25"/>
      <c r="E57" s="25"/>
      <c r="F57" s="353">
        <v>25000000</v>
      </c>
      <c r="G57" s="147">
        <f t="shared" si="8"/>
        <v>25000000</v>
      </c>
      <c r="H57" s="22"/>
      <c r="I57" s="147">
        <f t="shared" si="9"/>
        <v>25000000</v>
      </c>
      <c r="J57" s="385">
        <v>0</v>
      </c>
      <c r="K57" s="147">
        <f t="shared" si="3"/>
        <v>-25000000</v>
      </c>
      <c r="L57" s="401">
        <f t="shared" si="4"/>
        <v>0</v>
      </c>
      <c r="M57" s="402"/>
    </row>
    <row r="58" spans="1:13" ht="15" collapsed="1">
      <c r="A58" s="302" t="s">
        <v>354</v>
      </c>
      <c r="B58" s="33"/>
      <c r="C58" s="25"/>
      <c r="D58" s="25"/>
      <c r="E58" s="25"/>
      <c r="F58" s="354">
        <f>SUM(F59:F64)</f>
        <v>167907511</v>
      </c>
      <c r="G58" s="23">
        <f>+G59+G60+G61+G63+G64+G62</f>
        <v>167907511</v>
      </c>
      <c r="H58" s="22"/>
      <c r="I58" s="23">
        <f>+I59+I60+I61+I63+I64+I62</f>
        <v>167907511</v>
      </c>
      <c r="J58" s="354">
        <f>SUM(J59:J64)</f>
        <v>153841094</v>
      </c>
      <c r="K58" s="23">
        <f t="shared" si="3"/>
        <v>-14066417</v>
      </c>
      <c r="L58" s="393">
        <f t="shared" si="4"/>
        <v>0.9162252068640336</v>
      </c>
      <c r="M58" s="215"/>
    </row>
    <row r="59" spans="1:13" ht="15" hidden="1" outlineLevel="1">
      <c r="A59" s="254" t="s">
        <v>265</v>
      </c>
      <c r="B59" s="33"/>
      <c r="C59" s="25"/>
      <c r="D59" s="25"/>
      <c r="E59" s="25"/>
      <c r="F59" s="353">
        <v>51093157</v>
      </c>
      <c r="G59" s="147">
        <f aca="true" t="shared" si="10" ref="G59:G64">+F59+E59+C59+B59</f>
        <v>51093157</v>
      </c>
      <c r="H59" s="22"/>
      <c r="I59" s="147">
        <f aca="true" t="shared" si="11" ref="I59:I64">+H59+G59</f>
        <v>51093157</v>
      </c>
      <c r="J59" s="385">
        <v>47954176</v>
      </c>
      <c r="K59" s="147">
        <f t="shared" si="3"/>
        <v>-3138981</v>
      </c>
      <c r="L59" s="401">
        <f t="shared" si="4"/>
        <v>0.9385635732002233</v>
      </c>
      <c r="M59" s="215"/>
    </row>
    <row r="60" spans="1:13" ht="15" hidden="1" outlineLevel="1">
      <c r="A60" s="254" t="s">
        <v>266</v>
      </c>
      <c r="B60" s="33"/>
      <c r="C60" s="25"/>
      <c r="D60" s="25"/>
      <c r="E60" s="25"/>
      <c r="F60" s="353">
        <v>37813554</v>
      </c>
      <c r="G60" s="147">
        <f t="shared" si="10"/>
        <v>37813554</v>
      </c>
      <c r="H60" s="22"/>
      <c r="I60" s="147">
        <f t="shared" si="11"/>
        <v>37813554</v>
      </c>
      <c r="J60" s="385">
        <v>34634960</v>
      </c>
      <c r="K60" s="147">
        <f t="shared" si="3"/>
        <v>-3178594</v>
      </c>
      <c r="L60" s="401">
        <f t="shared" si="4"/>
        <v>0.9159403530279117</v>
      </c>
      <c r="M60" s="215"/>
    </row>
    <row r="61" spans="1:13" ht="15" hidden="1" outlineLevel="1">
      <c r="A61" s="254" t="s">
        <v>267</v>
      </c>
      <c r="B61" s="33"/>
      <c r="C61" s="25"/>
      <c r="D61" s="25"/>
      <c r="E61" s="25"/>
      <c r="F61" s="353">
        <v>53690800</v>
      </c>
      <c r="G61" s="147">
        <f t="shared" si="10"/>
        <v>53690800</v>
      </c>
      <c r="H61" s="22"/>
      <c r="I61" s="147">
        <f t="shared" si="11"/>
        <v>53690800</v>
      </c>
      <c r="J61" s="385">
        <v>48190849</v>
      </c>
      <c r="K61" s="147">
        <f t="shared" si="3"/>
        <v>-5499951</v>
      </c>
      <c r="L61" s="401">
        <f t="shared" si="4"/>
        <v>0.8975625060531786</v>
      </c>
      <c r="M61" s="215"/>
    </row>
    <row r="62" spans="1:13" ht="15" hidden="1" outlineLevel="1">
      <c r="A62" s="254" t="s">
        <v>268</v>
      </c>
      <c r="B62" s="33"/>
      <c r="C62" s="25"/>
      <c r="D62" s="25"/>
      <c r="E62" s="25"/>
      <c r="F62" s="353">
        <v>6500000</v>
      </c>
      <c r="G62" s="147">
        <f t="shared" si="10"/>
        <v>6500000</v>
      </c>
      <c r="H62" s="22"/>
      <c r="I62" s="147">
        <f t="shared" si="11"/>
        <v>6500000</v>
      </c>
      <c r="J62" s="385">
        <v>6500000</v>
      </c>
      <c r="K62" s="147">
        <f t="shared" si="3"/>
        <v>0</v>
      </c>
      <c r="L62" s="401">
        <f t="shared" si="4"/>
        <v>1</v>
      </c>
      <c r="M62" s="215"/>
    </row>
    <row r="63" spans="1:13" ht="15" hidden="1" outlineLevel="1">
      <c r="A63" s="254" t="s">
        <v>269</v>
      </c>
      <c r="B63" s="33"/>
      <c r="C63" s="25"/>
      <c r="D63" s="25"/>
      <c r="E63" s="25"/>
      <c r="F63" s="353">
        <v>17010000</v>
      </c>
      <c r="G63" s="147">
        <f t="shared" si="10"/>
        <v>17010000</v>
      </c>
      <c r="H63" s="22"/>
      <c r="I63" s="147">
        <f t="shared" si="11"/>
        <v>17010000</v>
      </c>
      <c r="J63" s="385">
        <v>16561109</v>
      </c>
      <c r="K63" s="147">
        <f t="shared" si="3"/>
        <v>-448891</v>
      </c>
      <c r="L63" s="401">
        <f t="shared" si="4"/>
        <v>0.9736101704879483</v>
      </c>
      <c r="M63" s="215"/>
    </row>
    <row r="64" spans="1:13" ht="15" hidden="1" outlineLevel="1">
      <c r="A64" s="254" t="s">
        <v>270</v>
      </c>
      <c r="B64" s="33"/>
      <c r="C64" s="25"/>
      <c r="D64" s="25"/>
      <c r="E64" s="25"/>
      <c r="F64" s="353">
        <v>1800000</v>
      </c>
      <c r="G64" s="147">
        <f t="shared" si="10"/>
        <v>1800000</v>
      </c>
      <c r="H64" s="22"/>
      <c r="I64" s="147">
        <f t="shared" si="11"/>
        <v>1800000</v>
      </c>
      <c r="J64" s="385">
        <v>0</v>
      </c>
      <c r="K64" s="147">
        <f t="shared" si="3"/>
        <v>-1800000</v>
      </c>
      <c r="L64" s="401">
        <f t="shared" si="4"/>
        <v>0</v>
      </c>
      <c r="M64" s="402"/>
    </row>
    <row r="65" spans="1:13" ht="15" collapsed="1">
      <c r="A65" s="303" t="s">
        <v>206</v>
      </c>
      <c r="B65" s="33"/>
      <c r="C65" s="25"/>
      <c r="D65" s="25"/>
      <c r="E65" s="25"/>
      <c r="F65" s="354">
        <f>SUM(F66:F72)</f>
        <v>680388880</v>
      </c>
      <c r="G65" s="23">
        <f>+G66+G67+G68+G69+G70+G71+G72</f>
        <v>680388880</v>
      </c>
      <c r="H65" s="22"/>
      <c r="I65" s="23">
        <f>+I66+I67+I68+I69+I70+I71+I72</f>
        <v>680388880</v>
      </c>
      <c r="J65" s="354">
        <f>SUM(J66:J72)</f>
        <v>541168452</v>
      </c>
      <c r="K65" s="23">
        <f t="shared" si="3"/>
        <v>-139220428</v>
      </c>
      <c r="L65" s="393">
        <f t="shared" si="4"/>
        <v>0.7953810944117723</v>
      </c>
      <c r="M65" s="215"/>
    </row>
    <row r="66" spans="1:13" ht="15" customHeight="1" hidden="1" outlineLevel="1">
      <c r="A66" s="255" t="s">
        <v>271</v>
      </c>
      <c r="B66" s="33"/>
      <c r="C66" s="25"/>
      <c r="D66" s="25"/>
      <c r="E66" s="25"/>
      <c r="F66" s="147">
        <f>160000000+50000000+440000000</f>
        <v>650000000</v>
      </c>
      <c r="G66" s="147">
        <f aca="true" t="shared" si="12" ref="G66:G72">+F66+E66+C66+B66</f>
        <v>650000000</v>
      </c>
      <c r="H66" s="22"/>
      <c r="I66" s="407">
        <v>650000000</v>
      </c>
      <c r="J66" s="385">
        <v>520908119</v>
      </c>
      <c r="K66" s="147">
        <f t="shared" si="3"/>
        <v>-129091881</v>
      </c>
      <c r="L66" s="401">
        <f t="shared" si="4"/>
        <v>0.8013971061538462</v>
      </c>
      <c r="M66" s="215"/>
    </row>
    <row r="67" spans="1:13" ht="15" customHeight="1" hidden="1" outlineLevel="1">
      <c r="A67" s="343" t="s">
        <v>272</v>
      </c>
      <c r="B67" s="33"/>
      <c r="C67" s="25"/>
      <c r="D67" s="25"/>
      <c r="E67" s="25"/>
      <c r="F67" s="353">
        <v>0</v>
      </c>
      <c r="G67" s="147">
        <f t="shared" si="12"/>
        <v>0</v>
      </c>
      <c r="H67" s="22"/>
      <c r="I67" s="407">
        <v>0</v>
      </c>
      <c r="J67" s="385">
        <v>0</v>
      </c>
      <c r="K67" s="147">
        <f t="shared" si="3"/>
        <v>0</v>
      </c>
      <c r="L67" s="401">
        <v>0</v>
      </c>
      <c r="M67" s="215"/>
    </row>
    <row r="68" spans="1:13" ht="15" customHeight="1" hidden="1" outlineLevel="1">
      <c r="A68" s="343" t="s">
        <v>273</v>
      </c>
      <c r="B68" s="33"/>
      <c r="C68" s="25"/>
      <c r="D68" s="25"/>
      <c r="E68" s="25"/>
      <c r="F68" s="353">
        <v>13200000</v>
      </c>
      <c r="G68" s="147">
        <f t="shared" si="12"/>
        <v>13200000</v>
      </c>
      <c r="H68" s="22"/>
      <c r="I68" s="407">
        <v>13200000</v>
      </c>
      <c r="J68" s="385">
        <v>4340170</v>
      </c>
      <c r="K68" s="147">
        <f t="shared" si="3"/>
        <v>-8859830</v>
      </c>
      <c r="L68" s="401">
        <f t="shared" si="4"/>
        <v>0.32880075757575755</v>
      </c>
      <c r="M68" s="215"/>
    </row>
    <row r="69" spans="1:13" ht="15" customHeight="1" hidden="1" outlineLevel="1">
      <c r="A69" s="343" t="s">
        <v>274</v>
      </c>
      <c r="B69" s="33"/>
      <c r="C69" s="25"/>
      <c r="D69" s="25"/>
      <c r="E69" s="25"/>
      <c r="F69" s="353">
        <v>7900000</v>
      </c>
      <c r="G69" s="147">
        <f t="shared" si="12"/>
        <v>7900000</v>
      </c>
      <c r="H69" s="22"/>
      <c r="I69" s="407">
        <f>7900000-366694</f>
        <v>7533306</v>
      </c>
      <c r="J69" s="385">
        <v>6264590</v>
      </c>
      <c r="K69" s="147">
        <f t="shared" si="3"/>
        <v>-1268716</v>
      </c>
      <c r="L69" s="401">
        <f t="shared" si="4"/>
        <v>0.8315857606209014</v>
      </c>
      <c r="M69" s="215"/>
    </row>
    <row r="70" spans="1:13" ht="15" customHeight="1" hidden="1" outlineLevel="1">
      <c r="A70" s="343" t="s">
        <v>275</v>
      </c>
      <c r="B70" s="33"/>
      <c r="C70" s="25"/>
      <c r="D70" s="25"/>
      <c r="E70" s="25"/>
      <c r="F70" s="353">
        <v>0</v>
      </c>
      <c r="G70" s="147">
        <f t="shared" si="12"/>
        <v>0</v>
      </c>
      <c r="H70" s="22"/>
      <c r="I70" s="408">
        <v>0</v>
      </c>
      <c r="J70" s="385">
        <v>0</v>
      </c>
      <c r="K70" s="147">
        <f t="shared" si="3"/>
        <v>0</v>
      </c>
      <c r="L70" s="401">
        <v>0</v>
      </c>
      <c r="M70" s="215"/>
    </row>
    <row r="71" spans="1:13" ht="15" hidden="1" outlineLevel="1">
      <c r="A71" s="343" t="s">
        <v>276</v>
      </c>
      <c r="B71" s="33"/>
      <c r="C71" s="25"/>
      <c r="D71" s="25"/>
      <c r="E71" s="25"/>
      <c r="F71" s="353">
        <v>9288880</v>
      </c>
      <c r="G71" s="147">
        <f t="shared" si="12"/>
        <v>9288880</v>
      </c>
      <c r="H71" s="22"/>
      <c r="I71" s="407">
        <f>9288880+366694</f>
        <v>9655574</v>
      </c>
      <c r="J71" s="385">
        <v>9655573</v>
      </c>
      <c r="K71" s="147">
        <f t="shared" si="3"/>
        <v>-1</v>
      </c>
      <c r="L71" s="401">
        <f t="shared" si="4"/>
        <v>0.9999998964328791</v>
      </c>
      <c r="M71" s="215"/>
    </row>
    <row r="72" spans="1:13" ht="15" hidden="1" outlineLevel="1">
      <c r="A72" s="343" t="s">
        <v>298</v>
      </c>
      <c r="B72" s="33"/>
      <c r="C72" s="25"/>
      <c r="D72" s="25"/>
      <c r="E72" s="25"/>
      <c r="F72" s="353">
        <v>0</v>
      </c>
      <c r="G72" s="147">
        <f t="shared" si="12"/>
        <v>0</v>
      </c>
      <c r="H72" s="22"/>
      <c r="I72" s="407">
        <v>0</v>
      </c>
      <c r="J72" s="385">
        <v>0</v>
      </c>
      <c r="K72" s="147">
        <f t="shared" si="3"/>
        <v>0</v>
      </c>
      <c r="L72" s="401">
        <v>0</v>
      </c>
      <c r="M72" s="215"/>
    </row>
    <row r="73" spans="1:13" ht="15" collapsed="1">
      <c r="A73" s="344" t="s">
        <v>207</v>
      </c>
      <c r="B73" s="33"/>
      <c r="C73" s="25"/>
      <c r="D73" s="25"/>
      <c r="E73" s="25"/>
      <c r="F73" s="354">
        <f>+F74+F75+F76</f>
        <v>7436251</v>
      </c>
      <c r="G73" s="23">
        <f>+G74+G75+G76</f>
        <v>7436251</v>
      </c>
      <c r="H73" s="22"/>
      <c r="I73" s="23">
        <f>+I74+I75+I76</f>
        <v>7436251</v>
      </c>
      <c r="J73" s="354">
        <f>+J74+J75+J76</f>
        <v>4958888</v>
      </c>
      <c r="K73" s="23">
        <f t="shared" si="3"/>
        <v>-2477363</v>
      </c>
      <c r="L73" s="393">
        <f t="shared" si="4"/>
        <v>0.666853230209685</v>
      </c>
      <c r="M73" s="215"/>
    </row>
    <row r="74" spans="1:13" ht="15" hidden="1" outlineLevel="1">
      <c r="A74" s="343" t="s">
        <v>277</v>
      </c>
      <c r="B74" s="33"/>
      <c r="C74" s="25"/>
      <c r="D74" s="25"/>
      <c r="E74" s="25"/>
      <c r="F74" s="353">
        <v>7436251</v>
      </c>
      <c r="G74" s="147">
        <f>+F74+E74+C74+B74</f>
        <v>7436251</v>
      </c>
      <c r="H74" s="22"/>
      <c r="I74" s="147">
        <f>+H74+G74</f>
        <v>7436251</v>
      </c>
      <c r="J74" s="385">
        <v>4958888</v>
      </c>
      <c r="K74" s="147">
        <f aca="true" t="shared" si="13" ref="K74:K137">+J74-I74</f>
        <v>-2477363</v>
      </c>
      <c r="L74" s="401">
        <f t="shared" si="4"/>
        <v>0.666853230209685</v>
      </c>
      <c r="M74" s="215"/>
    </row>
    <row r="75" spans="1:13" ht="15" hidden="1" outlineLevel="1">
      <c r="A75" s="343" t="s">
        <v>312</v>
      </c>
      <c r="B75" s="33"/>
      <c r="C75" s="25"/>
      <c r="D75" s="25"/>
      <c r="E75" s="25"/>
      <c r="F75" s="353">
        <v>0</v>
      </c>
      <c r="G75" s="147">
        <f>+F75+E75+C75+B75</f>
        <v>0</v>
      </c>
      <c r="H75" s="22"/>
      <c r="I75" s="147">
        <f>+H75+G75</f>
        <v>0</v>
      </c>
      <c r="J75" s="385">
        <v>0</v>
      </c>
      <c r="K75" s="147">
        <f t="shared" si="13"/>
        <v>0</v>
      </c>
      <c r="L75" s="401">
        <v>0</v>
      </c>
      <c r="M75" s="215"/>
    </row>
    <row r="76" spans="1:13" ht="15" hidden="1" outlineLevel="1">
      <c r="A76" s="343" t="s">
        <v>313</v>
      </c>
      <c r="B76" s="33"/>
      <c r="C76" s="25"/>
      <c r="D76" s="25"/>
      <c r="E76" s="25"/>
      <c r="F76" s="353">
        <v>0</v>
      </c>
      <c r="G76" s="147">
        <f>+F76+E76+C76+B76</f>
        <v>0</v>
      </c>
      <c r="H76" s="22"/>
      <c r="I76" s="147">
        <f>+H76+G76</f>
        <v>0</v>
      </c>
      <c r="J76" s="385">
        <v>0</v>
      </c>
      <c r="K76" s="147">
        <f t="shared" si="13"/>
        <v>0</v>
      </c>
      <c r="L76" s="401">
        <v>0</v>
      </c>
      <c r="M76" s="215"/>
    </row>
    <row r="77" spans="1:13" ht="15" collapsed="1">
      <c r="A77" s="255"/>
      <c r="B77" s="33"/>
      <c r="C77" s="25"/>
      <c r="D77" s="25"/>
      <c r="E77" s="25"/>
      <c r="F77" s="353"/>
      <c r="G77" s="147"/>
      <c r="H77" s="22"/>
      <c r="I77" s="147"/>
      <c r="J77" s="385"/>
      <c r="K77" s="147"/>
      <c r="L77" s="393"/>
      <c r="M77" s="215"/>
    </row>
    <row r="78" spans="1:13" s="323" customFormat="1" ht="43.5" customHeight="1">
      <c r="A78" s="316" t="s">
        <v>278</v>
      </c>
      <c r="B78" s="317"/>
      <c r="C78" s="317">
        <f>+C108</f>
        <v>55507015</v>
      </c>
      <c r="D78" s="317"/>
      <c r="E78" s="317">
        <f>+E79</f>
        <v>1460300000</v>
      </c>
      <c r="F78" s="317"/>
      <c r="G78" s="317">
        <f>+E78+C78</f>
        <v>1515807015</v>
      </c>
      <c r="H78" s="317"/>
      <c r="I78" s="317">
        <f>+H78+G78</f>
        <v>1515807015</v>
      </c>
      <c r="J78" s="317">
        <f>+J79+J108</f>
        <v>1086415328</v>
      </c>
      <c r="K78" s="317">
        <f>+J78-I78</f>
        <v>-429391687</v>
      </c>
      <c r="L78" s="396">
        <f t="shared" si="4"/>
        <v>0.7167240402301477</v>
      </c>
      <c r="M78" s="322"/>
    </row>
    <row r="79" spans="1:13" ht="15">
      <c r="A79" s="18" t="s">
        <v>345</v>
      </c>
      <c r="B79" s="22"/>
      <c r="C79" s="23"/>
      <c r="D79" s="23"/>
      <c r="E79" s="30">
        <f>+E80+E85+E93+E100+E103</f>
        <v>1460300000</v>
      </c>
      <c r="F79" s="28"/>
      <c r="G79" s="30">
        <f>+F79+E79+C79+B79</f>
        <v>1460300000</v>
      </c>
      <c r="H79" s="28"/>
      <c r="I79" s="30">
        <f>+H79+G79</f>
        <v>1460300000</v>
      </c>
      <c r="J79" s="30">
        <f>+J80+J85+J93+J100+J103</f>
        <v>1050516729</v>
      </c>
      <c r="K79" s="30">
        <f t="shared" si="13"/>
        <v>-409783271</v>
      </c>
      <c r="L79" s="393">
        <f t="shared" si="4"/>
        <v>0.7193841874957201</v>
      </c>
      <c r="M79" s="215"/>
    </row>
    <row r="80" spans="1:13" ht="15">
      <c r="A80" s="32" t="s">
        <v>75</v>
      </c>
      <c r="B80" s="28"/>
      <c r="C80" s="25"/>
      <c r="D80" s="25"/>
      <c r="E80" s="30">
        <f>+E81+E82+E83+E84</f>
        <v>468000000</v>
      </c>
      <c r="F80" s="22"/>
      <c r="G80" s="30">
        <f>+G81+G82+G83+G84</f>
        <v>468000000</v>
      </c>
      <c r="H80" s="22"/>
      <c r="I80" s="30">
        <f>+I81+I82+I83+I84</f>
        <v>468000000</v>
      </c>
      <c r="J80" s="30">
        <f>+J81+J82+J83+J84</f>
        <v>462869943</v>
      </c>
      <c r="K80" s="30">
        <f t="shared" si="13"/>
        <v>-5130057</v>
      </c>
      <c r="L80" s="393">
        <f t="shared" si="4"/>
        <v>0.9890383397435898</v>
      </c>
      <c r="M80" s="215"/>
    </row>
    <row r="81" spans="1:13" ht="15" hidden="1" outlineLevel="1">
      <c r="A81" s="29" t="s">
        <v>191</v>
      </c>
      <c r="B81" s="28"/>
      <c r="C81" s="25"/>
      <c r="D81" s="25"/>
      <c r="E81" s="288">
        <v>250000000</v>
      </c>
      <c r="F81" s="22"/>
      <c r="G81" s="304">
        <f>+F81+E81+C81+B81</f>
        <v>250000000</v>
      </c>
      <c r="H81" s="22"/>
      <c r="I81" s="407">
        <f>250000000+5616118+19000000</f>
        <v>274616118</v>
      </c>
      <c r="J81" s="385">
        <v>270000218</v>
      </c>
      <c r="K81" s="147">
        <f t="shared" si="13"/>
        <v>-4615900</v>
      </c>
      <c r="L81" s="401">
        <f t="shared" si="4"/>
        <v>0.9831914454489521</v>
      </c>
      <c r="M81" s="215"/>
    </row>
    <row r="82" spans="1:13" ht="15" hidden="1" outlineLevel="1">
      <c r="A82" s="29" t="s">
        <v>72</v>
      </c>
      <c r="B82" s="28"/>
      <c r="C82" s="25"/>
      <c r="D82" s="25"/>
      <c r="E82" s="288">
        <v>30000000</v>
      </c>
      <c r="F82" s="22"/>
      <c r="G82" s="304">
        <f>+F82+E82+C82+B82</f>
        <v>30000000</v>
      </c>
      <c r="H82" s="22"/>
      <c r="I82" s="407">
        <f>30000000-5616118</f>
        <v>24383882</v>
      </c>
      <c r="J82" s="385">
        <v>23906423</v>
      </c>
      <c r="K82" s="147">
        <f t="shared" si="13"/>
        <v>-477459</v>
      </c>
      <c r="L82" s="401">
        <f t="shared" si="4"/>
        <v>0.9804190735503067</v>
      </c>
      <c r="M82" s="215"/>
    </row>
    <row r="83" spans="1:13" ht="15" hidden="1" outlineLevel="1">
      <c r="A83" s="29" t="s">
        <v>74</v>
      </c>
      <c r="B83" s="28"/>
      <c r="C83" s="25"/>
      <c r="D83" s="25"/>
      <c r="E83" s="288">
        <v>130000000</v>
      </c>
      <c r="F83" s="22"/>
      <c r="G83" s="304">
        <f>+F83+E83+C83+B83</f>
        <v>130000000</v>
      </c>
      <c r="H83" s="22"/>
      <c r="I83" s="407">
        <v>130000000</v>
      </c>
      <c r="J83" s="385">
        <v>129963302</v>
      </c>
      <c r="K83" s="147">
        <f t="shared" si="13"/>
        <v>-36698</v>
      </c>
      <c r="L83" s="401">
        <f t="shared" si="4"/>
        <v>0.9997177076923077</v>
      </c>
      <c r="M83" s="215"/>
    </row>
    <row r="84" spans="1:13" ht="15" hidden="1" outlineLevel="1">
      <c r="A84" s="29" t="s">
        <v>190</v>
      </c>
      <c r="B84" s="28"/>
      <c r="C84" s="25"/>
      <c r="D84" s="25"/>
      <c r="E84" s="288">
        <v>58000000</v>
      </c>
      <c r="F84" s="22"/>
      <c r="G84" s="304">
        <f>+F84+E84+C84+B84</f>
        <v>58000000</v>
      </c>
      <c r="H84" s="22"/>
      <c r="I84" s="407">
        <f>58000000-19000000</f>
        <v>39000000</v>
      </c>
      <c r="J84" s="385">
        <v>39000000</v>
      </c>
      <c r="K84" s="147">
        <f t="shared" si="13"/>
        <v>0</v>
      </c>
      <c r="L84" s="401">
        <f aca="true" t="shared" si="14" ref="L84:L146">+J84/I84</f>
        <v>1</v>
      </c>
      <c r="M84" s="215"/>
    </row>
    <row r="85" spans="1:13" ht="15" collapsed="1">
      <c r="A85" s="32" t="s">
        <v>9</v>
      </c>
      <c r="B85" s="28"/>
      <c r="C85" s="25"/>
      <c r="D85" s="25"/>
      <c r="E85" s="354">
        <f>+E86+E90</f>
        <v>203000000</v>
      </c>
      <c r="F85" s="22"/>
      <c r="G85" s="30">
        <f>+G86+G90</f>
        <v>203000000</v>
      </c>
      <c r="H85" s="22"/>
      <c r="I85" s="30">
        <f>+I86+I90</f>
        <v>203000000</v>
      </c>
      <c r="J85" s="354">
        <f>+J86+J90</f>
        <v>102428229</v>
      </c>
      <c r="K85" s="30">
        <f t="shared" si="13"/>
        <v>-100571771</v>
      </c>
      <c r="L85" s="393">
        <f t="shared" si="14"/>
        <v>0.5045725566502463</v>
      </c>
      <c r="M85" s="215"/>
    </row>
    <row r="86" spans="1:13" ht="15" hidden="1" outlineLevel="1">
      <c r="A86" s="256" t="s">
        <v>79</v>
      </c>
      <c r="B86" s="28"/>
      <c r="C86" s="25"/>
      <c r="D86" s="25"/>
      <c r="E86" s="354">
        <f>+E88+E89+E87</f>
        <v>83000000</v>
      </c>
      <c r="F86" s="22"/>
      <c r="G86" s="30">
        <f>+F86+E86</f>
        <v>83000000</v>
      </c>
      <c r="H86" s="22"/>
      <c r="I86" s="30">
        <f>+H86+G86</f>
        <v>83000000</v>
      </c>
      <c r="J86" s="354">
        <f>+J88+J89+J87</f>
        <v>81116829</v>
      </c>
      <c r="K86" s="30">
        <f t="shared" si="13"/>
        <v>-1883171</v>
      </c>
      <c r="L86" s="393">
        <f t="shared" si="14"/>
        <v>0.9773111927710844</v>
      </c>
      <c r="M86" s="215"/>
    </row>
    <row r="87" spans="1:13" ht="15" hidden="1" outlineLevel="2">
      <c r="A87" s="146" t="s">
        <v>242</v>
      </c>
      <c r="B87" s="28"/>
      <c r="C87" s="25"/>
      <c r="D87" s="25"/>
      <c r="E87" s="353">
        <v>25000000</v>
      </c>
      <c r="F87" s="22"/>
      <c r="G87" s="147">
        <f>+B87+C87+E87+F87</f>
        <v>25000000</v>
      </c>
      <c r="H87" s="305"/>
      <c r="I87" s="147">
        <f>+H87+G87</f>
        <v>25000000</v>
      </c>
      <c r="J87" s="385">
        <v>25000000</v>
      </c>
      <c r="K87" s="147">
        <f t="shared" si="13"/>
        <v>0</v>
      </c>
      <c r="L87" s="401">
        <f t="shared" si="14"/>
        <v>1</v>
      </c>
      <c r="M87" s="215"/>
    </row>
    <row r="88" spans="1:13" ht="15" hidden="1" outlineLevel="2">
      <c r="A88" s="146" t="s">
        <v>151</v>
      </c>
      <c r="B88" s="28"/>
      <c r="C88" s="25"/>
      <c r="D88" s="25"/>
      <c r="E88" s="288">
        <f>35000000+8000000</f>
        <v>43000000</v>
      </c>
      <c r="F88" s="22"/>
      <c r="G88" s="304">
        <f>+F88+E88+C88+B88</f>
        <v>43000000</v>
      </c>
      <c r="H88" s="22"/>
      <c r="I88" s="147">
        <f>+H88+G88</f>
        <v>43000000</v>
      </c>
      <c r="J88" s="385">
        <v>43885042</v>
      </c>
      <c r="K88" s="147">
        <f t="shared" si="13"/>
        <v>885042</v>
      </c>
      <c r="L88" s="401">
        <f t="shared" si="14"/>
        <v>1.0205823720930232</v>
      </c>
      <c r="M88" s="215"/>
    </row>
    <row r="89" spans="1:13" ht="15" hidden="1" outlineLevel="2">
      <c r="A89" s="146" t="s">
        <v>152</v>
      </c>
      <c r="B89" s="28"/>
      <c r="C89" s="25"/>
      <c r="D89" s="25"/>
      <c r="E89" s="288">
        <v>15000000</v>
      </c>
      <c r="F89" s="22"/>
      <c r="G89" s="304">
        <f>+F89+E89+C89+B89</f>
        <v>15000000</v>
      </c>
      <c r="H89" s="22"/>
      <c r="I89" s="147">
        <f>+H89+G89</f>
        <v>15000000</v>
      </c>
      <c r="J89" s="385">
        <v>12231787</v>
      </c>
      <c r="K89" s="147">
        <f t="shared" si="13"/>
        <v>-2768213</v>
      </c>
      <c r="L89" s="401">
        <f t="shared" si="14"/>
        <v>0.8154524666666667</v>
      </c>
      <c r="M89" s="215"/>
    </row>
    <row r="90" spans="1:13" ht="15" hidden="1" outlineLevel="1">
      <c r="A90" s="256" t="s">
        <v>78</v>
      </c>
      <c r="B90" s="28"/>
      <c r="C90" s="25"/>
      <c r="D90" s="25"/>
      <c r="E90" s="354">
        <f>+E91</f>
        <v>120000000</v>
      </c>
      <c r="F90" s="22"/>
      <c r="G90" s="30">
        <f>+G91</f>
        <v>120000000</v>
      </c>
      <c r="H90" s="22"/>
      <c r="I90" s="30">
        <f>+I91</f>
        <v>120000000</v>
      </c>
      <c r="J90" s="354">
        <f>+J91</f>
        <v>21311400</v>
      </c>
      <c r="K90" s="30">
        <f t="shared" si="13"/>
        <v>-98688600</v>
      </c>
      <c r="L90" s="393">
        <f t="shared" si="14"/>
        <v>0.177595</v>
      </c>
      <c r="M90" s="215"/>
    </row>
    <row r="91" spans="1:13" ht="15" hidden="1" outlineLevel="2">
      <c r="A91" s="29" t="s">
        <v>71</v>
      </c>
      <c r="B91" s="28"/>
      <c r="C91" s="25"/>
      <c r="D91" s="25"/>
      <c r="E91" s="288">
        <v>120000000</v>
      </c>
      <c r="F91" s="22"/>
      <c r="G91" s="304">
        <f>+F91+E91+C91+B91</f>
        <v>120000000</v>
      </c>
      <c r="H91" s="22"/>
      <c r="I91" s="147">
        <f>+H91+G91</f>
        <v>120000000</v>
      </c>
      <c r="J91" s="385">
        <v>21311400</v>
      </c>
      <c r="K91" s="147">
        <f t="shared" si="13"/>
        <v>-98688600</v>
      </c>
      <c r="L91" s="401">
        <f t="shared" si="14"/>
        <v>0.177595</v>
      </c>
      <c r="M91" s="215"/>
    </row>
    <row r="92" spans="1:13" ht="15" hidden="1" outlineLevel="1">
      <c r="A92" s="29"/>
      <c r="B92" s="28"/>
      <c r="C92" s="25"/>
      <c r="D92" s="25"/>
      <c r="E92" s="288"/>
      <c r="F92" s="22"/>
      <c r="G92" s="304"/>
      <c r="H92" s="22"/>
      <c r="I92" s="147"/>
      <c r="J92" s="385"/>
      <c r="K92" s="147"/>
      <c r="L92" s="393"/>
      <c r="M92" s="215"/>
    </row>
    <row r="93" spans="1:13" ht="15" collapsed="1">
      <c r="A93" s="32" t="s">
        <v>333</v>
      </c>
      <c r="B93" s="28"/>
      <c r="C93" s="25"/>
      <c r="D93" s="25"/>
      <c r="E93" s="354">
        <f>+SUM(E94:E99)</f>
        <v>81000000</v>
      </c>
      <c r="F93" s="25"/>
      <c r="G93" s="30">
        <f>+B93+C93+D93+E93+F93</f>
        <v>81000000</v>
      </c>
      <c r="H93" s="22"/>
      <c r="I93" s="30">
        <f>+SUM(I94:I99)</f>
        <v>81000000</v>
      </c>
      <c r="J93" s="354">
        <f>+SUM(J94:J99)</f>
        <v>28212963</v>
      </c>
      <c r="K93" s="30">
        <f t="shared" si="13"/>
        <v>-52787037</v>
      </c>
      <c r="L93" s="393">
        <f t="shared" si="14"/>
        <v>0.3483081851851852</v>
      </c>
      <c r="M93" s="406"/>
    </row>
    <row r="94" spans="1:13" ht="15" hidden="1" outlineLevel="1">
      <c r="A94" s="146" t="s">
        <v>338</v>
      </c>
      <c r="B94" s="28"/>
      <c r="C94" s="25"/>
      <c r="D94" s="25"/>
      <c r="E94" s="358">
        <v>40000000</v>
      </c>
      <c r="F94" s="25"/>
      <c r="G94" s="147">
        <f>+B94+C94+D94+E94+F94</f>
        <v>40000000</v>
      </c>
      <c r="H94" s="22"/>
      <c r="I94" s="147">
        <f aca="true" t="shared" si="15" ref="I94:I99">+H94+G94</f>
        <v>40000000</v>
      </c>
      <c r="J94" s="385">
        <v>8717780</v>
      </c>
      <c r="K94" s="147">
        <f t="shared" si="13"/>
        <v>-31282220</v>
      </c>
      <c r="L94" s="401">
        <f t="shared" si="14"/>
        <v>0.2179445</v>
      </c>
      <c r="M94" s="215"/>
    </row>
    <row r="95" spans="1:13" ht="15" hidden="1" outlineLevel="1">
      <c r="A95" s="146" t="s">
        <v>339</v>
      </c>
      <c r="B95" s="28"/>
      <c r="C95" s="25"/>
      <c r="D95" s="25"/>
      <c r="E95" s="358">
        <v>19000000</v>
      </c>
      <c r="F95" s="25"/>
      <c r="G95" s="147">
        <f aca="true" t="shared" si="16" ref="G95:G102">+B95+C95+D95+E95+F95</f>
        <v>19000000</v>
      </c>
      <c r="H95" s="22"/>
      <c r="I95" s="147">
        <f t="shared" si="15"/>
        <v>19000000</v>
      </c>
      <c r="J95" s="385">
        <v>19000000</v>
      </c>
      <c r="K95" s="147">
        <f t="shared" si="13"/>
        <v>0</v>
      </c>
      <c r="L95" s="401">
        <f t="shared" si="14"/>
        <v>1</v>
      </c>
      <c r="M95" s="215"/>
    </row>
    <row r="96" spans="1:13" ht="15" hidden="1" outlineLevel="1">
      <c r="A96" s="320" t="s">
        <v>243</v>
      </c>
      <c r="B96" s="28"/>
      <c r="C96" s="25"/>
      <c r="D96" s="25"/>
      <c r="E96" s="358">
        <v>0</v>
      </c>
      <c r="F96" s="25"/>
      <c r="G96" s="147">
        <f t="shared" si="16"/>
        <v>0</v>
      </c>
      <c r="H96" s="306"/>
      <c r="I96" s="147">
        <f t="shared" si="15"/>
        <v>0</v>
      </c>
      <c r="J96" s="385">
        <v>0</v>
      </c>
      <c r="K96" s="147">
        <f t="shared" si="13"/>
        <v>0</v>
      </c>
      <c r="L96" s="401">
        <v>0</v>
      </c>
      <c r="M96" s="215"/>
    </row>
    <row r="97" spans="1:12" ht="15" hidden="1" outlineLevel="1">
      <c r="A97" s="320" t="s">
        <v>340</v>
      </c>
      <c r="B97" s="28"/>
      <c r="C97" s="25"/>
      <c r="D97" s="25"/>
      <c r="E97" s="358">
        <v>20000000</v>
      </c>
      <c r="F97" s="25"/>
      <c r="G97" s="147">
        <f t="shared" si="16"/>
        <v>20000000</v>
      </c>
      <c r="H97" s="306"/>
      <c r="I97" s="147">
        <f t="shared" si="15"/>
        <v>20000000</v>
      </c>
      <c r="J97" s="385">
        <v>0</v>
      </c>
      <c r="K97" s="147">
        <f t="shared" si="13"/>
        <v>-20000000</v>
      </c>
      <c r="L97" s="401">
        <f t="shared" si="14"/>
        <v>0</v>
      </c>
    </row>
    <row r="98" spans="1:13" ht="15" hidden="1" outlineLevel="1">
      <c r="A98" s="320" t="s">
        <v>346</v>
      </c>
      <c r="B98" s="28"/>
      <c r="C98" s="25"/>
      <c r="D98" s="25"/>
      <c r="E98" s="358">
        <v>0</v>
      </c>
      <c r="F98" s="25"/>
      <c r="G98" s="147">
        <f t="shared" si="16"/>
        <v>0</v>
      </c>
      <c r="H98" s="306"/>
      <c r="I98" s="147">
        <f t="shared" si="15"/>
        <v>0</v>
      </c>
      <c r="J98" s="385">
        <v>0</v>
      </c>
      <c r="K98" s="147">
        <f t="shared" si="13"/>
        <v>0</v>
      </c>
      <c r="L98" s="401">
        <v>0</v>
      </c>
      <c r="M98" s="215"/>
    </row>
    <row r="99" spans="1:13" ht="15" hidden="1" outlineLevel="1">
      <c r="A99" s="320" t="s">
        <v>341</v>
      </c>
      <c r="B99" s="28"/>
      <c r="C99" s="25"/>
      <c r="D99" s="25"/>
      <c r="E99" s="288">
        <v>2000000</v>
      </c>
      <c r="F99" s="22"/>
      <c r="G99" s="147">
        <f t="shared" si="16"/>
        <v>2000000</v>
      </c>
      <c r="H99" s="306"/>
      <c r="I99" s="147">
        <f t="shared" si="15"/>
        <v>2000000</v>
      </c>
      <c r="J99" s="385">
        <v>495183</v>
      </c>
      <c r="K99" s="147">
        <f t="shared" si="13"/>
        <v>-1504817</v>
      </c>
      <c r="L99" s="401">
        <f t="shared" si="14"/>
        <v>0.2475915</v>
      </c>
      <c r="M99" s="215"/>
    </row>
    <row r="100" spans="1:13" ht="15" collapsed="1">
      <c r="A100" s="32" t="s">
        <v>7</v>
      </c>
      <c r="B100" s="22"/>
      <c r="C100" s="25"/>
      <c r="D100" s="25"/>
      <c r="E100" s="354">
        <f>+E101+E102</f>
        <v>150000000</v>
      </c>
      <c r="F100" s="22"/>
      <c r="G100" s="30">
        <f t="shared" si="16"/>
        <v>150000000</v>
      </c>
      <c r="H100" s="28"/>
      <c r="I100" s="30">
        <f>+I102+I101</f>
        <v>150000000</v>
      </c>
      <c r="J100" s="354">
        <f>+J101+J102</f>
        <v>23569721</v>
      </c>
      <c r="K100" s="30">
        <f t="shared" si="13"/>
        <v>-126430279</v>
      </c>
      <c r="L100" s="393">
        <f t="shared" si="14"/>
        <v>0.15713147333333333</v>
      </c>
      <c r="M100" s="402"/>
    </row>
    <row r="101" spans="1:13" ht="15" hidden="1" outlineLevel="1">
      <c r="A101" s="29" t="s">
        <v>76</v>
      </c>
      <c r="B101" s="22"/>
      <c r="C101" s="25"/>
      <c r="D101" s="25"/>
      <c r="E101" s="353">
        <v>150000000</v>
      </c>
      <c r="F101" s="22"/>
      <c r="G101" s="147">
        <f t="shared" si="16"/>
        <v>150000000</v>
      </c>
      <c r="H101" s="28"/>
      <c r="I101" s="147">
        <f>+H101+G101</f>
        <v>150000000</v>
      </c>
      <c r="J101" s="385">
        <v>23569721</v>
      </c>
      <c r="K101" s="147">
        <f t="shared" si="13"/>
        <v>-126430279</v>
      </c>
      <c r="L101" s="401">
        <f t="shared" si="14"/>
        <v>0.15713147333333333</v>
      </c>
      <c r="M101" s="215"/>
    </row>
    <row r="102" spans="1:13" ht="15" hidden="1" outlineLevel="1">
      <c r="A102" s="335" t="s">
        <v>342</v>
      </c>
      <c r="B102" s="22"/>
      <c r="C102" s="25"/>
      <c r="D102" s="25"/>
      <c r="E102" s="288"/>
      <c r="F102" s="22"/>
      <c r="G102" s="147">
        <f t="shared" si="16"/>
        <v>0</v>
      </c>
      <c r="H102" s="28"/>
      <c r="I102" s="147">
        <f>+H102+G102</f>
        <v>0</v>
      </c>
      <c r="J102" s="385">
        <v>0</v>
      </c>
      <c r="K102" s="147">
        <f t="shared" si="13"/>
        <v>0</v>
      </c>
      <c r="L102" s="401">
        <v>0</v>
      </c>
      <c r="M102" s="215"/>
    </row>
    <row r="103" spans="1:13" ht="15" collapsed="1">
      <c r="A103" s="32" t="s">
        <v>153</v>
      </c>
      <c r="B103" s="22"/>
      <c r="C103" s="25"/>
      <c r="D103" s="25"/>
      <c r="E103" s="354">
        <f>+E104+E105+E106+E107</f>
        <v>558300000</v>
      </c>
      <c r="F103" s="22"/>
      <c r="G103" s="30">
        <f aca="true" t="shared" si="17" ref="G103:G113">+F103+E103+C103+B103</f>
        <v>558300000</v>
      </c>
      <c r="H103" s="31"/>
      <c r="I103" s="30">
        <f>+G103+H103</f>
        <v>558300000</v>
      </c>
      <c r="J103" s="354">
        <f>+J104+J105+J106+J107</f>
        <v>433435873</v>
      </c>
      <c r="K103" s="30">
        <f t="shared" si="13"/>
        <v>-124864127</v>
      </c>
      <c r="L103" s="393">
        <f t="shared" si="14"/>
        <v>0.7763494053376321</v>
      </c>
      <c r="M103" s="215"/>
    </row>
    <row r="104" spans="1:13" ht="15" hidden="1" outlineLevel="1">
      <c r="A104" s="315" t="s">
        <v>205</v>
      </c>
      <c r="B104" s="22"/>
      <c r="C104" s="25"/>
      <c r="D104" s="25"/>
      <c r="E104" s="288">
        <v>510000000</v>
      </c>
      <c r="F104" s="22"/>
      <c r="G104" s="147">
        <f t="shared" si="17"/>
        <v>510000000</v>
      </c>
      <c r="H104" s="28"/>
      <c r="I104" s="147">
        <f>+G104+H104</f>
        <v>510000000</v>
      </c>
      <c r="J104" s="385">
        <v>403124831</v>
      </c>
      <c r="K104" s="147">
        <f t="shared" si="13"/>
        <v>-106875169</v>
      </c>
      <c r="L104" s="401">
        <f t="shared" si="14"/>
        <v>0.7904408450980392</v>
      </c>
      <c r="M104" s="215"/>
    </row>
    <row r="105" spans="1:13" ht="14.25" hidden="1" outlineLevel="1">
      <c r="A105" s="315" t="s">
        <v>244</v>
      </c>
      <c r="B105" s="22"/>
      <c r="C105" s="25"/>
      <c r="D105" s="25"/>
      <c r="E105" s="288">
        <v>29000000</v>
      </c>
      <c r="F105" s="22"/>
      <c r="G105" s="147">
        <f t="shared" si="17"/>
        <v>29000000</v>
      </c>
      <c r="H105" s="22"/>
      <c r="I105" s="147">
        <f>+G105+H105</f>
        <v>29000000</v>
      </c>
      <c r="J105" s="385">
        <v>19527342</v>
      </c>
      <c r="K105" s="147">
        <f t="shared" si="13"/>
        <v>-9472658</v>
      </c>
      <c r="L105" s="401">
        <f t="shared" si="14"/>
        <v>0.6733566206896552</v>
      </c>
      <c r="M105" s="215"/>
    </row>
    <row r="106" spans="1:13" ht="14.25" hidden="1" outlineLevel="1">
      <c r="A106" s="315" t="s">
        <v>167</v>
      </c>
      <c r="B106" s="22"/>
      <c r="C106" s="25"/>
      <c r="D106" s="25"/>
      <c r="E106" s="288">
        <v>16500000</v>
      </c>
      <c r="F106" s="22"/>
      <c r="G106" s="147">
        <f t="shared" si="17"/>
        <v>16500000</v>
      </c>
      <c r="H106" s="22"/>
      <c r="I106" s="147">
        <f>+G106+H106</f>
        <v>16500000</v>
      </c>
      <c r="J106" s="385">
        <v>8029887</v>
      </c>
      <c r="K106" s="147">
        <f t="shared" si="13"/>
        <v>-8470113</v>
      </c>
      <c r="L106" s="401">
        <f t="shared" si="14"/>
        <v>0.4866598181818182</v>
      </c>
      <c r="M106" s="215"/>
    </row>
    <row r="107" spans="1:13" s="253" customFormat="1" ht="14.25" hidden="1" outlineLevel="1">
      <c r="A107" s="315" t="s">
        <v>245</v>
      </c>
      <c r="B107" s="22"/>
      <c r="C107" s="25"/>
      <c r="D107" s="25"/>
      <c r="E107" s="288">
        <v>2800000</v>
      </c>
      <c r="F107" s="22"/>
      <c r="G107" s="147">
        <f t="shared" si="17"/>
        <v>2800000</v>
      </c>
      <c r="H107" s="22"/>
      <c r="I107" s="147">
        <f>+G107+H107</f>
        <v>2800000</v>
      </c>
      <c r="J107" s="385">
        <v>2753813</v>
      </c>
      <c r="K107" s="147">
        <f t="shared" si="13"/>
        <v>-46187</v>
      </c>
      <c r="L107" s="401">
        <f t="shared" si="14"/>
        <v>0.9835046428571429</v>
      </c>
      <c r="M107" s="215"/>
    </row>
    <row r="108" spans="1:13" s="253" customFormat="1" ht="15.75" collapsed="1">
      <c r="A108" s="18" t="s">
        <v>347</v>
      </c>
      <c r="B108" s="22"/>
      <c r="C108" s="30">
        <f>SUM(C109:C113)</f>
        <v>55507015</v>
      </c>
      <c r="D108" s="30"/>
      <c r="E108" s="304"/>
      <c r="F108" s="22"/>
      <c r="G108" s="30">
        <f t="shared" si="17"/>
        <v>55507015</v>
      </c>
      <c r="H108" s="22"/>
      <c r="I108" s="30">
        <f aca="true" t="shared" si="18" ref="I108:I113">+H108+G108</f>
        <v>55507015</v>
      </c>
      <c r="J108" s="382">
        <f>+J110+J111+J113</f>
        <v>35898599</v>
      </c>
      <c r="K108" s="30">
        <f t="shared" si="13"/>
        <v>-19608416</v>
      </c>
      <c r="L108" s="393">
        <f t="shared" si="14"/>
        <v>0.6467398580161444</v>
      </c>
      <c r="M108" s="404"/>
    </row>
    <row r="109" spans="1:13" s="253" customFormat="1" ht="15">
      <c r="A109" s="318" t="s">
        <v>381</v>
      </c>
      <c r="B109" s="22"/>
      <c r="C109" s="30">
        <v>0</v>
      </c>
      <c r="D109" s="30"/>
      <c r="E109" s="304"/>
      <c r="F109" s="22"/>
      <c r="G109" s="30">
        <f t="shared" si="17"/>
        <v>0</v>
      </c>
      <c r="H109" s="22"/>
      <c r="I109" s="30">
        <f t="shared" si="18"/>
        <v>0</v>
      </c>
      <c r="J109" s="382">
        <v>0</v>
      </c>
      <c r="K109" s="30">
        <f t="shared" si="13"/>
        <v>0</v>
      </c>
      <c r="L109" s="393">
        <v>0</v>
      </c>
      <c r="M109" s="215"/>
    </row>
    <row r="110" spans="1:13" s="253" customFormat="1" ht="15">
      <c r="A110" s="318" t="s">
        <v>382</v>
      </c>
      <c r="B110" s="22"/>
      <c r="C110" s="30">
        <v>9069670</v>
      </c>
      <c r="D110" s="30"/>
      <c r="E110" s="304"/>
      <c r="F110" s="22"/>
      <c r="G110" s="30">
        <f t="shared" si="17"/>
        <v>9069670</v>
      </c>
      <c r="H110" s="22"/>
      <c r="I110" s="30">
        <f t="shared" si="18"/>
        <v>9069670</v>
      </c>
      <c r="J110" s="382">
        <v>6641014</v>
      </c>
      <c r="K110" s="30">
        <f t="shared" si="13"/>
        <v>-2428656</v>
      </c>
      <c r="L110" s="393">
        <f t="shared" si="14"/>
        <v>0.7322222307978129</v>
      </c>
      <c r="M110" s="215"/>
    </row>
    <row r="111" spans="1:13" s="253" customFormat="1" ht="15">
      <c r="A111" s="318" t="s">
        <v>292</v>
      </c>
      <c r="B111" s="354"/>
      <c r="C111" s="354">
        <v>14000000</v>
      </c>
      <c r="D111" s="25"/>
      <c r="E111" s="22"/>
      <c r="F111" s="22"/>
      <c r="G111" s="30">
        <f t="shared" si="17"/>
        <v>14000000</v>
      </c>
      <c r="H111" s="31"/>
      <c r="I111" s="30">
        <f t="shared" si="18"/>
        <v>14000000</v>
      </c>
      <c r="J111" s="382">
        <v>9705726</v>
      </c>
      <c r="K111" s="30">
        <f t="shared" si="13"/>
        <v>-4294274</v>
      </c>
      <c r="L111" s="393">
        <f t="shared" si="14"/>
        <v>0.6932661428571428</v>
      </c>
      <c r="M111" s="215"/>
    </row>
    <row r="112" spans="1:13" s="253" customFormat="1" ht="15">
      <c r="A112" s="318" t="s">
        <v>334</v>
      </c>
      <c r="B112" s="354"/>
      <c r="C112" s="354">
        <v>0</v>
      </c>
      <c r="D112" s="25"/>
      <c r="E112" s="22"/>
      <c r="F112" s="22"/>
      <c r="G112" s="30">
        <f t="shared" si="17"/>
        <v>0</v>
      </c>
      <c r="H112" s="31"/>
      <c r="I112" s="30">
        <f t="shared" si="18"/>
        <v>0</v>
      </c>
      <c r="J112" s="382">
        <v>0</v>
      </c>
      <c r="K112" s="30">
        <f t="shared" si="13"/>
        <v>0</v>
      </c>
      <c r="L112" s="393">
        <v>0</v>
      </c>
      <c r="M112" s="215"/>
    </row>
    <row r="113" spans="1:13" s="253" customFormat="1" ht="15.75">
      <c r="A113" s="318" t="s">
        <v>293</v>
      </c>
      <c r="B113" s="354"/>
      <c r="C113" s="354">
        <v>32437345</v>
      </c>
      <c r="D113" s="25"/>
      <c r="E113" s="22"/>
      <c r="F113" s="22"/>
      <c r="G113" s="30">
        <f t="shared" si="17"/>
        <v>32437345</v>
      </c>
      <c r="H113" s="31"/>
      <c r="I113" s="30">
        <f t="shared" si="18"/>
        <v>32437345</v>
      </c>
      <c r="J113" s="382">
        <v>19551859</v>
      </c>
      <c r="K113" s="30">
        <f t="shared" si="13"/>
        <v>-12885486</v>
      </c>
      <c r="L113" s="393">
        <f t="shared" si="14"/>
        <v>0.6027576856243937</v>
      </c>
      <c r="M113" s="404"/>
    </row>
    <row r="114" spans="1:13" s="253" customFormat="1" ht="15">
      <c r="A114" s="29"/>
      <c r="B114" s="25"/>
      <c r="C114" s="25"/>
      <c r="D114" s="25"/>
      <c r="E114" s="22"/>
      <c r="F114" s="22"/>
      <c r="G114" s="147"/>
      <c r="H114" s="22"/>
      <c r="I114" s="147"/>
      <c r="J114" s="385"/>
      <c r="K114" s="147"/>
      <c r="L114" s="393"/>
      <c r="M114" s="215"/>
    </row>
    <row r="115" spans="1:13" s="323" customFormat="1" ht="30">
      <c r="A115" s="316" t="s">
        <v>279</v>
      </c>
      <c r="B115" s="317">
        <f>+B116</f>
        <v>261370231</v>
      </c>
      <c r="C115" s="317"/>
      <c r="D115" s="317"/>
      <c r="E115" s="317"/>
      <c r="F115" s="317"/>
      <c r="G115" s="317">
        <f>SUM(B115:F115)</f>
        <v>261370231</v>
      </c>
      <c r="H115" s="317"/>
      <c r="I115" s="317">
        <f>+H115+G115</f>
        <v>261370231</v>
      </c>
      <c r="J115" s="317">
        <f>+J116</f>
        <v>213877689</v>
      </c>
      <c r="K115" s="317">
        <f t="shared" si="13"/>
        <v>-47492542</v>
      </c>
      <c r="L115" s="396">
        <f t="shared" si="14"/>
        <v>0.8182939892646</v>
      </c>
      <c r="M115" s="322"/>
    </row>
    <row r="116" spans="1:13" s="253" customFormat="1" ht="15.75" customHeight="1">
      <c r="A116" s="27" t="s">
        <v>154</v>
      </c>
      <c r="B116" s="23">
        <f>+B117+B120+B121+B122+B123</f>
        <v>261370231</v>
      </c>
      <c r="C116" s="28"/>
      <c r="D116" s="28"/>
      <c r="E116" s="28"/>
      <c r="F116" s="28"/>
      <c r="G116" s="23">
        <f aca="true" t="shared" si="19" ref="G116:G123">+SUM(B116:F116)</f>
        <v>261370231</v>
      </c>
      <c r="H116" s="28"/>
      <c r="I116" s="23">
        <f aca="true" t="shared" si="20" ref="I116:I123">+G116+H116</f>
        <v>261370231</v>
      </c>
      <c r="J116" s="23">
        <f>+J117+J120+J121+J122+J123</f>
        <v>213877689</v>
      </c>
      <c r="K116" s="23">
        <f t="shared" si="13"/>
        <v>-47492542</v>
      </c>
      <c r="L116" s="393">
        <f t="shared" si="14"/>
        <v>0.8182939892646</v>
      </c>
      <c r="M116" s="215"/>
    </row>
    <row r="117" spans="1:13" s="253" customFormat="1" ht="15" hidden="1" outlineLevel="1">
      <c r="A117" s="345" t="s">
        <v>230</v>
      </c>
      <c r="B117" s="354">
        <f>+B118+B119</f>
        <v>214616392</v>
      </c>
      <c r="C117" s="28"/>
      <c r="D117" s="28"/>
      <c r="E117" s="307"/>
      <c r="F117" s="28"/>
      <c r="G117" s="30">
        <f t="shared" si="19"/>
        <v>214616392</v>
      </c>
      <c r="H117" s="28"/>
      <c r="I117" s="30">
        <f t="shared" si="20"/>
        <v>214616392</v>
      </c>
      <c r="J117" s="354">
        <f>+J118+J119</f>
        <v>174408601</v>
      </c>
      <c r="K117" s="147">
        <f t="shared" si="13"/>
        <v>-40207791</v>
      </c>
      <c r="L117" s="393">
        <f t="shared" si="14"/>
        <v>0.8126527492830091</v>
      </c>
      <c r="M117" s="215"/>
    </row>
    <row r="118" spans="1:13" s="253" customFormat="1" ht="15" hidden="1" outlineLevel="2">
      <c r="A118" s="345" t="s">
        <v>226</v>
      </c>
      <c r="B118" s="353">
        <f>171428301+264813</f>
        <v>171693114</v>
      </c>
      <c r="C118" s="28"/>
      <c r="D118" s="28"/>
      <c r="E118" s="28"/>
      <c r="F118" s="28"/>
      <c r="G118" s="147">
        <f t="shared" si="19"/>
        <v>171693114</v>
      </c>
      <c r="H118" s="28"/>
      <c r="I118" s="147">
        <f t="shared" si="20"/>
        <v>171693114</v>
      </c>
      <c r="J118" s="385">
        <v>139526874</v>
      </c>
      <c r="K118" s="147">
        <f t="shared" si="13"/>
        <v>-32166240</v>
      </c>
      <c r="L118" s="401">
        <f t="shared" si="14"/>
        <v>0.8126527077841922</v>
      </c>
      <c r="M118" s="402"/>
    </row>
    <row r="119" spans="1:13" s="253" customFormat="1" ht="15" hidden="1" outlineLevel="2">
      <c r="A119" s="345" t="s">
        <v>327</v>
      </c>
      <c r="B119" s="353">
        <f>42857075+66203</f>
        <v>42923278</v>
      </c>
      <c r="C119" s="28"/>
      <c r="D119" s="28"/>
      <c r="E119" s="28"/>
      <c r="F119" s="28"/>
      <c r="G119" s="147">
        <f t="shared" si="19"/>
        <v>42923278</v>
      </c>
      <c r="H119" s="28"/>
      <c r="I119" s="147">
        <f>+G119+H119</f>
        <v>42923278</v>
      </c>
      <c r="J119" s="385">
        <v>34881727</v>
      </c>
      <c r="K119" s="147">
        <f t="shared" si="13"/>
        <v>-8041551</v>
      </c>
      <c r="L119" s="401">
        <f t="shared" si="14"/>
        <v>0.8126529152782787</v>
      </c>
      <c r="M119" s="215"/>
    </row>
    <row r="120" spans="1:13" s="253" customFormat="1" ht="15" hidden="1" outlineLevel="1">
      <c r="A120" s="320" t="s">
        <v>164</v>
      </c>
      <c r="B120" s="358">
        <v>10000000</v>
      </c>
      <c r="C120" s="28"/>
      <c r="D120" s="28"/>
      <c r="E120" s="28"/>
      <c r="F120" s="28"/>
      <c r="G120" s="147">
        <f t="shared" si="19"/>
        <v>10000000</v>
      </c>
      <c r="H120" s="28"/>
      <c r="I120" s="147">
        <f>+G120+H120+1500000</f>
        <v>11500000</v>
      </c>
      <c r="J120" s="385">
        <v>10309075</v>
      </c>
      <c r="K120" s="147">
        <f t="shared" si="13"/>
        <v>-1190925</v>
      </c>
      <c r="L120" s="401">
        <f t="shared" si="14"/>
        <v>0.8964413043478261</v>
      </c>
      <c r="M120" s="215"/>
    </row>
    <row r="121" spans="1:13" s="253" customFormat="1" ht="15" hidden="1" outlineLevel="1">
      <c r="A121" s="320" t="s">
        <v>163</v>
      </c>
      <c r="B121" s="358">
        <f>26054335+38750</f>
        <v>26093085</v>
      </c>
      <c r="C121" s="23"/>
      <c r="D121" s="23"/>
      <c r="E121" s="28"/>
      <c r="F121" s="28"/>
      <c r="G121" s="147">
        <f t="shared" si="19"/>
        <v>26093085</v>
      </c>
      <c r="H121" s="28"/>
      <c r="I121" s="147">
        <f t="shared" si="20"/>
        <v>26093085</v>
      </c>
      <c r="J121" s="385">
        <v>21524216</v>
      </c>
      <c r="K121" s="147">
        <f t="shared" si="13"/>
        <v>-4568869</v>
      </c>
      <c r="L121" s="401">
        <f t="shared" si="14"/>
        <v>0.8249011567624143</v>
      </c>
      <c r="M121" s="215"/>
    </row>
    <row r="122" spans="1:13" s="253" customFormat="1" ht="15" hidden="1" outlineLevel="1">
      <c r="A122" s="320" t="s">
        <v>162</v>
      </c>
      <c r="B122" s="358">
        <f>10656850+3904</f>
        <v>10660754</v>
      </c>
      <c r="C122" s="23"/>
      <c r="D122" s="23"/>
      <c r="E122" s="28"/>
      <c r="F122" s="28"/>
      <c r="G122" s="147">
        <f t="shared" si="19"/>
        <v>10660754</v>
      </c>
      <c r="H122" s="28"/>
      <c r="I122" s="147">
        <f>+G122+H122-1500000</f>
        <v>9160754</v>
      </c>
      <c r="J122" s="385">
        <v>7635797</v>
      </c>
      <c r="K122" s="147">
        <f t="shared" si="13"/>
        <v>-1524957</v>
      </c>
      <c r="L122" s="401">
        <f t="shared" si="14"/>
        <v>0.8335336807428734</v>
      </c>
      <c r="M122" s="215"/>
    </row>
    <row r="123" spans="1:13" s="253" customFormat="1" ht="15" hidden="1" outlineLevel="1">
      <c r="A123" s="320" t="s">
        <v>328</v>
      </c>
      <c r="B123" s="358">
        <v>0</v>
      </c>
      <c r="C123" s="23"/>
      <c r="D123" s="23"/>
      <c r="E123" s="28"/>
      <c r="F123" s="28"/>
      <c r="G123" s="147">
        <f t="shared" si="19"/>
        <v>0</v>
      </c>
      <c r="H123" s="28"/>
      <c r="I123" s="147">
        <f t="shared" si="20"/>
        <v>0</v>
      </c>
      <c r="J123" s="385"/>
      <c r="K123" s="147">
        <f t="shared" si="13"/>
        <v>0</v>
      </c>
      <c r="L123" s="401">
        <v>0</v>
      </c>
      <c r="M123" s="215"/>
    </row>
    <row r="124" spans="1:13" s="253" customFormat="1" ht="15" collapsed="1">
      <c r="A124" s="146"/>
      <c r="B124" s="147"/>
      <c r="C124" s="28"/>
      <c r="D124" s="28"/>
      <c r="E124" s="28"/>
      <c r="F124" s="28"/>
      <c r="G124" s="147"/>
      <c r="H124" s="28"/>
      <c r="I124" s="147"/>
      <c r="J124" s="385"/>
      <c r="K124" s="147"/>
      <c r="L124" s="393"/>
      <c r="M124" s="215"/>
    </row>
    <row r="125" spans="1:13" s="323" customFormat="1" ht="30">
      <c r="A125" s="316" t="s">
        <v>280</v>
      </c>
      <c r="B125" s="317"/>
      <c r="C125" s="317">
        <f>+C126</f>
        <v>55827170</v>
      </c>
      <c r="D125" s="317"/>
      <c r="E125" s="317"/>
      <c r="F125" s="317">
        <f>+F133+F138+F143</f>
        <v>104529690</v>
      </c>
      <c r="G125" s="317">
        <f>+B125+C125+E125+F125+D125</f>
        <v>160356860</v>
      </c>
      <c r="H125" s="317"/>
      <c r="I125" s="317">
        <f aca="true" t="shared" si="21" ref="I125:I131">+H125+G125</f>
        <v>160356860</v>
      </c>
      <c r="J125" s="317">
        <f>+J126+J133+J138+J143</f>
        <v>138388356</v>
      </c>
      <c r="K125" s="317">
        <f t="shared" si="13"/>
        <v>-21968504</v>
      </c>
      <c r="L125" s="396">
        <f t="shared" si="14"/>
        <v>0.8630024060086984</v>
      </c>
      <c r="M125" s="322"/>
    </row>
    <row r="126" spans="1:13" s="253" customFormat="1" ht="15">
      <c r="A126" s="27" t="s">
        <v>294</v>
      </c>
      <c r="B126" s="147"/>
      <c r="C126" s="30">
        <f>+C127+C130+C131</f>
        <v>55827170</v>
      </c>
      <c r="D126" s="30"/>
      <c r="E126" s="31"/>
      <c r="F126" s="31"/>
      <c r="G126" s="30">
        <f>+F126+E126+C126+B126</f>
        <v>55827170</v>
      </c>
      <c r="H126" s="31"/>
      <c r="I126" s="30">
        <f>+H126+G126</f>
        <v>55827170</v>
      </c>
      <c r="J126" s="382">
        <f>+J127+J130</f>
        <v>42387338</v>
      </c>
      <c r="K126" s="30">
        <f t="shared" si="13"/>
        <v>-13439832</v>
      </c>
      <c r="L126" s="393">
        <f t="shared" si="14"/>
        <v>0.7592600162250747</v>
      </c>
      <c r="M126" s="215"/>
    </row>
    <row r="127" spans="1:13" s="253" customFormat="1" ht="15" hidden="1" outlineLevel="1">
      <c r="A127" s="255" t="s">
        <v>335</v>
      </c>
      <c r="B127" s="23"/>
      <c r="C127" s="353">
        <f>+C128+C129</f>
        <v>55227170</v>
      </c>
      <c r="D127" s="147"/>
      <c r="E127" s="25"/>
      <c r="F127" s="22"/>
      <c r="G127" s="147">
        <f aca="true" t="shared" si="22" ref="G127:G146">+F127+E127+C127+B127</f>
        <v>55227170</v>
      </c>
      <c r="H127" s="22"/>
      <c r="I127" s="147">
        <f t="shared" si="21"/>
        <v>55227170</v>
      </c>
      <c r="J127" s="385">
        <f>SUM(J128:J129)</f>
        <v>42245738</v>
      </c>
      <c r="K127" s="147">
        <f t="shared" si="13"/>
        <v>-12981432</v>
      </c>
      <c r="L127" s="401">
        <f t="shared" si="14"/>
        <v>0.764944826975563</v>
      </c>
      <c r="M127" s="215"/>
    </row>
    <row r="128" spans="1:13" s="253" customFormat="1" ht="15" hidden="1" outlineLevel="2">
      <c r="A128" s="255" t="s">
        <v>314</v>
      </c>
      <c r="B128" s="23"/>
      <c r="C128" s="353">
        <v>35727170</v>
      </c>
      <c r="D128" s="147"/>
      <c r="E128" s="25"/>
      <c r="F128" s="22"/>
      <c r="G128" s="147">
        <f t="shared" si="22"/>
        <v>35727170</v>
      </c>
      <c r="H128" s="22"/>
      <c r="I128" s="147">
        <f t="shared" si="21"/>
        <v>35727170</v>
      </c>
      <c r="J128" s="385">
        <v>30698535</v>
      </c>
      <c r="K128" s="147">
        <f t="shared" si="13"/>
        <v>-5028635</v>
      </c>
      <c r="L128" s="401">
        <f t="shared" si="14"/>
        <v>0.8592489973317226</v>
      </c>
      <c r="M128" s="215"/>
    </row>
    <row r="129" spans="1:13" s="253" customFormat="1" ht="15" hidden="1" outlineLevel="2">
      <c r="A129" s="343" t="s">
        <v>315</v>
      </c>
      <c r="B129" s="23"/>
      <c r="C129" s="353">
        <v>19500000</v>
      </c>
      <c r="D129" s="147"/>
      <c r="E129" s="358"/>
      <c r="F129" s="359"/>
      <c r="G129" s="147">
        <f t="shared" si="22"/>
        <v>19500000</v>
      </c>
      <c r="H129" s="22"/>
      <c r="I129" s="147">
        <f t="shared" si="21"/>
        <v>19500000</v>
      </c>
      <c r="J129" s="385">
        <v>11547203</v>
      </c>
      <c r="K129" s="147">
        <f t="shared" si="13"/>
        <v>-7952797</v>
      </c>
      <c r="L129" s="401">
        <f t="shared" si="14"/>
        <v>0.5921642564102564</v>
      </c>
      <c r="M129" s="402"/>
    </row>
    <row r="130" spans="1:13" s="253" customFormat="1" ht="15" hidden="1" outlineLevel="1">
      <c r="A130" s="343" t="s">
        <v>383</v>
      </c>
      <c r="B130" s="23"/>
      <c r="C130" s="353">
        <v>600000</v>
      </c>
      <c r="D130" s="147"/>
      <c r="E130" s="358"/>
      <c r="F130" s="359"/>
      <c r="G130" s="147">
        <f t="shared" si="22"/>
        <v>600000</v>
      </c>
      <c r="H130" s="22"/>
      <c r="I130" s="147">
        <f t="shared" si="21"/>
        <v>600000</v>
      </c>
      <c r="J130" s="385">
        <v>141600</v>
      </c>
      <c r="K130" s="147">
        <f t="shared" si="13"/>
        <v>-458400</v>
      </c>
      <c r="L130" s="401">
        <f t="shared" si="14"/>
        <v>0.236</v>
      </c>
      <c r="M130" s="215"/>
    </row>
    <row r="131" spans="1:13" s="253" customFormat="1" ht="15" hidden="1" outlineLevel="1">
      <c r="A131" s="343" t="s">
        <v>384</v>
      </c>
      <c r="B131" s="23"/>
      <c r="C131" s="353">
        <v>0</v>
      </c>
      <c r="D131" s="147"/>
      <c r="E131" s="358"/>
      <c r="F131" s="359"/>
      <c r="G131" s="147">
        <f t="shared" si="22"/>
        <v>0</v>
      </c>
      <c r="H131" s="22"/>
      <c r="I131" s="147">
        <f t="shared" si="21"/>
        <v>0</v>
      </c>
      <c r="J131" s="385">
        <v>0</v>
      </c>
      <c r="K131" s="147">
        <f t="shared" si="13"/>
        <v>0</v>
      </c>
      <c r="L131" s="401">
        <v>0</v>
      </c>
      <c r="M131" s="215"/>
    </row>
    <row r="132" spans="1:13" s="253" customFormat="1" ht="15" hidden="1" outlineLevel="1">
      <c r="A132" s="343"/>
      <c r="B132" s="23"/>
      <c r="C132" s="353"/>
      <c r="D132" s="147"/>
      <c r="E132" s="358"/>
      <c r="F132" s="359"/>
      <c r="G132" s="30"/>
      <c r="H132" s="22"/>
      <c r="I132" s="147"/>
      <c r="J132" s="385"/>
      <c r="K132" s="147"/>
      <c r="L132" s="393"/>
      <c r="M132" s="215"/>
    </row>
    <row r="133" spans="1:13" ht="17.25" customHeight="1" collapsed="1">
      <c r="A133" s="344" t="s">
        <v>281</v>
      </c>
      <c r="B133" s="33"/>
      <c r="C133" s="25"/>
      <c r="D133" s="25"/>
      <c r="E133" s="358"/>
      <c r="F133" s="354">
        <f>+F134+F135+F136+F137</f>
        <v>33842085</v>
      </c>
      <c r="G133" s="30">
        <f t="shared" si="22"/>
        <v>33842085</v>
      </c>
      <c r="H133" s="22"/>
      <c r="I133" s="30">
        <f>+H133+G133</f>
        <v>33842085</v>
      </c>
      <c r="J133" s="354">
        <f>+J134+J135+J136+J137</f>
        <v>32516546</v>
      </c>
      <c r="K133" s="30">
        <f t="shared" si="13"/>
        <v>-1325539</v>
      </c>
      <c r="L133" s="393">
        <f t="shared" si="14"/>
        <v>0.9608316390671556</v>
      </c>
      <c r="M133" s="215"/>
    </row>
    <row r="134" spans="1:13" ht="15" hidden="1" outlineLevel="1">
      <c r="A134" s="346" t="s">
        <v>246</v>
      </c>
      <c r="B134" s="33"/>
      <c r="C134" s="25"/>
      <c r="D134" s="25"/>
      <c r="E134" s="358"/>
      <c r="F134" s="353">
        <v>22942085</v>
      </c>
      <c r="G134" s="147">
        <f t="shared" si="22"/>
        <v>22942085</v>
      </c>
      <c r="H134" s="22"/>
      <c r="I134" s="147">
        <f aca="true" t="shared" si="23" ref="I134:I146">+H134+G134</f>
        <v>22942085</v>
      </c>
      <c r="J134" s="385">
        <v>22611483</v>
      </c>
      <c r="K134" s="147">
        <f t="shared" si="13"/>
        <v>-330602</v>
      </c>
      <c r="L134" s="401">
        <f t="shared" si="14"/>
        <v>0.9855897142740078</v>
      </c>
      <c r="M134" s="215"/>
    </row>
    <row r="135" spans="1:13" ht="15" hidden="1" outlineLevel="1">
      <c r="A135" s="346" t="s">
        <v>282</v>
      </c>
      <c r="B135" s="33"/>
      <c r="C135" s="25"/>
      <c r="D135" s="25"/>
      <c r="E135" s="358"/>
      <c r="F135" s="353">
        <v>4200000</v>
      </c>
      <c r="G135" s="147">
        <f t="shared" si="22"/>
        <v>4200000</v>
      </c>
      <c r="H135" s="22"/>
      <c r="I135" s="147">
        <f t="shared" si="23"/>
        <v>4200000</v>
      </c>
      <c r="J135" s="385">
        <v>3761949</v>
      </c>
      <c r="K135" s="147">
        <f t="shared" si="13"/>
        <v>-438051</v>
      </c>
      <c r="L135" s="401">
        <f t="shared" si="14"/>
        <v>0.8957021428571429</v>
      </c>
      <c r="M135" s="215"/>
    </row>
    <row r="136" spans="1:13" ht="15" hidden="1" outlineLevel="1">
      <c r="A136" s="346" t="s">
        <v>283</v>
      </c>
      <c r="B136" s="33"/>
      <c r="C136" s="25"/>
      <c r="D136" s="25"/>
      <c r="E136" s="358"/>
      <c r="F136" s="353">
        <v>2700000</v>
      </c>
      <c r="G136" s="147">
        <f t="shared" si="22"/>
        <v>2700000</v>
      </c>
      <c r="H136" s="22"/>
      <c r="I136" s="147">
        <f t="shared" si="23"/>
        <v>2700000</v>
      </c>
      <c r="J136" s="385">
        <v>2248369</v>
      </c>
      <c r="K136" s="147">
        <f t="shared" si="13"/>
        <v>-451631</v>
      </c>
      <c r="L136" s="401">
        <f t="shared" si="14"/>
        <v>0.8327292592592592</v>
      </c>
      <c r="M136" s="215"/>
    </row>
    <row r="137" spans="1:13" ht="15" hidden="1" outlineLevel="1">
      <c r="A137" s="346" t="s">
        <v>269</v>
      </c>
      <c r="B137" s="33"/>
      <c r="C137" s="25"/>
      <c r="D137" s="25"/>
      <c r="E137" s="358"/>
      <c r="F137" s="353">
        <v>4000000</v>
      </c>
      <c r="G137" s="147">
        <f t="shared" si="22"/>
        <v>4000000</v>
      </c>
      <c r="H137" s="22"/>
      <c r="I137" s="147">
        <f t="shared" si="23"/>
        <v>4000000</v>
      </c>
      <c r="J137" s="385">
        <v>3894745</v>
      </c>
      <c r="K137" s="147">
        <f t="shared" si="13"/>
        <v>-105255</v>
      </c>
      <c r="L137" s="401">
        <f t="shared" si="14"/>
        <v>0.97368625</v>
      </c>
      <c r="M137" s="215"/>
    </row>
    <row r="138" spans="1:13" s="37" customFormat="1" ht="15" collapsed="1">
      <c r="A138" s="344" t="s">
        <v>284</v>
      </c>
      <c r="B138" s="300"/>
      <c r="C138" s="25"/>
      <c r="D138" s="25"/>
      <c r="E138" s="358"/>
      <c r="F138" s="354">
        <f>+F139+F140+F141+F142</f>
        <v>57312605</v>
      </c>
      <c r="G138" s="30">
        <f t="shared" si="22"/>
        <v>57312605</v>
      </c>
      <c r="H138" s="31"/>
      <c r="I138" s="30">
        <f t="shared" si="23"/>
        <v>57312605</v>
      </c>
      <c r="J138" s="354">
        <f>+J139+J140+J141+J142</f>
        <v>55272626</v>
      </c>
      <c r="K138" s="30">
        <f aca="true" t="shared" si="24" ref="K138:K191">+J138-I138</f>
        <v>-2039979</v>
      </c>
      <c r="L138" s="393">
        <f t="shared" si="14"/>
        <v>0.9644061022876207</v>
      </c>
      <c r="M138" s="215"/>
    </row>
    <row r="139" spans="1:13" s="37" customFormat="1" ht="14.25" hidden="1" outlineLevel="1">
      <c r="A139" s="346" t="s">
        <v>285</v>
      </c>
      <c r="B139" s="300"/>
      <c r="C139" s="25"/>
      <c r="D139" s="25"/>
      <c r="E139" s="358"/>
      <c r="F139" s="353">
        <v>47962605</v>
      </c>
      <c r="G139" s="147">
        <f t="shared" si="22"/>
        <v>47962605</v>
      </c>
      <c r="H139" s="22"/>
      <c r="I139" s="147">
        <f t="shared" si="23"/>
        <v>47962605</v>
      </c>
      <c r="J139" s="385">
        <v>46087152</v>
      </c>
      <c r="K139" s="147">
        <f t="shared" si="24"/>
        <v>-1875453</v>
      </c>
      <c r="L139" s="401">
        <f t="shared" si="14"/>
        <v>0.9608975992859438</v>
      </c>
      <c r="M139" s="215"/>
    </row>
    <row r="140" spans="1:13" s="37" customFormat="1" ht="14.25" hidden="1" outlineLevel="1">
      <c r="A140" s="346" t="s">
        <v>286</v>
      </c>
      <c r="B140" s="300"/>
      <c r="C140" s="25"/>
      <c r="D140" s="25"/>
      <c r="E140" s="358"/>
      <c r="F140" s="353">
        <v>800000</v>
      </c>
      <c r="G140" s="147">
        <f t="shared" si="22"/>
        <v>800000</v>
      </c>
      <c r="H140" s="22"/>
      <c r="I140" s="147">
        <f t="shared" si="23"/>
        <v>800000</v>
      </c>
      <c r="J140" s="385">
        <v>798080</v>
      </c>
      <c r="K140" s="147">
        <f t="shared" si="24"/>
        <v>-1920</v>
      </c>
      <c r="L140" s="401">
        <f t="shared" si="14"/>
        <v>0.9976</v>
      </c>
      <c r="M140" s="215"/>
    </row>
    <row r="141" spans="1:13" s="37" customFormat="1" ht="14.25" hidden="1" outlineLevel="1">
      <c r="A141" s="346" t="s">
        <v>287</v>
      </c>
      <c r="B141" s="300"/>
      <c r="C141" s="25"/>
      <c r="D141" s="25"/>
      <c r="E141" s="358"/>
      <c r="F141" s="353">
        <v>4550000</v>
      </c>
      <c r="G141" s="147">
        <f t="shared" si="22"/>
        <v>4550000</v>
      </c>
      <c r="H141" s="22"/>
      <c r="I141" s="147">
        <f t="shared" si="23"/>
        <v>4550000</v>
      </c>
      <c r="J141" s="385">
        <v>4387394</v>
      </c>
      <c r="K141" s="147">
        <f t="shared" si="24"/>
        <v>-162606</v>
      </c>
      <c r="L141" s="401">
        <f t="shared" si="14"/>
        <v>0.9642624175824176</v>
      </c>
      <c r="M141" s="215"/>
    </row>
    <row r="142" spans="1:13" s="37" customFormat="1" ht="14.25" hidden="1" outlineLevel="1">
      <c r="A142" s="346" t="s">
        <v>269</v>
      </c>
      <c r="B142" s="300"/>
      <c r="C142" s="25"/>
      <c r="D142" s="25"/>
      <c r="E142" s="358"/>
      <c r="F142" s="353">
        <v>4000000</v>
      </c>
      <c r="G142" s="147">
        <f t="shared" si="22"/>
        <v>4000000</v>
      </c>
      <c r="H142" s="22"/>
      <c r="I142" s="147">
        <f t="shared" si="23"/>
        <v>4000000</v>
      </c>
      <c r="J142" s="385">
        <v>4000000</v>
      </c>
      <c r="K142" s="147">
        <f t="shared" si="24"/>
        <v>0</v>
      </c>
      <c r="L142" s="401">
        <f t="shared" si="14"/>
        <v>1</v>
      </c>
      <c r="M142" s="215"/>
    </row>
    <row r="143" spans="1:13" s="37" customFormat="1" ht="15" collapsed="1">
      <c r="A143" s="344" t="s">
        <v>385</v>
      </c>
      <c r="B143" s="300"/>
      <c r="C143" s="25"/>
      <c r="D143" s="25"/>
      <c r="E143" s="358"/>
      <c r="F143" s="354">
        <f>+F144+F145+F146</f>
        <v>13375000</v>
      </c>
      <c r="G143" s="30">
        <f t="shared" si="22"/>
        <v>13375000</v>
      </c>
      <c r="H143" s="31"/>
      <c r="I143" s="30">
        <f t="shared" si="23"/>
        <v>13375000</v>
      </c>
      <c r="J143" s="354">
        <f>+J144+J145+J146</f>
        <v>8211846</v>
      </c>
      <c r="K143" s="30">
        <f t="shared" si="24"/>
        <v>-5163154</v>
      </c>
      <c r="L143" s="393">
        <f t="shared" si="14"/>
        <v>0.6139697943925234</v>
      </c>
      <c r="M143" s="402"/>
    </row>
    <row r="144" spans="1:13" s="37" customFormat="1" ht="14.25" hidden="1" outlineLevel="1">
      <c r="A144" s="346" t="s">
        <v>386</v>
      </c>
      <c r="B144" s="300"/>
      <c r="C144" s="25"/>
      <c r="D144" s="25"/>
      <c r="E144" s="358"/>
      <c r="F144" s="353">
        <v>0</v>
      </c>
      <c r="G144" s="147">
        <f t="shared" si="22"/>
        <v>0</v>
      </c>
      <c r="H144" s="22"/>
      <c r="I144" s="147">
        <f t="shared" si="23"/>
        <v>0</v>
      </c>
      <c r="J144" s="385"/>
      <c r="K144" s="147">
        <f t="shared" si="24"/>
        <v>0</v>
      </c>
      <c r="L144" s="401"/>
      <c r="M144" s="215"/>
    </row>
    <row r="145" spans="1:13" s="37" customFormat="1" ht="14.25" hidden="1" outlineLevel="1">
      <c r="A145" s="346" t="s">
        <v>387</v>
      </c>
      <c r="B145" s="300"/>
      <c r="C145" s="25"/>
      <c r="D145" s="25"/>
      <c r="E145" s="358"/>
      <c r="F145" s="353">
        <v>7500000</v>
      </c>
      <c r="G145" s="147">
        <f t="shared" si="22"/>
        <v>7500000</v>
      </c>
      <c r="H145" s="22"/>
      <c r="I145" s="147">
        <f t="shared" si="23"/>
        <v>7500000</v>
      </c>
      <c r="J145" s="385">
        <v>7435503</v>
      </c>
      <c r="K145" s="147">
        <f t="shared" si="24"/>
        <v>-64497</v>
      </c>
      <c r="L145" s="401">
        <f t="shared" si="14"/>
        <v>0.9914004</v>
      </c>
      <c r="M145" s="215"/>
    </row>
    <row r="146" spans="1:13" s="37" customFormat="1" ht="15" customHeight="1" hidden="1" outlineLevel="1">
      <c r="A146" s="346" t="s">
        <v>388</v>
      </c>
      <c r="B146" s="300"/>
      <c r="C146" s="25"/>
      <c r="D146" s="25"/>
      <c r="E146" s="358"/>
      <c r="F146" s="353">
        <v>5875000</v>
      </c>
      <c r="G146" s="147">
        <f t="shared" si="22"/>
        <v>5875000</v>
      </c>
      <c r="H146" s="22"/>
      <c r="I146" s="147">
        <f t="shared" si="23"/>
        <v>5875000</v>
      </c>
      <c r="J146" s="385">
        <v>776343</v>
      </c>
      <c r="K146" s="147">
        <f t="shared" si="24"/>
        <v>-5098657</v>
      </c>
      <c r="L146" s="401">
        <f t="shared" si="14"/>
        <v>0.13214348936170212</v>
      </c>
      <c r="M146" s="402"/>
    </row>
    <row r="147" spans="1:13" s="37" customFormat="1" ht="15" collapsed="1">
      <c r="A147" s="346"/>
      <c r="B147" s="300"/>
      <c r="C147" s="25"/>
      <c r="D147" s="25"/>
      <c r="E147" s="358"/>
      <c r="F147" s="353"/>
      <c r="G147" s="147"/>
      <c r="H147" s="22"/>
      <c r="I147" s="147"/>
      <c r="J147" s="385"/>
      <c r="K147" s="147"/>
      <c r="L147" s="393"/>
      <c r="M147" s="215"/>
    </row>
    <row r="148" spans="1:13" s="323" customFormat="1" ht="30">
      <c r="A148" s="316" t="s">
        <v>288</v>
      </c>
      <c r="B148" s="317">
        <f>+B149+B152</f>
        <v>168613561</v>
      </c>
      <c r="C148" s="317"/>
      <c r="D148" s="317"/>
      <c r="E148" s="317"/>
      <c r="F148" s="317"/>
      <c r="G148" s="317">
        <f>SUM(B148:F148)</f>
        <v>168613561</v>
      </c>
      <c r="H148" s="317"/>
      <c r="I148" s="317">
        <f>+H148+G148</f>
        <v>168613561</v>
      </c>
      <c r="J148" s="317">
        <f>+J149+J152</f>
        <v>54333294</v>
      </c>
      <c r="K148" s="317">
        <f t="shared" si="24"/>
        <v>-114280267</v>
      </c>
      <c r="L148" s="396">
        <f aca="true" t="shared" si="25" ref="L148:L191">+J148/I148</f>
        <v>0.32223561187940275</v>
      </c>
      <c r="M148" s="322"/>
    </row>
    <row r="149" spans="1:13" s="253" customFormat="1" ht="15">
      <c r="A149" s="321" t="s">
        <v>77</v>
      </c>
      <c r="B149" s="352">
        <f>+B150+B151</f>
        <v>59213561</v>
      </c>
      <c r="C149" s="141"/>
      <c r="D149" s="141"/>
      <c r="E149" s="25"/>
      <c r="F149" s="23"/>
      <c r="G149" s="30">
        <f aca="true" t="shared" si="26" ref="G149:G156">+SUM(B149:F149)</f>
        <v>59213561</v>
      </c>
      <c r="H149" s="31"/>
      <c r="I149" s="30">
        <f aca="true" t="shared" si="27" ref="I149:I156">+G149+H149</f>
        <v>59213561</v>
      </c>
      <c r="J149" s="352">
        <f>+J150+J151</f>
        <v>54333294</v>
      </c>
      <c r="K149" s="30">
        <f t="shared" si="24"/>
        <v>-4880267</v>
      </c>
      <c r="L149" s="393">
        <f t="shared" si="25"/>
        <v>0.9175819370160831</v>
      </c>
      <c r="M149" s="215"/>
    </row>
    <row r="150" spans="1:13" s="253" customFormat="1" ht="14.25" hidden="1" outlineLevel="1">
      <c r="A150" s="355" t="s">
        <v>329</v>
      </c>
      <c r="B150" s="358">
        <f>49183482+80679</f>
        <v>49264161</v>
      </c>
      <c r="C150" s="22"/>
      <c r="D150" s="22"/>
      <c r="E150" s="22"/>
      <c r="F150" s="25"/>
      <c r="G150" s="25">
        <f t="shared" si="26"/>
        <v>49264161</v>
      </c>
      <c r="H150" s="22"/>
      <c r="I150" s="25">
        <f>+G150+H150-7450000</f>
        <v>41814161</v>
      </c>
      <c r="J150" s="386">
        <v>36963296</v>
      </c>
      <c r="K150" s="25">
        <f t="shared" si="24"/>
        <v>-4850865</v>
      </c>
      <c r="L150" s="401">
        <f t="shared" si="25"/>
        <v>0.8839898999767088</v>
      </c>
      <c r="M150" s="215"/>
    </row>
    <row r="151" spans="1:13" s="253" customFormat="1" ht="14.25" hidden="1" outlineLevel="1">
      <c r="A151" s="355" t="s">
        <v>165</v>
      </c>
      <c r="B151" s="358">
        <f>9936984+12416</f>
        <v>9949400</v>
      </c>
      <c r="C151" s="22"/>
      <c r="D151" s="22"/>
      <c r="E151" s="22"/>
      <c r="F151" s="25"/>
      <c r="G151" s="25">
        <f t="shared" si="26"/>
        <v>9949400</v>
      </c>
      <c r="H151" s="22"/>
      <c r="I151" s="25">
        <f>+G151+H151+7450000</f>
        <v>17399400</v>
      </c>
      <c r="J151" s="386">
        <v>17369998</v>
      </c>
      <c r="K151" s="25">
        <f t="shared" si="24"/>
        <v>-29402</v>
      </c>
      <c r="L151" s="401">
        <f t="shared" si="25"/>
        <v>0.9983101716151132</v>
      </c>
      <c r="M151" s="215"/>
    </row>
    <row r="152" spans="1:13" s="253" customFormat="1" ht="15" collapsed="1">
      <c r="A152" s="321" t="s">
        <v>376</v>
      </c>
      <c r="B152" s="354">
        <f>SUM(B153:B156)</f>
        <v>109400000</v>
      </c>
      <c r="C152" s="359"/>
      <c r="D152" s="359"/>
      <c r="E152" s="359"/>
      <c r="F152" s="358"/>
      <c r="G152" s="354">
        <f t="shared" si="26"/>
        <v>109400000</v>
      </c>
      <c r="H152" s="359"/>
      <c r="I152" s="354">
        <f t="shared" si="27"/>
        <v>109400000</v>
      </c>
      <c r="J152" s="354">
        <f>SUM(J153:J156)</f>
        <v>0</v>
      </c>
      <c r="K152" s="354">
        <f t="shared" si="24"/>
        <v>-109400000</v>
      </c>
      <c r="L152" s="393">
        <f t="shared" si="25"/>
        <v>0</v>
      </c>
      <c r="M152" s="402"/>
    </row>
    <row r="153" spans="1:13" s="253" customFormat="1" ht="14.25" hidden="1" outlineLevel="1">
      <c r="A153" s="355" t="s">
        <v>377</v>
      </c>
      <c r="B153" s="358">
        <v>10000000</v>
      </c>
      <c r="C153" s="359"/>
      <c r="D153" s="359"/>
      <c r="E153" s="359"/>
      <c r="F153" s="358"/>
      <c r="G153" s="358">
        <f t="shared" si="26"/>
        <v>10000000</v>
      </c>
      <c r="H153" s="359"/>
      <c r="I153" s="358">
        <f t="shared" si="27"/>
        <v>10000000</v>
      </c>
      <c r="J153" s="387"/>
      <c r="K153" s="25">
        <f t="shared" si="24"/>
        <v>-10000000</v>
      </c>
      <c r="L153" s="401">
        <f t="shared" si="25"/>
        <v>0</v>
      </c>
      <c r="M153" s="402"/>
    </row>
    <row r="154" spans="1:13" s="253" customFormat="1" ht="14.25" hidden="1" outlineLevel="1">
      <c r="A154" s="355" t="s">
        <v>378</v>
      </c>
      <c r="B154" s="358"/>
      <c r="C154" s="359"/>
      <c r="D154" s="359"/>
      <c r="E154" s="359"/>
      <c r="F154" s="358"/>
      <c r="G154" s="358">
        <f t="shared" si="26"/>
        <v>0</v>
      </c>
      <c r="H154" s="359"/>
      <c r="I154" s="358">
        <f t="shared" si="27"/>
        <v>0</v>
      </c>
      <c r="J154" s="387"/>
      <c r="K154" s="358">
        <f t="shared" si="24"/>
        <v>0</v>
      </c>
      <c r="L154" s="401">
        <v>0</v>
      </c>
      <c r="M154" s="215"/>
    </row>
    <row r="155" spans="1:13" s="253" customFormat="1" ht="14.25" hidden="1" outlineLevel="1">
      <c r="A155" s="355" t="s">
        <v>379</v>
      </c>
      <c r="B155" s="358">
        <v>99400000</v>
      </c>
      <c r="C155" s="359"/>
      <c r="D155" s="359"/>
      <c r="E155" s="359"/>
      <c r="F155" s="358"/>
      <c r="G155" s="358">
        <f t="shared" si="26"/>
        <v>99400000</v>
      </c>
      <c r="H155" s="359"/>
      <c r="I155" s="358">
        <f t="shared" si="27"/>
        <v>99400000</v>
      </c>
      <c r="J155" s="387"/>
      <c r="K155" s="25">
        <f t="shared" si="24"/>
        <v>-99400000</v>
      </c>
      <c r="L155" s="401">
        <f t="shared" si="25"/>
        <v>0</v>
      </c>
      <c r="M155" s="402"/>
    </row>
    <row r="156" spans="1:13" s="253" customFormat="1" ht="14.25" hidden="1" outlineLevel="1">
      <c r="A156" s="355" t="s">
        <v>380</v>
      </c>
      <c r="B156" s="358"/>
      <c r="C156" s="359"/>
      <c r="D156" s="359"/>
      <c r="E156" s="359"/>
      <c r="F156" s="358"/>
      <c r="G156" s="358">
        <f t="shared" si="26"/>
        <v>0</v>
      </c>
      <c r="H156" s="359"/>
      <c r="I156" s="358">
        <f t="shared" si="27"/>
        <v>0</v>
      </c>
      <c r="J156" s="387"/>
      <c r="K156" s="358">
        <f t="shared" si="24"/>
        <v>0</v>
      </c>
      <c r="L156" s="401">
        <v>0</v>
      </c>
      <c r="M156" s="215"/>
    </row>
    <row r="157" spans="1:13" s="253" customFormat="1" ht="15" collapsed="1">
      <c r="A157" s="355"/>
      <c r="B157" s="358"/>
      <c r="C157" s="22"/>
      <c r="D157" s="22"/>
      <c r="E157" s="22"/>
      <c r="F157" s="25"/>
      <c r="G157" s="25"/>
      <c r="H157" s="22"/>
      <c r="I157" s="25"/>
      <c r="J157" s="386"/>
      <c r="K157" s="25"/>
      <c r="L157" s="393"/>
      <c r="M157" s="215"/>
    </row>
    <row r="158" spans="1:13" s="323" customFormat="1" ht="29.25" customHeight="1">
      <c r="A158" s="316" t="s">
        <v>289</v>
      </c>
      <c r="B158" s="317">
        <f>+B159</f>
        <v>102245082</v>
      </c>
      <c r="C158" s="317"/>
      <c r="D158" s="317"/>
      <c r="E158" s="317"/>
      <c r="F158" s="317"/>
      <c r="G158" s="317">
        <f>SUM(B158:F158)</f>
        <v>102245082</v>
      </c>
      <c r="H158" s="317"/>
      <c r="I158" s="317">
        <f>+H158+G158</f>
        <v>102245082</v>
      </c>
      <c r="J158" s="317">
        <f>+J159</f>
        <v>77109144</v>
      </c>
      <c r="K158" s="317">
        <f t="shared" si="24"/>
        <v>-25135938</v>
      </c>
      <c r="L158" s="396">
        <f t="shared" si="25"/>
        <v>0.7541599311348784</v>
      </c>
      <c r="M158" s="322"/>
    </row>
    <row r="159" spans="1:13" s="253" customFormat="1" ht="15">
      <c r="A159" s="27" t="s">
        <v>95</v>
      </c>
      <c r="B159" s="30">
        <f>+B160+B161+B162+B163</f>
        <v>102245082</v>
      </c>
      <c r="C159" s="31"/>
      <c r="D159" s="31"/>
      <c r="E159" s="31"/>
      <c r="F159" s="31"/>
      <c r="G159" s="30">
        <f>+SUM(B159:F159)</f>
        <v>102245082</v>
      </c>
      <c r="H159" s="31"/>
      <c r="I159" s="30">
        <f>+G159+H159</f>
        <v>102245082</v>
      </c>
      <c r="J159" s="30">
        <f>+J160+J161+J162+J163</f>
        <v>77109144</v>
      </c>
      <c r="K159" s="30">
        <f t="shared" si="24"/>
        <v>-25135938</v>
      </c>
      <c r="L159" s="393">
        <f t="shared" si="25"/>
        <v>0.7541599311348784</v>
      </c>
      <c r="M159" s="215"/>
    </row>
    <row r="160" spans="1:13" s="253" customFormat="1" ht="15" hidden="1" outlineLevel="1">
      <c r="A160" s="355" t="s">
        <v>166</v>
      </c>
      <c r="B160" s="353">
        <v>31760357</v>
      </c>
      <c r="C160" s="31"/>
      <c r="D160" s="31"/>
      <c r="E160" s="31"/>
      <c r="F160" s="31"/>
      <c r="G160" s="147">
        <f>+SUM(B160:F160)</f>
        <v>31760357</v>
      </c>
      <c r="H160" s="305"/>
      <c r="I160" s="147">
        <f>+G160+H160-2760000</f>
        <v>29000357</v>
      </c>
      <c r="J160" s="385">
        <v>27054558</v>
      </c>
      <c r="K160" s="147">
        <f t="shared" si="24"/>
        <v>-1945799</v>
      </c>
      <c r="L160" s="401">
        <f t="shared" si="25"/>
        <v>0.9329043087297166</v>
      </c>
      <c r="M160" s="215"/>
    </row>
    <row r="161" spans="1:13" s="253" customFormat="1" ht="15" hidden="1" outlineLevel="1">
      <c r="A161" s="355" t="s">
        <v>330</v>
      </c>
      <c r="B161" s="353">
        <v>22340225</v>
      </c>
      <c r="C161" s="31"/>
      <c r="D161" s="31"/>
      <c r="E161" s="31"/>
      <c r="F161" s="31"/>
      <c r="G161" s="147">
        <f>+SUM(B161:F161)</f>
        <v>22340225</v>
      </c>
      <c r="H161" s="305"/>
      <c r="I161" s="147">
        <f>+G161+H161</f>
        <v>22340225</v>
      </c>
      <c r="J161" s="385">
        <v>13886005</v>
      </c>
      <c r="K161" s="147">
        <f t="shared" si="24"/>
        <v>-8454220</v>
      </c>
      <c r="L161" s="401">
        <f t="shared" si="25"/>
        <v>0.6215696126605708</v>
      </c>
      <c r="M161" s="215"/>
    </row>
    <row r="162" spans="1:13" s="253" customFormat="1" ht="15" hidden="1" outlineLevel="1">
      <c r="A162" s="356" t="s">
        <v>232</v>
      </c>
      <c r="B162" s="353">
        <v>10744500</v>
      </c>
      <c r="C162" s="31"/>
      <c r="D162" s="31"/>
      <c r="E162" s="31"/>
      <c r="F162" s="31"/>
      <c r="G162" s="147">
        <f>+SUM(B162:F162)</f>
        <v>10744500</v>
      </c>
      <c r="H162" s="305"/>
      <c r="I162" s="147">
        <f>+G162+H162+5766000</f>
        <v>16510500</v>
      </c>
      <c r="J162" s="385">
        <v>12851933</v>
      </c>
      <c r="K162" s="147">
        <f t="shared" si="24"/>
        <v>-3658567</v>
      </c>
      <c r="L162" s="401">
        <f t="shared" si="25"/>
        <v>0.7784096786893189</v>
      </c>
      <c r="M162" s="215"/>
    </row>
    <row r="163" spans="1:13" s="253" customFormat="1" ht="15" hidden="1" outlineLevel="1">
      <c r="A163" s="357" t="s">
        <v>247</v>
      </c>
      <c r="B163" s="353">
        <v>37400000</v>
      </c>
      <c r="C163" s="31"/>
      <c r="D163" s="31"/>
      <c r="E163" s="31"/>
      <c r="F163" s="31"/>
      <c r="G163" s="147">
        <f>+SUM(B163:F163)</f>
        <v>37400000</v>
      </c>
      <c r="H163" s="305"/>
      <c r="I163" s="147">
        <f>+G163+H163-3006000</f>
        <v>34394000</v>
      </c>
      <c r="J163" s="385">
        <v>23316648</v>
      </c>
      <c r="K163" s="147">
        <f t="shared" si="24"/>
        <v>-11077352</v>
      </c>
      <c r="L163" s="401">
        <f t="shared" si="25"/>
        <v>0.6779277781008315</v>
      </c>
      <c r="M163" s="215"/>
    </row>
    <row r="164" spans="1:13" s="253" customFormat="1" ht="15" collapsed="1">
      <c r="A164" s="321" t="s">
        <v>375</v>
      </c>
      <c r="B164" s="353"/>
      <c r="C164" s="31"/>
      <c r="D164" s="31"/>
      <c r="E164" s="31"/>
      <c r="F164" s="31"/>
      <c r="G164" s="147"/>
      <c r="H164" s="305"/>
      <c r="I164" s="30">
        <v>0</v>
      </c>
      <c r="J164" s="382">
        <v>0</v>
      </c>
      <c r="K164" s="30">
        <v>0</v>
      </c>
      <c r="L164" s="393">
        <v>0</v>
      </c>
      <c r="M164" s="215"/>
    </row>
    <row r="165" spans="1:13" s="253" customFormat="1" ht="15" hidden="1" outlineLevel="1">
      <c r="A165" s="355" t="s">
        <v>375</v>
      </c>
      <c r="B165" s="353"/>
      <c r="C165" s="31"/>
      <c r="D165" s="31"/>
      <c r="E165" s="31"/>
      <c r="F165" s="31"/>
      <c r="G165" s="147"/>
      <c r="H165" s="305"/>
      <c r="I165" s="147"/>
      <c r="J165" s="385"/>
      <c r="K165" s="147"/>
      <c r="L165" s="393">
        <v>0</v>
      </c>
      <c r="M165" s="215"/>
    </row>
    <row r="166" spans="1:13" s="253" customFormat="1" ht="15" collapsed="1">
      <c r="A166" s="357"/>
      <c r="B166" s="353"/>
      <c r="C166" s="31"/>
      <c r="D166" s="31"/>
      <c r="E166" s="31"/>
      <c r="F166" s="31"/>
      <c r="G166" s="147"/>
      <c r="H166" s="305"/>
      <c r="I166" s="147"/>
      <c r="J166" s="385"/>
      <c r="K166" s="147"/>
      <c r="L166" s="393"/>
      <c r="M166" s="215"/>
    </row>
    <row r="167" spans="1:13" s="323" customFormat="1" ht="15">
      <c r="A167" s="316" t="s">
        <v>290</v>
      </c>
      <c r="B167" s="317"/>
      <c r="C167" s="317"/>
      <c r="D167" s="317">
        <f>+D168+D173</f>
        <v>154406725</v>
      </c>
      <c r="E167" s="317"/>
      <c r="F167" s="317"/>
      <c r="G167" s="317">
        <f>+B167+C167+D167+E167+F167</f>
        <v>154406725</v>
      </c>
      <c r="H167" s="317"/>
      <c r="I167" s="317">
        <f>+G167+H167</f>
        <v>154406725</v>
      </c>
      <c r="J167" s="317">
        <f>+J168+J173</f>
        <v>10512866</v>
      </c>
      <c r="K167" s="317">
        <f t="shared" si="24"/>
        <v>-143893859</v>
      </c>
      <c r="L167" s="396">
        <f t="shared" si="25"/>
        <v>0.06808554484916379</v>
      </c>
      <c r="M167" s="322"/>
    </row>
    <row r="168" spans="1:13" ht="15">
      <c r="A168" s="27" t="s">
        <v>336</v>
      </c>
      <c r="B168" s="308"/>
      <c r="C168" s="308"/>
      <c r="D168" s="308">
        <f>+D169</f>
        <v>0</v>
      </c>
      <c r="E168" s="25"/>
      <c r="F168" s="22"/>
      <c r="G168" s="23">
        <f>+B168+C168+D168+E168+F168</f>
        <v>0</v>
      </c>
      <c r="H168" s="22"/>
      <c r="I168" s="30">
        <f>+G168+H168</f>
        <v>0</v>
      </c>
      <c r="J168" s="30">
        <f>+H168+I168</f>
        <v>0</v>
      </c>
      <c r="K168" s="30">
        <f>+I168+J168</f>
        <v>0</v>
      </c>
      <c r="L168" s="393">
        <v>0</v>
      </c>
      <c r="M168" s="215"/>
    </row>
    <row r="169" spans="1:13" ht="15">
      <c r="A169" s="27" t="s">
        <v>110</v>
      </c>
      <c r="B169" s="308"/>
      <c r="C169" s="309"/>
      <c r="D169" s="310">
        <f>+D170+D171</f>
        <v>0</v>
      </c>
      <c r="E169" s="25"/>
      <c r="F169" s="305"/>
      <c r="G169" s="30">
        <f>+B169+C169+D169+E169+F169</f>
        <v>0</v>
      </c>
      <c r="H169" s="305"/>
      <c r="I169" s="310">
        <f>+H169+G169</f>
        <v>0</v>
      </c>
      <c r="J169" s="388"/>
      <c r="K169" s="310">
        <f t="shared" si="24"/>
        <v>0</v>
      </c>
      <c r="L169" s="393">
        <v>0</v>
      </c>
      <c r="M169" s="215"/>
    </row>
    <row r="170" spans="1:13" ht="15" hidden="1" outlineLevel="1">
      <c r="A170" s="255" t="s">
        <v>299</v>
      </c>
      <c r="B170" s="308"/>
      <c r="C170" s="309"/>
      <c r="D170" s="309"/>
      <c r="E170" s="25"/>
      <c r="F170" s="305"/>
      <c r="G170" s="147">
        <f>+B170+C170+D170+E170+F170</f>
        <v>0</v>
      </c>
      <c r="H170" s="305"/>
      <c r="I170" s="309">
        <f>+H170+G170</f>
        <v>0</v>
      </c>
      <c r="J170" s="389">
        <v>0</v>
      </c>
      <c r="K170" s="309">
        <f t="shared" si="24"/>
        <v>0</v>
      </c>
      <c r="L170" s="401">
        <v>0</v>
      </c>
      <c r="M170" s="215"/>
    </row>
    <row r="171" spans="1:13" ht="15" hidden="1" outlineLevel="1">
      <c r="A171" s="343" t="s">
        <v>300</v>
      </c>
      <c r="B171" s="308"/>
      <c r="C171" s="309"/>
      <c r="D171" s="309"/>
      <c r="E171" s="25"/>
      <c r="F171" s="305"/>
      <c r="G171" s="147">
        <f>+B171+C171+D171+E171+F171</f>
        <v>0</v>
      </c>
      <c r="H171" s="305"/>
      <c r="I171" s="309">
        <f>+H171+G171</f>
        <v>0</v>
      </c>
      <c r="J171" s="389">
        <v>0</v>
      </c>
      <c r="K171" s="309">
        <f t="shared" si="24"/>
        <v>0</v>
      </c>
      <c r="L171" s="401">
        <v>0</v>
      </c>
      <c r="M171" s="215"/>
    </row>
    <row r="172" spans="1:13" ht="15" collapsed="1">
      <c r="A172" s="255"/>
      <c r="B172" s="308"/>
      <c r="C172" s="309"/>
      <c r="D172" s="309"/>
      <c r="E172" s="25"/>
      <c r="F172" s="305"/>
      <c r="G172" s="23"/>
      <c r="H172" s="305"/>
      <c r="I172" s="309"/>
      <c r="J172" s="389"/>
      <c r="K172" s="309"/>
      <c r="L172" s="393"/>
      <c r="M172" s="215"/>
    </row>
    <row r="173" spans="1:13" ht="15">
      <c r="A173" s="311" t="s">
        <v>337</v>
      </c>
      <c r="B173" s="23"/>
      <c r="C173" s="23"/>
      <c r="D173" s="352">
        <f>+D174+D179</f>
        <v>154406725</v>
      </c>
      <c r="E173" s="22"/>
      <c r="F173" s="22"/>
      <c r="G173" s="23">
        <f>+B173+C173+D173+E173+F173</f>
        <v>154406725</v>
      </c>
      <c r="H173" s="31"/>
      <c r="I173" s="310">
        <f>+H173+G173</f>
        <v>154406725</v>
      </c>
      <c r="J173" s="352">
        <f>+J174+J179</f>
        <v>10512866</v>
      </c>
      <c r="K173" s="310">
        <f>+J173-I173</f>
        <v>-143893859</v>
      </c>
      <c r="L173" s="393">
        <f t="shared" si="25"/>
        <v>0.06808554484916379</v>
      </c>
      <c r="M173" s="402"/>
    </row>
    <row r="174" spans="1:13" ht="15">
      <c r="A174" s="311" t="s">
        <v>351</v>
      </c>
      <c r="B174" s="23"/>
      <c r="C174" s="23"/>
      <c r="D174" s="352">
        <f>SUM(D175:D178)</f>
        <v>81857957</v>
      </c>
      <c r="E174" s="22"/>
      <c r="F174" s="22"/>
      <c r="G174" s="23">
        <f aca="true" t="shared" si="28" ref="G174:G186">+B174+C174+D174+E174+F174</f>
        <v>81857957</v>
      </c>
      <c r="H174" s="31"/>
      <c r="I174" s="310">
        <f aca="true" t="shared" si="29" ref="I174:I186">+H174+G174</f>
        <v>81857957</v>
      </c>
      <c r="J174" s="352">
        <f>SUM(J175:J178)</f>
        <v>0</v>
      </c>
      <c r="K174" s="310">
        <f>+J174-I174</f>
        <v>-81857957</v>
      </c>
      <c r="L174" s="393">
        <f t="shared" si="25"/>
        <v>0</v>
      </c>
      <c r="M174" s="215"/>
    </row>
    <row r="175" spans="1:13" ht="15" hidden="1" outlineLevel="1">
      <c r="A175" s="148" t="s">
        <v>301</v>
      </c>
      <c r="B175" s="23"/>
      <c r="C175" s="147"/>
      <c r="D175" s="353">
        <v>42377000</v>
      </c>
      <c r="E175" s="22"/>
      <c r="F175" s="22"/>
      <c r="G175" s="147">
        <f t="shared" si="28"/>
        <v>42377000</v>
      </c>
      <c r="H175" s="22"/>
      <c r="I175" s="309">
        <f t="shared" si="29"/>
        <v>42377000</v>
      </c>
      <c r="J175" s="389">
        <v>0</v>
      </c>
      <c r="K175" s="309">
        <f t="shared" si="24"/>
        <v>-42377000</v>
      </c>
      <c r="L175" s="401">
        <f t="shared" si="25"/>
        <v>0</v>
      </c>
      <c r="M175" s="215"/>
    </row>
    <row r="176" spans="1:13" ht="15" hidden="1" outlineLevel="1">
      <c r="A176" s="148" t="s">
        <v>302</v>
      </c>
      <c r="B176" s="23"/>
      <c r="C176" s="147"/>
      <c r="D176" s="353">
        <v>17900377</v>
      </c>
      <c r="E176" s="22"/>
      <c r="F176" s="22"/>
      <c r="G176" s="147">
        <f t="shared" si="28"/>
        <v>17900377</v>
      </c>
      <c r="H176" s="22"/>
      <c r="I176" s="309">
        <f t="shared" si="29"/>
        <v>17900377</v>
      </c>
      <c r="J176" s="389">
        <v>0</v>
      </c>
      <c r="K176" s="309">
        <f t="shared" si="24"/>
        <v>-17900377</v>
      </c>
      <c r="L176" s="401">
        <f t="shared" si="25"/>
        <v>0</v>
      </c>
      <c r="M176" s="215"/>
    </row>
    <row r="177" spans="1:13" ht="15" hidden="1" outlineLevel="1">
      <c r="A177" s="148" t="s">
        <v>303</v>
      </c>
      <c r="B177" s="23"/>
      <c r="C177" s="147"/>
      <c r="D177" s="353">
        <v>18440580</v>
      </c>
      <c r="E177" s="22"/>
      <c r="F177" s="22"/>
      <c r="G177" s="147">
        <f t="shared" si="28"/>
        <v>18440580</v>
      </c>
      <c r="H177" s="22"/>
      <c r="I177" s="309">
        <f t="shared" si="29"/>
        <v>18440580</v>
      </c>
      <c r="J177" s="389">
        <v>0</v>
      </c>
      <c r="K177" s="309">
        <f t="shared" si="24"/>
        <v>-18440580</v>
      </c>
      <c r="L177" s="401">
        <f t="shared" si="25"/>
        <v>0</v>
      </c>
      <c r="M177" s="215"/>
    </row>
    <row r="178" spans="1:13" ht="15" hidden="1" outlineLevel="1">
      <c r="A178" s="148" t="s">
        <v>304</v>
      </c>
      <c r="B178" s="23"/>
      <c r="C178" s="147"/>
      <c r="D178" s="353">
        <v>3140000</v>
      </c>
      <c r="E178" s="22"/>
      <c r="F178" s="22"/>
      <c r="G178" s="147">
        <f t="shared" si="28"/>
        <v>3140000</v>
      </c>
      <c r="H178" s="22"/>
      <c r="I178" s="309">
        <f t="shared" si="29"/>
        <v>3140000</v>
      </c>
      <c r="J178" s="389">
        <v>0</v>
      </c>
      <c r="K178" s="309">
        <f t="shared" si="24"/>
        <v>-3140000</v>
      </c>
      <c r="L178" s="401">
        <f t="shared" si="25"/>
        <v>0</v>
      </c>
      <c r="M178" s="215"/>
    </row>
    <row r="179" spans="1:13" ht="15" collapsed="1">
      <c r="A179" s="311" t="s">
        <v>352</v>
      </c>
      <c r="B179" s="23"/>
      <c r="C179" s="23"/>
      <c r="D179" s="352">
        <f>+D180+D181+D182+D183+D185+D184+D186</f>
        <v>72548768</v>
      </c>
      <c r="E179" s="22"/>
      <c r="F179" s="22"/>
      <c r="G179" s="23">
        <f>+B179+C179+D179+E179+F179</f>
        <v>72548768</v>
      </c>
      <c r="H179" s="31"/>
      <c r="I179" s="310">
        <f t="shared" si="29"/>
        <v>72548768</v>
      </c>
      <c r="J179" s="352">
        <f>+J180+J181+J182+J183+J185+J184+J186</f>
        <v>10512866</v>
      </c>
      <c r="K179" s="310">
        <f>+J179-I179</f>
        <v>-62035902</v>
      </c>
      <c r="L179" s="393">
        <f t="shared" si="25"/>
        <v>0.14490757444702576</v>
      </c>
      <c r="M179" s="215"/>
    </row>
    <row r="180" spans="1:13" ht="15" hidden="1" outlineLevel="1">
      <c r="A180" s="255" t="s">
        <v>305</v>
      </c>
      <c r="B180" s="23"/>
      <c r="C180" s="147"/>
      <c r="D180" s="353">
        <v>0</v>
      </c>
      <c r="E180" s="22"/>
      <c r="F180" s="22"/>
      <c r="G180" s="147">
        <f t="shared" si="28"/>
        <v>0</v>
      </c>
      <c r="H180" s="22"/>
      <c r="I180" s="309">
        <f t="shared" si="29"/>
        <v>0</v>
      </c>
      <c r="J180" s="389">
        <v>0</v>
      </c>
      <c r="K180" s="309">
        <f t="shared" si="24"/>
        <v>0</v>
      </c>
      <c r="L180" s="401">
        <v>0</v>
      </c>
      <c r="M180" s="215"/>
    </row>
    <row r="181" spans="1:13" ht="15" hidden="1" outlineLevel="1">
      <c r="A181" s="255" t="s">
        <v>306</v>
      </c>
      <c r="B181" s="23"/>
      <c r="C181" s="147"/>
      <c r="D181" s="353">
        <v>19804288</v>
      </c>
      <c r="E181" s="22"/>
      <c r="F181" s="22"/>
      <c r="G181" s="147">
        <f t="shared" si="28"/>
        <v>19804288</v>
      </c>
      <c r="H181" s="22"/>
      <c r="I181" s="309">
        <f t="shared" si="29"/>
        <v>19804288</v>
      </c>
      <c r="J181" s="389">
        <v>0</v>
      </c>
      <c r="K181" s="309">
        <f t="shared" si="24"/>
        <v>-19804288</v>
      </c>
      <c r="L181" s="401">
        <f t="shared" si="25"/>
        <v>0</v>
      </c>
      <c r="M181" s="215"/>
    </row>
    <row r="182" spans="1:13" ht="15" hidden="1" outlineLevel="1">
      <c r="A182" s="255" t="s">
        <v>307</v>
      </c>
      <c r="B182" s="23"/>
      <c r="C182" s="147"/>
      <c r="D182" s="353">
        <v>13974480</v>
      </c>
      <c r="E182" s="22"/>
      <c r="F182" s="22"/>
      <c r="G182" s="147">
        <f t="shared" si="28"/>
        <v>13974480</v>
      </c>
      <c r="H182" s="22"/>
      <c r="I182" s="309">
        <f t="shared" si="29"/>
        <v>13974480</v>
      </c>
      <c r="J182" s="389">
        <v>0</v>
      </c>
      <c r="K182" s="309">
        <f t="shared" si="24"/>
        <v>-13974480</v>
      </c>
      <c r="L182" s="401">
        <f t="shared" si="25"/>
        <v>0</v>
      </c>
      <c r="M182" s="215"/>
    </row>
    <row r="183" spans="1:13" ht="15" hidden="1" outlineLevel="1">
      <c r="A183" s="255" t="s">
        <v>308</v>
      </c>
      <c r="B183" s="23"/>
      <c r="C183" s="147"/>
      <c r="D183" s="353">
        <v>6580000</v>
      </c>
      <c r="E183" s="22"/>
      <c r="F183" s="22"/>
      <c r="G183" s="147">
        <f t="shared" si="28"/>
        <v>6580000</v>
      </c>
      <c r="H183" s="22"/>
      <c r="I183" s="309">
        <f t="shared" si="29"/>
        <v>6580000</v>
      </c>
      <c r="J183" s="389">
        <v>0</v>
      </c>
      <c r="K183" s="309">
        <f t="shared" si="24"/>
        <v>-6580000</v>
      </c>
      <c r="L183" s="401">
        <f t="shared" si="25"/>
        <v>0</v>
      </c>
      <c r="M183" s="215"/>
    </row>
    <row r="184" spans="1:13" ht="15" hidden="1" outlineLevel="1">
      <c r="A184" s="255" t="s">
        <v>343</v>
      </c>
      <c r="B184" s="23"/>
      <c r="C184" s="147"/>
      <c r="D184" s="353">
        <v>13600000</v>
      </c>
      <c r="E184" s="22"/>
      <c r="F184" s="22"/>
      <c r="G184" s="147">
        <f t="shared" si="28"/>
        <v>13600000</v>
      </c>
      <c r="H184" s="22"/>
      <c r="I184" s="309">
        <f t="shared" si="29"/>
        <v>13600000</v>
      </c>
      <c r="J184" s="389">
        <v>0</v>
      </c>
      <c r="K184" s="309">
        <f t="shared" si="24"/>
        <v>-13600000</v>
      </c>
      <c r="L184" s="401">
        <f t="shared" si="25"/>
        <v>0</v>
      </c>
      <c r="M184" s="215"/>
    </row>
    <row r="185" spans="1:13" ht="15" hidden="1" outlineLevel="1">
      <c r="A185" s="255" t="s">
        <v>318</v>
      </c>
      <c r="B185" s="23"/>
      <c r="C185" s="147"/>
      <c r="D185" s="353">
        <v>6000000</v>
      </c>
      <c r="E185" s="22"/>
      <c r="F185" s="22"/>
      <c r="G185" s="147">
        <f t="shared" si="28"/>
        <v>6000000</v>
      </c>
      <c r="H185" s="22"/>
      <c r="I185" s="309">
        <f t="shared" si="29"/>
        <v>6000000</v>
      </c>
      <c r="J185" s="389">
        <v>512866</v>
      </c>
      <c r="K185" s="309">
        <f t="shared" si="24"/>
        <v>-5487134</v>
      </c>
      <c r="L185" s="401">
        <f t="shared" si="25"/>
        <v>0.08547766666666666</v>
      </c>
      <c r="M185" s="215"/>
    </row>
    <row r="186" spans="1:13" ht="15" hidden="1" outlineLevel="1">
      <c r="A186" s="255" t="s">
        <v>348</v>
      </c>
      <c r="B186" s="23"/>
      <c r="C186" s="147"/>
      <c r="D186" s="353">
        <v>12590000</v>
      </c>
      <c r="E186" s="22"/>
      <c r="F186" s="22"/>
      <c r="G186" s="147">
        <f t="shared" si="28"/>
        <v>12590000</v>
      </c>
      <c r="H186" s="22"/>
      <c r="I186" s="309">
        <f t="shared" si="29"/>
        <v>12590000</v>
      </c>
      <c r="J186" s="389">
        <v>10000000</v>
      </c>
      <c r="K186" s="309">
        <f t="shared" si="24"/>
        <v>-2590000</v>
      </c>
      <c r="L186" s="401">
        <f t="shared" si="25"/>
        <v>0.7942811755361397</v>
      </c>
      <c r="M186" s="215"/>
    </row>
    <row r="187" spans="1:13" ht="15" collapsed="1">
      <c r="A187" s="311"/>
      <c r="B187" s="23"/>
      <c r="C187" s="30"/>
      <c r="D187" s="354"/>
      <c r="E187" s="31"/>
      <c r="F187" s="31"/>
      <c r="G187" s="30"/>
      <c r="H187" s="31"/>
      <c r="I187" s="310"/>
      <c r="J187" s="388"/>
      <c r="K187" s="310"/>
      <c r="L187" s="393"/>
      <c r="M187" s="215"/>
    </row>
    <row r="188" spans="1:13" ht="15">
      <c r="A188" s="32"/>
      <c r="B188" s="23"/>
      <c r="C188" s="23"/>
      <c r="D188" s="23"/>
      <c r="E188" s="23"/>
      <c r="F188" s="23"/>
      <c r="G188" s="23"/>
      <c r="H188" s="23"/>
      <c r="I188" s="23"/>
      <c r="J188" s="384"/>
      <c r="K188" s="23"/>
      <c r="L188" s="393"/>
      <c r="M188" s="215"/>
    </row>
    <row r="189" spans="1:13" ht="15">
      <c r="A189" s="27" t="s">
        <v>101</v>
      </c>
      <c r="B189" s="22"/>
      <c r="C189" s="22"/>
      <c r="D189" s="22"/>
      <c r="E189" s="22"/>
      <c r="F189" s="25"/>
      <c r="G189" s="25"/>
      <c r="H189" s="23">
        <f>+H190+H191</f>
        <v>377162238.5</v>
      </c>
      <c r="I189" s="23">
        <f>+H189+G189-1</f>
        <v>377162237.5</v>
      </c>
      <c r="J189" s="23">
        <f>+J190+J191</f>
        <v>398307051</v>
      </c>
      <c r="K189" s="30">
        <f t="shared" si="24"/>
        <v>21144813.5</v>
      </c>
      <c r="L189" s="393">
        <f t="shared" si="25"/>
        <v>1.0560629124489167</v>
      </c>
      <c r="M189" s="215"/>
    </row>
    <row r="190" spans="1:13" ht="14.25" outlineLevel="1">
      <c r="A190" s="148" t="s">
        <v>325</v>
      </c>
      <c r="B190" s="22"/>
      <c r="C190" s="22"/>
      <c r="D190" s="22"/>
      <c r="E190" s="22"/>
      <c r="F190" s="25"/>
      <c r="G190" s="25"/>
      <c r="H190" s="147">
        <f>(+INGRESOS!C14+INGRESOS!C18)*10%</f>
        <v>236351399.0625</v>
      </c>
      <c r="I190" s="147">
        <f>+H190+G190</f>
        <v>236351399.0625</v>
      </c>
      <c r="J190" s="385">
        <v>250277346</v>
      </c>
      <c r="K190" s="147">
        <f t="shared" si="24"/>
        <v>13925946.9375</v>
      </c>
      <c r="L190" s="401">
        <f t="shared" si="25"/>
        <v>1.058920518316109</v>
      </c>
      <c r="M190" s="215"/>
    </row>
    <row r="191" spans="1:13" ht="14.25" outlineLevel="1">
      <c r="A191" s="148" t="s">
        <v>326</v>
      </c>
      <c r="B191" s="22"/>
      <c r="C191" s="22"/>
      <c r="D191" s="22"/>
      <c r="E191" s="22"/>
      <c r="F191" s="25"/>
      <c r="G191" s="25"/>
      <c r="H191" s="147">
        <f>(+INGRESOS!C15+INGRESOS!C19)*10%</f>
        <v>140810839.4375</v>
      </c>
      <c r="I191" s="147">
        <f>+H191+G191</f>
        <v>140810839.4375</v>
      </c>
      <c r="J191" s="385">
        <v>148029705</v>
      </c>
      <c r="K191" s="147">
        <f t="shared" si="24"/>
        <v>7218865.5625</v>
      </c>
      <c r="L191" s="401">
        <f t="shared" si="25"/>
        <v>1.051266405280569</v>
      </c>
      <c r="M191" s="215"/>
    </row>
    <row r="192" spans="1:13" ht="15">
      <c r="A192" s="32"/>
      <c r="B192" s="22"/>
      <c r="C192" s="22"/>
      <c r="D192" s="22"/>
      <c r="E192" s="22"/>
      <c r="F192" s="25"/>
      <c r="G192" s="25"/>
      <c r="H192" s="25"/>
      <c r="I192" s="25"/>
      <c r="J192" s="386"/>
      <c r="K192" s="25"/>
      <c r="L192" s="393"/>
      <c r="M192" s="215"/>
    </row>
    <row r="193" spans="1:13" ht="15">
      <c r="A193" s="27" t="s">
        <v>115</v>
      </c>
      <c r="B193" s="22"/>
      <c r="C193" s="22"/>
      <c r="D193" s="22"/>
      <c r="E193" s="22"/>
      <c r="F193" s="25"/>
      <c r="G193" s="23"/>
      <c r="H193" s="23"/>
      <c r="I193" s="23"/>
      <c r="J193" s="384"/>
      <c r="K193" s="23"/>
      <c r="L193" s="393"/>
      <c r="M193" s="215"/>
    </row>
    <row r="194" spans="1:13" s="37" customFormat="1" ht="15" hidden="1" outlineLevel="1">
      <c r="A194" s="26" t="s">
        <v>168</v>
      </c>
      <c r="B194" s="22"/>
      <c r="C194" s="22"/>
      <c r="D194" s="22"/>
      <c r="E194" s="22"/>
      <c r="F194" s="25"/>
      <c r="G194" s="25"/>
      <c r="H194" s="25"/>
      <c r="I194" s="25"/>
      <c r="J194" s="386"/>
      <c r="K194" s="25"/>
      <c r="L194" s="393"/>
      <c r="M194" s="215"/>
    </row>
    <row r="195" spans="1:13" s="37" customFormat="1" ht="15" hidden="1" outlineLevel="1">
      <c r="A195" s="26" t="s">
        <v>169</v>
      </c>
      <c r="B195" s="22"/>
      <c r="C195" s="22"/>
      <c r="D195" s="22"/>
      <c r="E195" s="22"/>
      <c r="F195" s="25"/>
      <c r="G195" s="25"/>
      <c r="H195" s="25"/>
      <c r="I195" s="25"/>
      <c r="J195" s="386"/>
      <c r="K195" s="25"/>
      <c r="L195" s="393"/>
      <c r="M195" s="215"/>
    </row>
    <row r="196" spans="1:13" ht="15" collapsed="1">
      <c r="A196" s="32"/>
      <c r="B196" s="22"/>
      <c r="C196" s="22"/>
      <c r="D196" s="22"/>
      <c r="E196" s="22"/>
      <c r="F196" s="25"/>
      <c r="G196" s="25"/>
      <c r="H196" s="25"/>
      <c r="I196" s="25"/>
      <c r="J196" s="386"/>
      <c r="K196" s="25"/>
      <c r="L196" s="393"/>
      <c r="M196" s="215"/>
    </row>
    <row r="197" spans="1:13" ht="15">
      <c r="A197" s="32" t="s">
        <v>192</v>
      </c>
      <c r="B197" s="23">
        <f>+B40+B38</f>
        <v>833896740.5107082</v>
      </c>
      <c r="C197" s="23">
        <f>+C38+C40</f>
        <v>191393000.38500342</v>
      </c>
      <c r="D197" s="23">
        <f>+D40+D38</f>
        <v>208087834.94821447</v>
      </c>
      <c r="E197" s="23">
        <f>+E38+E40</f>
        <v>1782916362.0612664</v>
      </c>
      <c r="F197" s="23">
        <f>+F40+F38</f>
        <v>1122037163.5216987</v>
      </c>
      <c r="G197" s="23">
        <f>+B197+C197+E197+F197+D197</f>
        <v>4138331101.4268913</v>
      </c>
      <c r="H197" s="23">
        <f>+H193+H189+H40+H38</f>
        <v>605194992.1309088</v>
      </c>
      <c r="I197" s="23">
        <f>+H197+G197</f>
        <v>4743526093.5578</v>
      </c>
      <c r="J197" s="23">
        <f>+J189+J40+J38</f>
        <v>3582090802</v>
      </c>
      <c r="K197" s="23">
        <f>+J197-I197</f>
        <v>-1161435291.5578003</v>
      </c>
      <c r="L197" s="409">
        <f>+J197/I197</f>
        <v>0.7551535991052838</v>
      </c>
      <c r="M197" s="215"/>
    </row>
    <row r="198" spans="1:13" ht="15.75" thickBot="1">
      <c r="A198" s="219"/>
      <c r="B198" s="19"/>
      <c r="C198" s="220"/>
      <c r="D198" s="220"/>
      <c r="E198" s="285"/>
      <c r="F198" s="220"/>
      <c r="G198" s="220"/>
      <c r="H198" s="220"/>
      <c r="I198" s="220"/>
      <c r="J198" s="390"/>
      <c r="K198" s="220"/>
      <c r="L198" s="394"/>
      <c r="M198" s="215"/>
    </row>
    <row r="199" spans="1:12" ht="18.75" thickTop="1">
      <c r="A199" s="221"/>
      <c r="B199" s="11"/>
      <c r="C199" s="4"/>
      <c r="D199" s="4"/>
      <c r="E199" s="4"/>
      <c r="F199" s="4"/>
      <c r="G199" s="4"/>
      <c r="H199" s="218"/>
      <c r="I199" s="218"/>
      <c r="J199" s="218"/>
      <c r="K199" s="217"/>
      <c r="L199" s="4"/>
    </row>
    <row r="200" spans="1:12" ht="12.75">
      <c r="A200" s="221"/>
      <c r="B200" s="4"/>
      <c r="C200" s="4"/>
      <c r="D200" s="4"/>
      <c r="E200" s="218"/>
      <c r="F200" s="4"/>
      <c r="G200" s="218"/>
      <c r="H200" s="218"/>
      <c r="I200" s="222"/>
      <c r="J200" s="222"/>
      <c r="K200" s="223"/>
      <c r="L200" s="4"/>
    </row>
    <row r="201" spans="1:12" ht="12.75">
      <c r="A201" s="221"/>
      <c r="B201" s="4"/>
      <c r="C201" s="4"/>
      <c r="D201" s="4"/>
      <c r="E201" s="218"/>
      <c r="F201" s="4"/>
      <c r="G201" s="218"/>
      <c r="H201" s="218"/>
      <c r="I201" s="222"/>
      <c r="J201" s="222"/>
      <c r="K201" s="222"/>
      <c r="L201" s="4"/>
    </row>
    <row r="202" spans="1:12" ht="12.75">
      <c r="A202" s="221"/>
      <c r="B202" s="4"/>
      <c r="C202" s="4"/>
      <c r="D202" s="4"/>
      <c r="E202" s="218"/>
      <c r="F202" s="4"/>
      <c r="G202" s="218"/>
      <c r="H202" s="218"/>
      <c r="I202" s="222"/>
      <c r="J202" s="222"/>
      <c r="K202" s="223"/>
      <c r="L202" s="4"/>
    </row>
    <row r="203" spans="1:12" ht="12.75">
      <c r="A203" s="221"/>
      <c r="B203" s="4"/>
      <c r="C203" s="4"/>
      <c r="D203" s="4"/>
      <c r="E203" s="218"/>
      <c r="F203" s="4"/>
      <c r="G203" s="218"/>
      <c r="H203" s="218"/>
      <c r="I203" s="222"/>
      <c r="J203" s="222"/>
      <c r="K203" s="223"/>
      <c r="L203" s="4"/>
    </row>
    <row r="204" spans="1:12" ht="12.75">
      <c r="A204" s="221"/>
      <c r="B204" s="4"/>
      <c r="C204" s="4"/>
      <c r="D204" s="4"/>
      <c r="E204" s="218"/>
      <c r="F204" s="4"/>
      <c r="G204" s="218"/>
      <c r="H204" s="218"/>
      <c r="I204" s="222"/>
      <c r="J204" s="222"/>
      <c r="K204" s="223"/>
      <c r="L204" s="4"/>
    </row>
    <row r="205" spans="1:12" ht="12.75">
      <c r="A205" s="221"/>
      <c r="B205" s="4"/>
      <c r="C205" s="4"/>
      <c r="D205" s="4"/>
      <c r="E205" s="218"/>
      <c r="F205" s="4"/>
      <c r="G205" s="218"/>
      <c r="H205" s="218"/>
      <c r="I205" s="222"/>
      <c r="J205" s="222"/>
      <c r="K205" s="223"/>
      <c r="L205" s="4"/>
    </row>
    <row r="206" spans="1:12" ht="12.75">
      <c r="A206" s="221"/>
      <c r="B206" s="4"/>
      <c r="C206" s="4"/>
      <c r="D206" s="4"/>
      <c r="E206" s="218"/>
      <c r="F206" s="4"/>
      <c r="G206" s="218"/>
      <c r="H206" s="218"/>
      <c r="I206" s="222"/>
      <c r="J206" s="222"/>
      <c r="K206" s="223"/>
      <c r="L206" s="4"/>
    </row>
    <row r="207" spans="1:12" ht="12.75">
      <c r="A207" s="221"/>
      <c r="B207" s="4"/>
      <c r="C207" s="4"/>
      <c r="D207" s="4"/>
      <c r="E207" s="218"/>
      <c r="F207" s="4"/>
      <c r="G207" s="218"/>
      <c r="H207" s="218"/>
      <c r="I207" s="222"/>
      <c r="J207" s="222"/>
      <c r="K207" s="223"/>
      <c r="L207" s="4"/>
    </row>
    <row r="208" spans="1:12" ht="12.75">
      <c r="A208" s="221"/>
      <c r="B208" s="4"/>
      <c r="C208" s="4"/>
      <c r="D208" s="4"/>
      <c r="E208" s="218"/>
      <c r="F208" s="4"/>
      <c r="G208" s="218"/>
      <c r="H208" s="218"/>
      <c r="I208" s="222"/>
      <c r="J208" s="222"/>
      <c r="K208" s="223"/>
      <c r="L208" s="4"/>
    </row>
    <row r="209" spans="1:12" ht="12.75">
      <c r="A209" s="221"/>
      <c r="B209" s="4"/>
      <c r="C209" s="4"/>
      <c r="D209" s="4"/>
      <c r="E209" s="218"/>
      <c r="F209" s="4"/>
      <c r="G209" s="218"/>
      <c r="H209" s="218"/>
      <c r="I209" s="222"/>
      <c r="J209" s="222"/>
      <c r="K209" s="223"/>
      <c r="L209" s="4"/>
    </row>
    <row r="210" spans="1:12" ht="12.75">
      <c r="A210" s="221"/>
      <c r="B210" s="4"/>
      <c r="C210" s="4"/>
      <c r="D210" s="4"/>
      <c r="E210" s="218"/>
      <c r="F210" s="4"/>
      <c r="G210" s="218"/>
      <c r="H210" s="218"/>
      <c r="I210" s="222"/>
      <c r="J210" s="222"/>
      <c r="K210" s="223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1:12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1:12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1:12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1:12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1:12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1:12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1:12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1:12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1:12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1:12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1:12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1:12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1:12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</sheetData>
  <sheetProtection/>
  <mergeCells count="5">
    <mergeCell ref="A1:L1"/>
    <mergeCell ref="A2:L2"/>
    <mergeCell ref="A3:L3"/>
    <mergeCell ref="A4:L4"/>
    <mergeCell ref="A5:L5"/>
  </mergeCells>
  <printOptions horizontalCentered="1"/>
  <pageMargins left="0.03937007874015748" right="0.03937007874015748" top="0.11811023622047245" bottom="0.07874015748031496" header="0" footer="0"/>
  <pageSetup horizontalDpi="600" verticalDpi="600" orientation="portrait" scale="46" r:id="rId1"/>
  <ignoredErrors>
    <ignoredError sqref="I9 I37 I50 I100 I58 I18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1874"/>
  <sheetViews>
    <sheetView view="pageBreakPreview" zoomScale="75" zoomScaleNormal="70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4" sqref="H24"/>
    </sheetView>
  </sheetViews>
  <sheetFormatPr defaultColWidth="11.421875" defaultRowHeight="12.75" outlineLevelRow="1" outlineLevelCol="1"/>
  <cols>
    <col min="1" max="1" width="36.57421875" style="0" customWidth="1"/>
    <col min="2" max="2" width="21.7109375" style="0" customWidth="1"/>
    <col min="3" max="3" width="27.7109375" style="0" customWidth="1"/>
    <col min="4" max="4" width="19.140625" style="0" customWidth="1"/>
    <col min="5" max="5" width="19.28125" style="0" customWidth="1"/>
    <col min="6" max="6" width="22.7109375" style="0" customWidth="1"/>
    <col min="7" max="7" width="17.8515625" style="0" customWidth="1"/>
    <col min="8" max="8" width="16.140625" style="0" customWidth="1"/>
    <col min="9" max="9" width="15.28125" style="0" customWidth="1"/>
    <col min="10" max="10" width="18.7109375" style="0" customWidth="1"/>
    <col min="11" max="11" width="16.28125" style="0" customWidth="1"/>
    <col min="12" max="12" width="17.140625" style="0" customWidth="1"/>
    <col min="13" max="13" width="22.140625" style="0" hidden="1" customWidth="1" outlineLevel="1"/>
    <col min="14" max="14" width="22.57421875" style="0" hidden="1" customWidth="1" outlineLevel="1"/>
    <col min="15" max="16" width="19.28125" style="0" hidden="1" customWidth="1" outlineLevel="1"/>
    <col min="17" max="19" width="19.140625" style="0" hidden="1" customWidth="1" outlineLevel="1"/>
    <col min="20" max="20" width="19.140625" style="0" customWidth="1" collapsed="1"/>
    <col min="21" max="21" width="22.421875" style="0" customWidth="1"/>
    <col min="22" max="22" width="10.28125" style="0" customWidth="1"/>
    <col min="23" max="23" width="13.8515625" style="0" bestFit="1" customWidth="1"/>
  </cols>
  <sheetData>
    <row r="1" spans="1:26" ht="12.7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</row>
    <row r="2" spans="1:26" ht="15.75">
      <c r="A2" s="455" t="s">
        <v>24</v>
      </c>
      <c r="B2" s="455"/>
      <c r="C2" s="455"/>
      <c r="D2" s="455"/>
      <c r="E2" s="455"/>
      <c r="F2" s="455"/>
      <c r="G2" s="455" t="s">
        <v>24</v>
      </c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163"/>
      <c r="X2" s="163"/>
      <c r="Y2" s="163"/>
      <c r="Z2" s="163"/>
    </row>
    <row r="3" spans="1:26" ht="12.75">
      <c r="A3" s="163"/>
      <c r="B3" s="163"/>
      <c r="C3" s="163"/>
      <c r="D3" s="163"/>
      <c r="E3" s="226"/>
      <c r="F3" s="163"/>
      <c r="G3" s="163"/>
      <c r="H3" s="226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</row>
    <row r="4" spans="1:26" ht="15.75" thickBot="1">
      <c r="A4" s="195"/>
      <c r="B4" s="195"/>
      <c r="C4" s="198" t="s">
        <v>194</v>
      </c>
      <c r="D4" s="197">
        <v>1.0373</v>
      </c>
      <c r="E4" s="195" t="s">
        <v>317</v>
      </c>
      <c r="F4" s="283">
        <v>1.6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63"/>
      <c r="X4" s="163"/>
      <c r="Y4" s="163"/>
      <c r="Z4" s="163"/>
    </row>
    <row r="5" spans="1:26" ht="15.75" thickBot="1">
      <c r="A5" s="14"/>
      <c r="B5" s="457" t="s">
        <v>372</v>
      </c>
      <c r="C5" s="458"/>
      <c r="D5" s="458"/>
      <c r="E5" s="459"/>
      <c r="F5" s="449" t="s">
        <v>120</v>
      </c>
      <c r="G5" s="449" t="s">
        <v>142</v>
      </c>
      <c r="H5" s="449" t="s">
        <v>143</v>
      </c>
      <c r="I5" s="449" t="s">
        <v>144</v>
      </c>
      <c r="J5" s="449" t="s">
        <v>309</v>
      </c>
      <c r="K5" s="449" t="s">
        <v>145</v>
      </c>
      <c r="L5" s="451" t="s">
        <v>256</v>
      </c>
      <c r="M5" s="456"/>
      <c r="N5" s="456"/>
      <c r="O5" s="456"/>
      <c r="P5" s="122"/>
      <c r="Q5" s="122"/>
      <c r="R5" s="196"/>
      <c r="S5" s="196"/>
      <c r="T5" s="196"/>
      <c r="U5" s="196"/>
      <c r="V5" s="196"/>
      <c r="W5" s="163"/>
      <c r="X5" s="163"/>
      <c r="Y5" s="163"/>
      <c r="Z5" s="163"/>
    </row>
    <row r="6" spans="1:26" ht="15.75" thickBot="1">
      <c r="A6" s="129" t="s">
        <v>131</v>
      </c>
      <c r="B6" s="460"/>
      <c r="C6" s="461"/>
      <c r="D6" s="461"/>
      <c r="E6" s="461"/>
      <c r="F6" s="450"/>
      <c r="G6" s="450"/>
      <c r="H6" s="450"/>
      <c r="I6" s="450"/>
      <c r="J6" s="450"/>
      <c r="K6" s="450"/>
      <c r="L6" s="452"/>
      <c r="M6" s="130">
        <v>2004</v>
      </c>
      <c r="N6" s="131">
        <v>2005</v>
      </c>
      <c r="O6" s="131">
        <v>2006</v>
      </c>
      <c r="P6" s="131">
        <v>2007</v>
      </c>
      <c r="Q6" s="131">
        <v>2008</v>
      </c>
      <c r="R6" s="131">
        <v>2009</v>
      </c>
      <c r="S6" s="131">
        <v>2010</v>
      </c>
      <c r="T6" s="131">
        <v>2011</v>
      </c>
      <c r="U6" s="131">
        <v>2012</v>
      </c>
      <c r="V6" s="132" t="s">
        <v>253</v>
      </c>
      <c r="W6" s="163"/>
      <c r="X6" s="163"/>
      <c r="Y6" s="163"/>
      <c r="Z6" s="163"/>
    </row>
    <row r="7" spans="1:26" ht="31.5" customHeight="1">
      <c r="A7" s="190"/>
      <c r="B7" s="133" t="s">
        <v>140</v>
      </c>
      <c r="C7" s="289" t="s">
        <v>227</v>
      </c>
      <c r="D7" s="133" t="s">
        <v>224</v>
      </c>
      <c r="E7" s="133" t="s">
        <v>254</v>
      </c>
      <c r="F7" s="260"/>
      <c r="G7" s="260"/>
      <c r="H7" s="260"/>
      <c r="I7" s="261"/>
      <c r="J7" s="261"/>
      <c r="K7" s="261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88"/>
      <c r="W7" s="163"/>
      <c r="X7" s="163"/>
      <c r="Y7" s="163"/>
      <c r="Z7" s="163"/>
    </row>
    <row r="8" spans="1:26" ht="23.25" customHeight="1" thickBot="1">
      <c r="A8" s="189" t="s">
        <v>111</v>
      </c>
      <c r="B8" s="135">
        <v>20000000</v>
      </c>
      <c r="C8" s="135">
        <v>3400000</v>
      </c>
      <c r="D8" s="135">
        <v>8629633</v>
      </c>
      <c r="E8" s="290">
        <v>3248000</v>
      </c>
      <c r="F8" s="262">
        <f>SUM(B8:E8)</f>
        <v>35277633</v>
      </c>
      <c r="G8" s="262">
        <v>2000000</v>
      </c>
      <c r="H8" s="262">
        <f>+'[8]Generales'!$D$11</f>
        <v>400000</v>
      </c>
      <c r="I8" s="262">
        <v>2000000</v>
      </c>
      <c r="J8" s="262">
        <f>+'[7]Agregado'!$C$9</f>
        <v>12000000</v>
      </c>
      <c r="K8" s="262">
        <v>3500000</v>
      </c>
      <c r="L8" s="134">
        <f>SUM(F8:K8)</f>
        <v>55177633</v>
      </c>
      <c r="M8" s="134">
        <v>24861124</v>
      </c>
      <c r="N8" s="134">
        <v>31500000</v>
      </c>
      <c r="O8" s="134">
        <v>52500000</v>
      </c>
      <c r="P8" s="134">
        <f>+'[1]RES'!$J$27</f>
        <v>49600000</v>
      </c>
      <c r="Q8" s="134">
        <v>154623996</v>
      </c>
      <c r="R8" s="134">
        <v>48500000</v>
      </c>
      <c r="S8" s="134">
        <v>66564693.936000004</v>
      </c>
      <c r="T8" s="134">
        <v>94531061.41600001</v>
      </c>
      <c r="U8" s="134">
        <f>+L8</f>
        <v>55177633</v>
      </c>
      <c r="V8" s="193">
        <f>+(U8-T8)/T8</f>
        <v>-0.4163015608469533</v>
      </c>
      <c r="W8" s="226"/>
      <c r="X8" s="163"/>
      <c r="Y8" s="163"/>
      <c r="Z8" s="163"/>
    </row>
    <row r="9" spans="1:26" ht="15">
      <c r="A9" s="190"/>
      <c r="B9" s="133" t="s">
        <v>170</v>
      </c>
      <c r="C9" s="133" t="s">
        <v>49</v>
      </c>
      <c r="D9" s="133"/>
      <c r="E9" s="259"/>
      <c r="F9" s="291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94"/>
      <c r="W9" s="163"/>
      <c r="X9" s="163"/>
      <c r="Y9" s="163"/>
      <c r="Z9" s="163"/>
    </row>
    <row r="10" spans="1:26" ht="15" thickBot="1">
      <c r="A10" s="189" t="s">
        <v>32</v>
      </c>
      <c r="B10" s="290">
        <v>2266696</v>
      </c>
      <c r="C10" s="290">
        <f>1100000*D4*4/4</f>
        <v>1141030.0000000002</v>
      </c>
      <c r="D10" s="263"/>
      <c r="E10" s="292"/>
      <c r="F10" s="135">
        <f>SUM(B10:E10)</f>
        <v>3407726</v>
      </c>
      <c r="G10" s="263"/>
      <c r="H10" s="263"/>
      <c r="I10" s="263"/>
      <c r="J10" s="263"/>
      <c r="K10" s="263"/>
      <c r="L10" s="134">
        <f>SUM(F10:K10)</f>
        <v>3407726</v>
      </c>
      <c r="M10" s="134">
        <v>4987947</v>
      </c>
      <c r="N10" s="134">
        <v>5196911</v>
      </c>
      <c r="O10" s="134">
        <v>4924000</v>
      </c>
      <c r="P10" s="134">
        <v>5145200</v>
      </c>
      <c r="Q10" s="134">
        <v>5306073.369899999</v>
      </c>
      <c r="R10" s="134">
        <v>5226217</v>
      </c>
      <c r="S10" s="134">
        <v>6232322.688</v>
      </c>
      <c r="T10" s="134">
        <v>6349081.800000001</v>
      </c>
      <c r="U10" s="134">
        <f>+L10</f>
        <v>3407726</v>
      </c>
      <c r="V10" s="193">
        <f>+(U10-T10)/T10</f>
        <v>-0.4632726262874736</v>
      </c>
      <c r="W10" s="226"/>
      <c r="X10" s="163"/>
      <c r="Y10" s="163"/>
      <c r="Z10" s="163"/>
    </row>
    <row r="11" spans="1:26" ht="15">
      <c r="A11" s="191"/>
      <c r="B11" s="293" t="s">
        <v>50</v>
      </c>
      <c r="C11" s="259" t="s">
        <v>51</v>
      </c>
      <c r="D11" s="264"/>
      <c r="E11" s="294"/>
      <c r="F11" s="291"/>
      <c r="G11" s="264"/>
      <c r="H11" s="264"/>
      <c r="I11" s="264"/>
      <c r="J11" s="264"/>
      <c r="K11" s="264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94"/>
      <c r="W11" s="226"/>
      <c r="X11" s="163"/>
      <c r="Y11" s="163"/>
      <c r="Z11" s="163"/>
    </row>
    <row r="12" spans="1:26" ht="15" thickBot="1">
      <c r="A12" s="192" t="s">
        <v>33</v>
      </c>
      <c r="B12" s="290">
        <f>1035000*D4/4</f>
        <v>268401.375</v>
      </c>
      <c r="C12" s="290">
        <f>(4000000*4)*D4/4</f>
        <v>4149200.0000000005</v>
      </c>
      <c r="D12" s="263"/>
      <c r="E12" s="292"/>
      <c r="F12" s="135">
        <f>SUM(B12:E12)</f>
        <v>4417601.375</v>
      </c>
      <c r="G12" s="135">
        <v>1650000</v>
      </c>
      <c r="H12" s="263"/>
      <c r="I12" s="263"/>
      <c r="J12" s="263"/>
      <c r="K12" s="263"/>
      <c r="L12" s="134">
        <f>SUM(F12:K12)</f>
        <v>6067601.375</v>
      </c>
      <c r="M12" s="134">
        <v>13481656</v>
      </c>
      <c r="N12" s="134">
        <v>15000000</v>
      </c>
      <c r="O12" s="134">
        <v>17900000</v>
      </c>
      <c r="P12" s="134">
        <v>17000000</v>
      </c>
      <c r="Q12" s="134">
        <v>21000000</v>
      </c>
      <c r="R12" s="134">
        <v>21150500</v>
      </c>
      <c r="S12" s="134">
        <v>21596520</v>
      </c>
      <c r="T12" s="134">
        <v>21999700</v>
      </c>
      <c r="U12" s="134">
        <f>+L12</f>
        <v>6067601.375</v>
      </c>
      <c r="V12" s="193">
        <f>+(U12-T12)/T12</f>
        <v>-0.724196176538771</v>
      </c>
      <c r="W12" s="226"/>
      <c r="X12" s="163"/>
      <c r="Y12" s="163"/>
      <c r="Z12" s="163"/>
    </row>
    <row r="13" spans="1:26" ht="15">
      <c r="A13" s="191"/>
      <c r="B13" s="133" t="s">
        <v>223</v>
      </c>
      <c r="C13" s="133" t="s">
        <v>52</v>
      </c>
      <c r="D13" s="133" t="s">
        <v>48</v>
      </c>
      <c r="E13" s="259" t="s">
        <v>257</v>
      </c>
      <c r="F13" s="291"/>
      <c r="G13" s="133" t="s">
        <v>223</v>
      </c>
      <c r="H13" s="133" t="s">
        <v>223</v>
      </c>
      <c r="I13" s="133" t="s">
        <v>223</v>
      </c>
      <c r="J13" s="133"/>
      <c r="K13" s="133" t="s">
        <v>223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286"/>
      <c r="W13" s="226"/>
      <c r="X13" s="163"/>
      <c r="Y13" s="163"/>
      <c r="Z13" s="163"/>
    </row>
    <row r="14" spans="1:26" ht="15" thickBot="1">
      <c r="A14" s="192" t="s">
        <v>25</v>
      </c>
      <c r="B14" s="290">
        <f>+(551250*$D$4*12)/4</f>
        <v>1715434.8750000005</v>
      </c>
      <c r="C14" s="290">
        <f>143028*D4*4/4</f>
        <v>148362.9444</v>
      </c>
      <c r="D14" s="342">
        <f>5844000/4</f>
        <v>1461000</v>
      </c>
      <c r="E14" s="290">
        <f>8106000/12*3</f>
        <v>2026500</v>
      </c>
      <c r="F14" s="135">
        <f>SUM(B14:E14)</f>
        <v>5351297.8194</v>
      </c>
      <c r="G14" s="290">
        <f>+(551250*12)*$D$4/4</f>
        <v>1715434.8750000002</v>
      </c>
      <c r="H14" s="290">
        <f>+(551250*12)*$D$4/4</f>
        <v>1715434.8750000002</v>
      </c>
      <c r="I14" s="290">
        <f>+(551250*12)*$D$4/4</f>
        <v>1715434.8750000002</v>
      </c>
      <c r="J14" s="290"/>
      <c r="K14" s="290">
        <f>+(551250*12)*$D$4/4</f>
        <v>1715434.8750000002</v>
      </c>
      <c r="L14" s="134">
        <f>+K14+I14+H14+G14+F14</f>
        <v>12213037.319400001</v>
      </c>
      <c r="M14" s="134">
        <v>14708029</v>
      </c>
      <c r="N14" s="134">
        <v>18319330</v>
      </c>
      <c r="O14" s="134">
        <v>21037738</v>
      </c>
      <c r="P14" s="134">
        <v>24558771</v>
      </c>
      <c r="Q14" s="134">
        <v>28309323.18928</v>
      </c>
      <c r="R14" s="134">
        <v>79142910</v>
      </c>
      <c r="S14" s="134">
        <v>51647654.3248</v>
      </c>
      <c r="T14" s="134">
        <v>47105066.252399996</v>
      </c>
      <c r="U14" s="134">
        <f>+L14</f>
        <v>12213037.319400001</v>
      </c>
      <c r="V14" s="287">
        <f>+(U14-T14)/T14</f>
        <v>-0.7407277328948084</v>
      </c>
      <c r="W14" s="226"/>
      <c r="X14" s="163"/>
      <c r="Y14" s="163"/>
      <c r="Z14" s="163"/>
    </row>
    <row r="15" spans="1:26" ht="15">
      <c r="A15" s="191"/>
      <c r="B15" s="133" t="s">
        <v>53</v>
      </c>
      <c r="C15" s="133" t="s">
        <v>54</v>
      </c>
      <c r="D15" s="133" t="s">
        <v>55</v>
      </c>
      <c r="E15" s="296" t="s">
        <v>56</v>
      </c>
      <c r="F15" s="291"/>
      <c r="G15" s="265"/>
      <c r="H15" s="265"/>
      <c r="I15" s="265"/>
      <c r="J15" s="265"/>
      <c r="K15" s="265"/>
      <c r="L15" s="133"/>
      <c r="M15" s="133"/>
      <c r="N15" s="133"/>
      <c r="O15" s="133"/>
      <c r="P15" s="133"/>
      <c r="Q15" s="133"/>
      <c r="R15" s="266"/>
      <c r="S15" s="133"/>
      <c r="T15" s="133"/>
      <c r="U15" s="133"/>
      <c r="V15" s="194"/>
      <c r="W15" s="226"/>
      <c r="X15" s="163"/>
      <c r="Y15" s="163"/>
      <c r="Z15" s="163"/>
    </row>
    <row r="16" spans="1:26" ht="15" thickBot="1">
      <c r="A16" s="192" t="s">
        <v>34</v>
      </c>
      <c r="B16" s="290">
        <f>8000000/4</f>
        <v>2000000</v>
      </c>
      <c r="C16" s="290">
        <f>3500000/4</f>
        <v>875000</v>
      </c>
      <c r="D16" s="290">
        <f>10000000/4</f>
        <v>2500000</v>
      </c>
      <c r="E16" s="290">
        <f>4000000/4</f>
        <v>1000000</v>
      </c>
      <c r="F16" s="135">
        <f>SUM(B16:E16)</f>
        <v>6375000</v>
      </c>
      <c r="G16" s="290">
        <f>7000000/4</f>
        <v>1750000</v>
      </c>
      <c r="H16" s="290">
        <f>9000000/4</f>
        <v>2250000</v>
      </c>
      <c r="I16" s="290">
        <f>3500000/4</f>
        <v>875000</v>
      </c>
      <c r="J16" s="290">
        <f>1500000/4</f>
        <v>375000</v>
      </c>
      <c r="K16" s="135">
        <f>9000000/4</f>
        <v>2250000</v>
      </c>
      <c r="L16" s="134">
        <f>SUM(F16:K16)+G15+H15+I15+K15</f>
        <v>13875000</v>
      </c>
      <c r="M16" s="134">
        <v>38228571</v>
      </c>
      <c r="N16" s="134">
        <v>38054963</v>
      </c>
      <c r="O16" s="134">
        <v>38520000</v>
      </c>
      <c r="P16" s="134">
        <v>50128576</v>
      </c>
      <c r="Q16" s="134">
        <v>51500000</v>
      </c>
      <c r="R16" s="134">
        <v>58683202</v>
      </c>
      <c r="S16" s="134">
        <v>62004654.21479999</v>
      </c>
      <c r="T16" s="134">
        <v>60967511.8519</v>
      </c>
      <c r="U16" s="134">
        <f>+L16</f>
        <v>13875000</v>
      </c>
      <c r="V16" s="193">
        <f>+(U16-T16)/T16</f>
        <v>-0.7724197760652488</v>
      </c>
      <c r="W16" s="226"/>
      <c r="X16" s="163"/>
      <c r="Y16" s="163"/>
      <c r="Z16" s="163"/>
    </row>
    <row r="17" spans="1:26" ht="15" outlineLevel="1">
      <c r="A17" s="191"/>
      <c r="B17" s="133" t="s">
        <v>141</v>
      </c>
      <c r="C17" s="259" t="s">
        <v>57</v>
      </c>
      <c r="D17" s="133"/>
      <c r="E17" s="259"/>
      <c r="F17" s="291"/>
      <c r="G17" s="259"/>
      <c r="H17" s="267"/>
      <c r="I17" s="267"/>
      <c r="J17" s="267"/>
      <c r="K17" s="267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94"/>
      <c r="W17" s="226"/>
      <c r="X17" s="226"/>
      <c r="Y17" s="163"/>
      <c r="Z17" s="163"/>
    </row>
    <row r="18" spans="1:26" ht="15" outlineLevel="1" thickBot="1">
      <c r="A18" s="192" t="s">
        <v>26</v>
      </c>
      <c r="B18" s="290">
        <f>(2836176)*D4*12/4</f>
        <v>8825896.0944</v>
      </c>
      <c r="C18" s="290">
        <f>594449*D4*12/4</f>
        <v>1849865.8431000002</v>
      </c>
      <c r="D18" s="135"/>
      <c r="E18" s="295"/>
      <c r="F18" s="135">
        <f>SUM(B18:E18)</f>
        <v>10675761.9375</v>
      </c>
      <c r="G18" s="135">
        <v>3500000</v>
      </c>
      <c r="H18" s="135">
        <f>+'[8]Generales'!$D$24</f>
        <v>3500000</v>
      </c>
      <c r="I18" s="263"/>
      <c r="J18" s="263"/>
      <c r="K18" s="263"/>
      <c r="L18" s="134">
        <f>SUM(F18:K18)</f>
        <v>17675761.9375</v>
      </c>
      <c r="M18" s="134">
        <v>24826333</v>
      </c>
      <c r="N18" s="134">
        <v>33433111</v>
      </c>
      <c r="O18" s="134">
        <v>32843175</v>
      </c>
      <c r="P18" s="134">
        <v>34479000</v>
      </c>
      <c r="Q18" s="134">
        <v>38333394</v>
      </c>
      <c r="R18" s="134">
        <v>44396456</v>
      </c>
      <c r="S18" s="134">
        <v>44452174.3616</v>
      </c>
      <c r="T18" s="134">
        <v>48466408.5648</v>
      </c>
      <c r="U18" s="134">
        <f>+L18</f>
        <v>17675761.9375</v>
      </c>
      <c r="V18" s="193">
        <f>+(U18-T18)/T18</f>
        <v>-0.6352987056206701</v>
      </c>
      <c r="W18" s="226"/>
      <c r="X18" s="163"/>
      <c r="Y18" s="163"/>
      <c r="Z18" s="163"/>
    </row>
    <row r="19" spans="1:26" ht="15" outlineLevel="1">
      <c r="A19" s="191"/>
      <c r="B19" s="133" t="s">
        <v>58</v>
      </c>
      <c r="C19" s="297"/>
      <c r="D19" s="298"/>
      <c r="E19" s="297"/>
      <c r="F19" s="291"/>
      <c r="G19" s="267"/>
      <c r="H19" s="267"/>
      <c r="I19" s="267"/>
      <c r="J19" s="267"/>
      <c r="K19" s="267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94"/>
      <c r="W19" s="226"/>
      <c r="X19" s="163"/>
      <c r="Y19" s="163"/>
      <c r="Z19" s="163"/>
    </row>
    <row r="20" spans="1:26" ht="15" outlineLevel="1" thickBot="1">
      <c r="A20" s="192" t="s">
        <v>133</v>
      </c>
      <c r="B20" s="290">
        <f>1500000*12/4</f>
        <v>4500000</v>
      </c>
      <c r="C20" s="292"/>
      <c r="D20" s="263"/>
      <c r="E20" s="292"/>
      <c r="F20" s="135">
        <f>SUM(B20:E20)</f>
        <v>4500000</v>
      </c>
      <c r="G20" s="268">
        <v>43000000</v>
      </c>
      <c r="H20" s="268">
        <v>3000000</v>
      </c>
      <c r="I20" s="268">
        <v>3000000</v>
      </c>
      <c r="J20" s="268">
        <v>1400000</v>
      </c>
      <c r="K20" s="268">
        <v>5600000</v>
      </c>
      <c r="L20" s="134">
        <f>SUM(F20:K20)</f>
        <v>60500000</v>
      </c>
      <c r="M20" s="134">
        <v>8566019</v>
      </c>
      <c r="N20" s="134">
        <v>9353350</v>
      </c>
      <c r="O20" s="134">
        <v>9000000</v>
      </c>
      <c r="P20" s="134">
        <v>179400000</v>
      </c>
      <c r="Q20" s="134">
        <v>204044096</v>
      </c>
      <c r="R20" s="134">
        <v>174560183</v>
      </c>
      <c r="S20" s="134">
        <v>205460000</v>
      </c>
      <c r="T20" s="134">
        <v>232176000</v>
      </c>
      <c r="U20" s="134">
        <f>+L20</f>
        <v>60500000</v>
      </c>
      <c r="V20" s="193">
        <f>+(U20-T20)/T20</f>
        <v>-0.7394218179312246</v>
      </c>
      <c r="W20" s="226"/>
      <c r="X20" s="163"/>
      <c r="Y20" s="163"/>
      <c r="Z20" s="163"/>
    </row>
    <row r="21" spans="1:26" ht="15" outlineLevel="1">
      <c r="A21" s="191"/>
      <c r="B21" s="133" t="s">
        <v>135</v>
      </c>
      <c r="C21" s="259" t="s">
        <v>134</v>
      </c>
      <c r="D21" s="267"/>
      <c r="E21" s="297"/>
      <c r="F21" s="291"/>
      <c r="G21" s="267"/>
      <c r="H21" s="267"/>
      <c r="I21" s="267"/>
      <c r="J21" s="267"/>
      <c r="K21" s="267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94"/>
      <c r="W21" s="226"/>
      <c r="X21" s="163"/>
      <c r="Y21" s="163"/>
      <c r="Z21" s="163"/>
    </row>
    <row r="22" spans="1:26" ht="15" outlineLevel="1" thickBot="1">
      <c r="A22" s="192" t="s">
        <v>112</v>
      </c>
      <c r="B22" s="290">
        <f>7500000*D4/4</f>
        <v>1944937.5000000002</v>
      </c>
      <c r="C22" s="290"/>
      <c r="D22" s="263"/>
      <c r="E22" s="292"/>
      <c r="F22" s="135">
        <f>SUM(B22:E22)</f>
        <v>1944937.5000000002</v>
      </c>
      <c r="G22" s="268">
        <f>12000000/4</f>
        <v>3000000</v>
      </c>
      <c r="H22" s="268">
        <v>2436000</v>
      </c>
      <c r="I22" s="268"/>
      <c r="J22" s="268"/>
      <c r="K22" s="268"/>
      <c r="L22" s="135">
        <f>SUM(F22:K22)</f>
        <v>7380937.5</v>
      </c>
      <c r="M22" s="136">
        <v>21111853</v>
      </c>
      <c r="N22" s="134">
        <v>20000000</v>
      </c>
      <c r="O22" s="134">
        <v>47100000</v>
      </c>
      <c r="P22" s="134">
        <f>+'[1]RES'!$J$34</f>
        <v>62130000</v>
      </c>
      <c r="Q22" s="134">
        <v>64295800</v>
      </c>
      <c r="R22" s="134">
        <v>44851839</v>
      </c>
      <c r="S22" s="134">
        <v>40170873</v>
      </c>
      <c r="T22" s="134">
        <v>46034945.804192</v>
      </c>
      <c r="U22" s="134">
        <f>+L22</f>
        <v>7380937.5</v>
      </c>
      <c r="V22" s="193">
        <f>+(U22-T22)/T22</f>
        <v>-0.8396666408298914</v>
      </c>
      <c r="W22" s="226"/>
      <c r="X22" s="163"/>
      <c r="Y22" s="163"/>
      <c r="Z22" s="163"/>
    </row>
    <row r="23" spans="1:26" ht="15" outlineLevel="1">
      <c r="A23" s="191"/>
      <c r="B23" s="133" t="s">
        <v>255</v>
      </c>
      <c r="C23" s="259"/>
      <c r="D23" s="133"/>
      <c r="E23" s="297"/>
      <c r="F23" s="291"/>
      <c r="G23" s="267"/>
      <c r="H23" s="267"/>
      <c r="I23" s="267"/>
      <c r="J23" s="267"/>
      <c r="K23" s="267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94"/>
      <c r="W23" s="226"/>
      <c r="X23" s="163"/>
      <c r="Y23" s="163"/>
      <c r="Z23" s="163"/>
    </row>
    <row r="24" spans="1:26" ht="15" outlineLevel="1" thickBot="1">
      <c r="A24" s="192" t="s">
        <v>27</v>
      </c>
      <c r="B24" s="290">
        <f>25000000/4</f>
        <v>6250000</v>
      </c>
      <c r="C24" s="295"/>
      <c r="D24" s="135"/>
      <c r="E24" s="292"/>
      <c r="F24" s="135">
        <f>SUM(B24:E24)</f>
        <v>6250000</v>
      </c>
      <c r="G24" s="268">
        <f>42000000/4</f>
        <v>10500000</v>
      </c>
      <c r="H24" s="268">
        <f>42440280/4</f>
        <v>10610070</v>
      </c>
      <c r="I24" s="268">
        <f>8210000/4</f>
        <v>2052500</v>
      </c>
      <c r="J24" s="268">
        <v>1200000</v>
      </c>
      <c r="K24" s="268">
        <f>10000000*D4/4</f>
        <v>2593250.0000000005</v>
      </c>
      <c r="L24" s="135">
        <f>SUM(F24:K24)</f>
        <v>33205820</v>
      </c>
      <c r="M24" s="135">
        <v>41213743</v>
      </c>
      <c r="N24" s="135">
        <v>28251650</v>
      </c>
      <c r="O24" s="135">
        <v>63480000</v>
      </c>
      <c r="P24" s="135">
        <f>+'[1]RES'!$J$35</f>
        <v>84000000</v>
      </c>
      <c r="Q24" s="135">
        <v>91000000</v>
      </c>
      <c r="R24" s="135">
        <v>119800000</v>
      </c>
      <c r="S24" s="135">
        <v>114328306</v>
      </c>
      <c r="T24" s="134">
        <v>133687645.59616</v>
      </c>
      <c r="U24" s="134">
        <f>+L24</f>
        <v>33205820</v>
      </c>
      <c r="V24" s="193">
        <f>+(U24-T24)/T24</f>
        <v>-0.7516163901913028</v>
      </c>
      <c r="W24" s="226"/>
      <c r="X24" s="163"/>
      <c r="Y24" s="163"/>
      <c r="Z24" s="163"/>
    </row>
    <row r="25" spans="1:26" ht="15" outlineLevel="1">
      <c r="A25" s="191"/>
      <c r="B25" s="133" t="s">
        <v>59</v>
      </c>
      <c r="C25" s="259" t="s">
        <v>60</v>
      </c>
      <c r="D25" s="267"/>
      <c r="E25" s="297"/>
      <c r="F25" s="291"/>
      <c r="G25" s="267"/>
      <c r="H25" s="267"/>
      <c r="I25" s="267"/>
      <c r="J25" s="267"/>
      <c r="K25" s="267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94"/>
      <c r="W25" s="226"/>
      <c r="X25" s="163"/>
      <c r="Y25" s="163"/>
      <c r="Z25" s="163"/>
    </row>
    <row r="26" spans="1:26" ht="15" outlineLevel="1" thickBot="1">
      <c r="A26" s="192" t="s">
        <v>30</v>
      </c>
      <c r="B26" s="290">
        <f>3000000*D4/4</f>
        <v>777975.0000000001</v>
      </c>
      <c r="C26" s="290">
        <f>520000*D4/4</f>
        <v>134849</v>
      </c>
      <c r="D26" s="135"/>
      <c r="E26" s="292"/>
      <c r="F26" s="135">
        <f>SUM(B26:E26)</f>
        <v>912824.0000000001</v>
      </c>
      <c r="G26" s="290">
        <f>4800000/4</f>
        <v>1200000</v>
      </c>
      <c r="H26" s="135">
        <v>1000000</v>
      </c>
      <c r="I26" s="135">
        <f>180000*12/4</f>
        <v>540000</v>
      </c>
      <c r="J26" s="135">
        <f>2200000/4</f>
        <v>550000</v>
      </c>
      <c r="K26" s="135">
        <f>2200000/4</f>
        <v>550000</v>
      </c>
      <c r="L26" s="135">
        <f>SUM(F26:K26)</f>
        <v>4752824</v>
      </c>
      <c r="M26" s="136">
        <v>2386400</v>
      </c>
      <c r="N26" s="134">
        <v>3032800</v>
      </c>
      <c r="O26" s="134">
        <v>3185000</v>
      </c>
      <c r="P26" s="134">
        <v>4000000</v>
      </c>
      <c r="Q26" s="134">
        <v>4500000</v>
      </c>
      <c r="R26" s="134">
        <v>4500000</v>
      </c>
      <c r="S26" s="134">
        <v>4609200</v>
      </c>
      <c r="T26" s="134">
        <v>4655100</v>
      </c>
      <c r="U26" s="134">
        <f>+L26</f>
        <v>4752824</v>
      </c>
      <c r="V26" s="193">
        <f>+(U26-T26)/T26</f>
        <v>0.02099288951902215</v>
      </c>
      <c r="W26" s="226"/>
      <c r="X26" s="163"/>
      <c r="Y26" s="163"/>
      <c r="Z26" s="163"/>
    </row>
    <row r="27" spans="1:26" ht="15" outlineLevel="1">
      <c r="A27" s="191"/>
      <c r="B27" s="133" t="s">
        <v>61</v>
      </c>
      <c r="C27" s="259" t="s">
        <v>62</v>
      </c>
      <c r="D27" s="299" t="s">
        <v>199</v>
      </c>
      <c r="E27" s="297"/>
      <c r="F27" s="291"/>
      <c r="G27" s="259"/>
      <c r="H27" s="267"/>
      <c r="I27" s="267"/>
      <c r="J27" s="267"/>
      <c r="K27" s="267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94"/>
      <c r="W27" s="226"/>
      <c r="X27" s="163"/>
      <c r="Y27" s="163"/>
      <c r="Z27" s="163"/>
    </row>
    <row r="28" spans="1:26" ht="15" outlineLevel="1" thickBot="1">
      <c r="A28" s="192" t="s">
        <v>35</v>
      </c>
      <c r="B28" s="135">
        <f>16000000*F4/4</f>
        <v>6400000</v>
      </c>
      <c r="C28" s="290">
        <f>2000000/4</f>
        <v>500000</v>
      </c>
      <c r="D28" s="290">
        <f>5000000/4</f>
        <v>1250000</v>
      </c>
      <c r="E28" s="292"/>
      <c r="F28" s="135">
        <f>SUM(B28:E28)</f>
        <v>8150000</v>
      </c>
      <c r="G28" s="290">
        <f>3000000*12/4</f>
        <v>9000000</v>
      </c>
      <c r="H28" s="290">
        <v>1000000</v>
      </c>
      <c r="I28" s="135"/>
      <c r="J28" s="135">
        <v>12000000</v>
      </c>
      <c r="K28" s="263"/>
      <c r="L28" s="134">
        <f>SUM(F28:K28)</f>
        <v>30150000</v>
      </c>
      <c r="M28" s="134">
        <v>29501988</v>
      </c>
      <c r="N28" s="134">
        <v>21914847</v>
      </c>
      <c r="O28" s="134">
        <v>16000000</v>
      </c>
      <c r="P28" s="134">
        <v>15500000</v>
      </c>
      <c r="Q28" s="134">
        <v>46500000</v>
      </c>
      <c r="R28" s="134">
        <v>87096252</v>
      </c>
      <c r="S28" s="134">
        <v>75200000</v>
      </c>
      <c r="T28" s="134">
        <v>71505410.80236</v>
      </c>
      <c r="U28" s="134">
        <f>+L28</f>
        <v>30150000</v>
      </c>
      <c r="V28" s="193">
        <f>+(U28-T28)/T28</f>
        <v>-0.5783535866490691</v>
      </c>
      <c r="W28" s="226"/>
      <c r="X28" s="163"/>
      <c r="Y28" s="163"/>
      <c r="Z28" s="163"/>
    </row>
    <row r="29" spans="1:26" ht="15" outlineLevel="1">
      <c r="A29" s="191"/>
      <c r="B29" s="133" t="s">
        <v>63</v>
      </c>
      <c r="C29" s="259" t="s">
        <v>138</v>
      </c>
      <c r="D29" s="133" t="s">
        <v>139</v>
      </c>
      <c r="E29" s="259"/>
      <c r="F29" s="291"/>
      <c r="G29" s="267"/>
      <c r="H29" s="267"/>
      <c r="I29" s="267"/>
      <c r="J29" s="267"/>
      <c r="K29" s="267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94"/>
      <c r="W29" s="226"/>
      <c r="X29" s="163"/>
      <c r="Y29" s="163"/>
      <c r="Z29" s="163"/>
    </row>
    <row r="30" spans="1:26" ht="15" outlineLevel="1" thickBot="1">
      <c r="A30" s="192" t="s">
        <v>36</v>
      </c>
      <c r="B30" s="290">
        <f>12400000*D4/4</f>
        <v>3215630.0000000005</v>
      </c>
      <c r="C30" s="290">
        <f>4150000*D4/4</f>
        <v>1076198.75</v>
      </c>
      <c r="D30" s="290">
        <f>(420000*5)*D4/4</f>
        <v>544582.5</v>
      </c>
      <c r="E30" s="295"/>
      <c r="F30" s="135">
        <f>SUM(B30:E30)</f>
        <v>4836411.25</v>
      </c>
      <c r="G30" s="263"/>
      <c r="H30" s="263"/>
      <c r="I30" s="263"/>
      <c r="J30" s="263"/>
      <c r="K30" s="263"/>
      <c r="L30" s="134">
        <f>SUM(F30:K30)</f>
        <v>4836411.25</v>
      </c>
      <c r="M30" s="134">
        <v>6804508</v>
      </c>
      <c r="N30" s="134">
        <v>10425298</v>
      </c>
      <c r="O30" s="134">
        <v>10400000</v>
      </c>
      <c r="P30" s="134">
        <v>13400000</v>
      </c>
      <c r="Q30" s="134">
        <v>14073000</v>
      </c>
      <c r="R30" s="134">
        <v>18000000</v>
      </c>
      <c r="S30" s="134">
        <v>18655200</v>
      </c>
      <c r="T30" s="134">
        <v>18570600</v>
      </c>
      <c r="U30" s="134">
        <f>+L30</f>
        <v>4836411.25</v>
      </c>
      <c r="V30" s="193">
        <f>+(U30-T30)/T30</f>
        <v>-0.7395662364167017</v>
      </c>
      <c r="W30" s="226"/>
      <c r="X30" s="163"/>
      <c r="Y30" s="163"/>
      <c r="Z30" s="163"/>
    </row>
    <row r="31" spans="1:26" ht="15" outlineLevel="1">
      <c r="A31" s="191"/>
      <c r="B31" s="133" t="s">
        <v>64</v>
      </c>
      <c r="C31" s="297"/>
      <c r="D31" s="267"/>
      <c r="E31" s="297"/>
      <c r="F31" s="291"/>
      <c r="G31" s="133"/>
      <c r="H31" s="267"/>
      <c r="I31" s="267"/>
      <c r="J31" s="267"/>
      <c r="K31" s="267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94"/>
      <c r="W31" s="226"/>
      <c r="X31" s="163"/>
      <c r="Y31" s="163"/>
      <c r="Z31" s="163"/>
    </row>
    <row r="32" spans="1:26" ht="15" outlineLevel="1" thickBot="1">
      <c r="A32" s="192" t="s">
        <v>37</v>
      </c>
      <c r="B32" s="290">
        <f>65000000*F4/4</f>
        <v>26000000</v>
      </c>
      <c r="C32" s="292"/>
      <c r="D32" s="263"/>
      <c r="E32" s="292"/>
      <c r="F32" s="135">
        <f>SUM(B32:E32)</f>
        <v>26000000</v>
      </c>
      <c r="G32" s="290">
        <f>3000000*12*F4/4</f>
        <v>14400000</v>
      </c>
      <c r="H32" s="135"/>
      <c r="I32" s="135"/>
      <c r="J32" s="135"/>
      <c r="K32" s="135"/>
      <c r="L32" s="134">
        <f>SUM(F32:K32)</f>
        <v>40400000</v>
      </c>
      <c r="M32" s="134">
        <v>40939829</v>
      </c>
      <c r="N32" s="134">
        <v>37962215</v>
      </c>
      <c r="O32" s="134">
        <v>42000000</v>
      </c>
      <c r="P32" s="134">
        <v>93000000</v>
      </c>
      <c r="Q32" s="134">
        <v>110000000</v>
      </c>
      <c r="R32" s="134">
        <v>95000000</v>
      </c>
      <c r="S32" s="134">
        <v>93057937</v>
      </c>
      <c r="T32" s="134">
        <v>88000000</v>
      </c>
      <c r="U32" s="134">
        <f>+L32</f>
        <v>40400000</v>
      </c>
      <c r="V32" s="193">
        <f>+(U32-T32)/T32</f>
        <v>-0.5409090909090909</v>
      </c>
      <c r="W32" s="226"/>
      <c r="X32" s="163"/>
      <c r="Y32" s="163"/>
      <c r="Z32" s="163"/>
    </row>
    <row r="33" spans="1:26" ht="15" outlineLevel="1">
      <c r="A33" s="191"/>
      <c r="B33" s="133" t="s">
        <v>195</v>
      </c>
      <c r="C33" s="289" t="s">
        <v>196</v>
      </c>
      <c r="D33" s="133" t="s">
        <v>197</v>
      </c>
      <c r="E33" s="297"/>
      <c r="F33" s="291"/>
      <c r="G33" s="267"/>
      <c r="H33" s="267"/>
      <c r="I33" s="267"/>
      <c r="J33" s="267"/>
      <c r="K33" s="267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94"/>
      <c r="W33" s="226"/>
      <c r="X33" s="163"/>
      <c r="Y33" s="163"/>
      <c r="Z33" s="163"/>
    </row>
    <row r="34" spans="1:26" ht="15" outlineLevel="1" thickBot="1">
      <c r="A34" s="192" t="s">
        <v>38</v>
      </c>
      <c r="B34" s="290"/>
      <c r="C34" s="290"/>
      <c r="D34" s="290"/>
      <c r="E34" s="292"/>
      <c r="F34" s="135">
        <f>SUM(B34:E34)</f>
        <v>0</v>
      </c>
      <c r="G34" s="263"/>
      <c r="H34" s="263"/>
      <c r="I34" s="263"/>
      <c r="J34" s="263"/>
      <c r="K34" s="263"/>
      <c r="L34" s="134">
        <f>SUM(F34:K34)</f>
        <v>0</v>
      </c>
      <c r="M34" s="136">
        <v>11545969</v>
      </c>
      <c r="N34" s="136">
        <v>11776888</v>
      </c>
      <c r="O34" s="136">
        <v>15000000</v>
      </c>
      <c r="P34" s="134">
        <v>19000000</v>
      </c>
      <c r="Q34" s="134">
        <v>19000000</v>
      </c>
      <c r="R34" s="134">
        <v>32700000</v>
      </c>
      <c r="S34" s="134">
        <v>34335000</v>
      </c>
      <c r="T34" s="134">
        <v>31186455</v>
      </c>
      <c r="U34" s="134">
        <f>+L34</f>
        <v>0</v>
      </c>
      <c r="V34" s="193">
        <f>+(U34-T34)/T34</f>
        <v>-1</v>
      </c>
      <c r="W34" s="226"/>
      <c r="X34" s="163"/>
      <c r="Y34" s="163"/>
      <c r="Z34" s="163"/>
    </row>
    <row r="35" spans="1:26" ht="15.75" thickBot="1">
      <c r="A35" s="453" t="s">
        <v>65</v>
      </c>
      <c r="B35" s="454"/>
      <c r="C35" s="454"/>
      <c r="D35" s="454"/>
      <c r="E35" s="454"/>
      <c r="F35" s="137">
        <f>SUM(F8:F34)</f>
        <v>118099192.8819</v>
      </c>
      <c r="G35" s="187">
        <f>+G32+G28+G26+G24+G22+G20+G18+G16+G12+G15+G14+G8</f>
        <v>91715434.875</v>
      </c>
      <c r="H35" s="187">
        <f>SUM(H8,H10,H12,H14,H16,H18,H20,H22,H24,H26,H28,H30,H32,H34)+H15</f>
        <v>25911504.875</v>
      </c>
      <c r="I35" s="187">
        <f>SUM(I8,I10,I12,I14,I16,I18,I20,I22,I24,I26,I28,I30,I32,I34)+I15</f>
        <v>10182934.875</v>
      </c>
      <c r="J35" s="187">
        <f>SUM(J8:J34)</f>
        <v>27525000</v>
      </c>
      <c r="K35" s="187">
        <f>SUM(K8,K10,K12,K14,K16,K18,K20,K22,K24,K26,K28,K30,K32,K34)+K15</f>
        <v>16208684.875</v>
      </c>
      <c r="L35" s="187">
        <f>+L34+L32+L30+L28+L26+L24+L22+L20+L18+L16+L14+L12+L10+L8</f>
        <v>289642752.3819</v>
      </c>
      <c r="M35" s="138">
        <f>SUM(M8:M34)</f>
        <v>283163969</v>
      </c>
      <c r="N35" s="138">
        <f>SUM(N8:N34)</f>
        <v>284221363</v>
      </c>
      <c r="O35" s="138">
        <f>SUM(O7:O34)</f>
        <v>373889913</v>
      </c>
      <c r="P35" s="151">
        <f>SUM(P7:P34)</f>
        <v>651341547</v>
      </c>
      <c r="Q35" s="150">
        <f>SUM(Q8:Q34)</f>
        <v>852485682.55918</v>
      </c>
      <c r="R35" s="204">
        <f>SUM(R8:R34)</f>
        <v>833607559</v>
      </c>
      <c r="S35" s="204">
        <f>SUM(S8:S34)</f>
        <v>838314535.5252</v>
      </c>
      <c r="T35" s="204">
        <f>SUM(T8:T34)</f>
        <v>905234987.087812</v>
      </c>
      <c r="U35" s="204">
        <f>SUM(U8:U34)</f>
        <v>289642752.3819</v>
      </c>
      <c r="V35" s="271">
        <f>+(U35-T35)/T35</f>
        <v>-0.6800358398500528</v>
      </c>
      <c r="W35" s="226"/>
      <c r="X35" s="163"/>
      <c r="Y35" s="163"/>
      <c r="Z35" s="163"/>
    </row>
    <row r="36" spans="1:26" ht="16.5">
      <c r="A36" s="247"/>
      <c r="B36" s="247"/>
      <c r="C36" s="248"/>
      <c r="D36" s="201"/>
      <c r="E36" s="201"/>
      <c r="F36" s="201"/>
      <c r="G36" s="201"/>
      <c r="H36" s="201"/>
      <c r="I36" s="201"/>
      <c r="J36" s="201"/>
      <c r="K36" s="201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9"/>
      <c r="X36" s="163"/>
      <c r="Y36" s="163"/>
      <c r="Z36" s="163"/>
    </row>
    <row r="37" spans="1:26" ht="16.5">
      <c r="A37" s="247"/>
      <c r="B37" s="247"/>
      <c r="C37" s="248"/>
      <c r="D37" s="201"/>
      <c r="E37" s="201"/>
      <c r="F37" s="201"/>
      <c r="G37" s="201"/>
      <c r="H37" s="201"/>
      <c r="I37" s="201"/>
      <c r="J37" s="201"/>
      <c r="K37" s="201"/>
      <c r="L37" s="247"/>
      <c r="M37" s="247">
        <v>5739998.8</v>
      </c>
      <c r="N37" s="247">
        <v>58683202.145828575</v>
      </c>
      <c r="O37" s="247">
        <v>38228571</v>
      </c>
      <c r="P37" s="247">
        <v>38054963</v>
      </c>
      <c r="Q37" s="247">
        <v>38520000</v>
      </c>
      <c r="R37" s="247"/>
      <c r="S37" s="247"/>
      <c r="T37" s="247"/>
      <c r="U37" s="247"/>
      <c r="V37" s="247"/>
      <c r="W37" s="249"/>
      <c r="X37" s="163"/>
      <c r="Y37" s="163"/>
      <c r="Z37" s="163"/>
    </row>
    <row r="38" spans="1:26" ht="16.5">
      <c r="A38" s="199"/>
      <c r="B38" s="199"/>
      <c r="C38" s="200"/>
      <c r="D38" s="201"/>
      <c r="E38" s="201"/>
      <c r="F38" s="202"/>
      <c r="G38" s="201"/>
      <c r="H38" s="201"/>
      <c r="I38" s="201"/>
      <c r="J38" s="201"/>
      <c r="K38" s="201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63"/>
      <c r="X38" s="163"/>
      <c r="Y38" s="163"/>
      <c r="Z38" s="163"/>
    </row>
    <row r="39" spans="1:26" ht="16.5">
      <c r="A39" s="199"/>
      <c r="B39" s="199"/>
      <c r="C39" s="200"/>
      <c r="D39" s="201"/>
      <c r="E39" s="201"/>
      <c r="F39" s="202"/>
      <c r="G39" s="202"/>
      <c r="H39" s="202"/>
      <c r="I39" s="202"/>
      <c r="J39" s="202"/>
      <c r="K39" s="202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63"/>
      <c r="X39" s="163"/>
      <c r="Y39" s="163"/>
      <c r="Z39" s="163"/>
    </row>
    <row r="40" spans="1:26" ht="16.5">
      <c r="A40" s="199"/>
      <c r="B40" s="199"/>
      <c r="C40" s="200"/>
      <c r="D40" s="201"/>
      <c r="E40" s="201"/>
      <c r="F40" s="202"/>
      <c r="G40" s="202"/>
      <c r="H40" s="202"/>
      <c r="I40" s="202"/>
      <c r="J40" s="202"/>
      <c r="K40" s="202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63"/>
      <c r="X40" s="163"/>
      <c r="Y40" s="163"/>
      <c r="Z40" s="163"/>
    </row>
    <row r="41" spans="1:26" ht="16.5">
      <c r="A41" s="199"/>
      <c r="B41" s="199"/>
      <c r="C41" s="202"/>
      <c r="D41" s="201"/>
      <c r="E41" s="201"/>
      <c r="F41" s="201"/>
      <c r="G41" s="201"/>
      <c r="H41" s="201"/>
      <c r="I41" s="201"/>
      <c r="J41" s="201"/>
      <c r="K41" s="201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63"/>
      <c r="X41" s="163"/>
      <c r="Y41" s="163"/>
      <c r="Z41" s="163"/>
    </row>
    <row r="42" spans="1:22" ht="16.5">
      <c r="A42" s="199"/>
      <c r="B42" s="199"/>
      <c r="C42" s="202"/>
      <c r="D42" s="203"/>
      <c r="E42" s="202"/>
      <c r="F42" s="202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</row>
    <row r="43" spans="1:22" ht="16.5">
      <c r="A43" s="199"/>
      <c r="B43" s="199"/>
      <c r="C43" s="10"/>
      <c r="D43" s="10"/>
      <c r="E43" s="10"/>
      <c r="F43" s="10"/>
      <c r="G43" s="7"/>
      <c r="H43" s="7"/>
      <c r="I43" s="7"/>
      <c r="J43" s="7"/>
      <c r="K43" s="7"/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6.5">
      <c r="A44" s="7"/>
      <c r="B44" s="7"/>
      <c r="C44" s="10"/>
      <c r="D44" s="10"/>
      <c r="E44" s="10"/>
      <c r="F44" s="10"/>
      <c r="G44" s="7"/>
      <c r="H44" s="7"/>
      <c r="I44" s="7"/>
      <c r="J44" s="7"/>
      <c r="K44" s="7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6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6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6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1:12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1:12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1:12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1:12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1:12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1:12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1:12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1:12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1:12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1:12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1:12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1:12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1:12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1:12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1:12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1:12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1:12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  <row r="1019" spans="1:12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</row>
    <row r="1020" spans="1:12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</row>
    <row r="1021" spans="1:12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</row>
    <row r="1022" spans="1:12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</row>
    <row r="1023" spans="1:12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</row>
    <row r="1024" spans="1:12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</row>
    <row r="1025" spans="1:12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</row>
    <row r="1026" spans="1:12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</row>
    <row r="1027" spans="1:12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</row>
    <row r="1028" spans="1:12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</row>
    <row r="1029" spans="1:12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</row>
    <row r="1030" spans="1:12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1:12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1:12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</row>
    <row r="1033" spans="1:12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1:12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</row>
    <row r="1035" spans="1:12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</row>
    <row r="1036" spans="1:12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</row>
    <row r="1037" spans="1:12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</row>
    <row r="1038" spans="1:12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</row>
    <row r="1039" spans="1:12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</row>
    <row r="1040" spans="1:12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</row>
    <row r="1041" spans="1:12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</row>
    <row r="1042" spans="1:12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</row>
    <row r="1043" spans="1:12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</row>
    <row r="1044" spans="1:12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</row>
    <row r="1045" spans="1:12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</row>
    <row r="1046" spans="1:12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</row>
    <row r="1047" spans="1:12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</row>
    <row r="1048" spans="1:12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</row>
    <row r="1049" spans="1:12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</row>
    <row r="1050" spans="1:12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</row>
    <row r="1051" spans="1:12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</row>
    <row r="1052" spans="1:12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</row>
    <row r="1053" spans="1:12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</row>
    <row r="1054" spans="1:12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1:12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1:12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1:12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</row>
    <row r="1058" spans="1:12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</row>
    <row r="1059" spans="1:12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1:12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1:12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</row>
    <row r="1062" spans="1:12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</row>
    <row r="1063" spans="1:12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1:12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65" spans="1:12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</row>
    <row r="1066" spans="1:12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</row>
    <row r="1067" spans="1:12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</row>
    <row r="1068" spans="1:12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</row>
    <row r="1069" spans="1:12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</row>
    <row r="1070" spans="1:12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</row>
    <row r="1071" spans="1:12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</row>
    <row r="1072" spans="1:12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</row>
    <row r="1073" spans="1:12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</row>
    <row r="1074" spans="1:12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</row>
    <row r="1075" spans="1:12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</row>
    <row r="1076" spans="1:12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</row>
    <row r="1077" spans="1:12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</row>
    <row r="1078" spans="1:12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</row>
    <row r="1079" spans="1:12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</row>
    <row r="1080" spans="1:12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</row>
    <row r="1081" spans="1:12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</row>
    <row r="1082" spans="1:12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</row>
    <row r="1083" spans="1:12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</row>
    <row r="1084" spans="1:12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</row>
    <row r="1085" spans="1:12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</row>
    <row r="1086" spans="1:12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</row>
    <row r="1087" spans="1:12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1:12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</row>
    <row r="1089" spans="1:12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</row>
    <row r="1090" spans="1:12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</row>
    <row r="1091" spans="1:12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</row>
    <row r="1092" spans="1:12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</row>
    <row r="1093" spans="1:12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</row>
    <row r="1094" spans="1:12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</row>
    <row r="1095" spans="1:12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</row>
    <row r="1096" spans="1:12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</row>
    <row r="1097" spans="1:12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</row>
    <row r="1098" spans="1:12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</row>
    <row r="1099" spans="1:12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1:12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1:12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</row>
    <row r="1102" spans="1:12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</row>
    <row r="1103" spans="1:12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</row>
    <row r="1104" spans="1:12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</row>
    <row r="1105" spans="1:12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6" spans="1:12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</row>
    <row r="1107" spans="1:12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1:12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1:12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1:12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</row>
    <row r="1111" spans="1:12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1:12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</row>
    <row r="1113" spans="1:12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</row>
    <row r="1114" spans="1:12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</row>
    <row r="1115" spans="1:12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</row>
    <row r="1116" spans="1:12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</row>
    <row r="1117" spans="1:12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</row>
    <row r="1118" spans="1:12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</row>
    <row r="1119" spans="1:12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</row>
    <row r="1120" spans="1:12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</row>
    <row r="1121" spans="1:12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</row>
    <row r="1122" spans="1:12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</row>
    <row r="1123" spans="1:12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</row>
    <row r="1124" spans="1:12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25" spans="1:12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</row>
    <row r="1126" spans="1:12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</row>
    <row r="1127" spans="1:12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</row>
    <row r="1128" spans="1:12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</row>
    <row r="1129" spans="1:12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</row>
    <row r="1130" spans="1:12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1:12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</row>
    <row r="1132" spans="1:12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1:12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1:12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</row>
    <row r="1135" spans="1:12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</row>
    <row r="1136" spans="1:12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1:12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</row>
    <row r="1138" spans="1:12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</row>
    <row r="1139" spans="1:12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</row>
    <row r="1140" spans="1:12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</row>
    <row r="1141" spans="1:12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</row>
    <row r="1142" spans="1:12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</row>
    <row r="1143" spans="1:12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</row>
    <row r="1144" spans="1:12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</row>
    <row r="1145" spans="1:12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</row>
    <row r="1146" spans="1:12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</row>
    <row r="1147" spans="1:12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</row>
    <row r="1148" spans="1:12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</row>
    <row r="1149" spans="1:12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</row>
    <row r="1150" spans="1:12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</row>
    <row r="1151" spans="1:12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1:12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</row>
    <row r="1153" spans="1:12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</row>
    <row r="1154" spans="1:12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</row>
    <row r="1155" spans="1:12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</row>
    <row r="1156" spans="1:12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</row>
    <row r="1157" spans="1:12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</row>
    <row r="1158" spans="1:12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</row>
    <row r="1159" spans="1:12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</row>
    <row r="1160" spans="1:12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</row>
    <row r="1161" spans="1:12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</row>
    <row r="1162" spans="1:12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</row>
    <row r="1163" spans="1:12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</row>
    <row r="1164" spans="1:12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</row>
    <row r="1165" spans="1:12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</row>
    <row r="1166" spans="1:12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</row>
    <row r="1167" spans="1:12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</row>
    <row r="1168" spans="1:12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</row>
    <row r="1169" spans="1:12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</row>
    <row r="1170" spans="1:12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</row>
    <row r="1171" spans="1:12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</row>
    <row r="1172" spans="1:12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</row>
    <row r="1173" spans="1:12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</row>
    <row r="1174" spans="1:12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</row>
    <row r="1175" spans="1:12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</row>
    <row r="1176" spans="1:12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</row>
    <row r="1177" spans="1:12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</row>
    <row r="1178" spans="1:12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</row>
    <row r="1179" spans="1:12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</row>
    <row r="1180" spans="1:12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</row>
    <row r="1181" spans="1:12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</row>
    <row r="1182" spans="1:12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</row>
    <row r="1183" spans="1:12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</row>
    <row r="1184" spans="1:12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</row>
    <row r="1185" spans="1:12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</row>
    <row r="1186" spans="1:12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</row>
    <row r="1187" spans="1:12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</row>
    <row r="1188" spans="1:12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</row>
    <row r="1189" spans="1:12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</row>
    <row r="1190" spans="1:12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</row>
    <row r="1191" spans="1:12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</row>
    <row r="1192" spans="1:12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</row>
    <row r="1193" spans="1:12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</row>
    <row r="1194" spans="1:12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</row>
    <row r="1195" spans="1:12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</row>
    <row r="1196" spans="1:12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</row>
    <row r="1197" spans="1:12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</row>
    <row r="1198" spans="1:12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</row>
    <row r="1199" spans="1:12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</row>
    <row r="1200" spans="1:12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</row>
    <row r="1201" spans="1:12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</row>
    <row r="1202" spans="1:12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</row>
    <row r="1203" spans="1:12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</row>
    <row r="1204" spans="1:12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</row>
    <row r="1205" spans="1:12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</row>
    <row r="1206" spans="1:12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</row>
    <row r="1207" spans="1:12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</row>
    <row r="1208" spans="1:12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</row>
    <row r="1209" spans="1:12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</row>
    <row r="1210" spans="1:12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</row>
    <row r="1211" spans="1:12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</row>
    <row r="1212" spans="1:12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</row>
    <row r="1213" spans="1:12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</row>
    <row r="1214" spans="1:12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</row>
    <row r="1215" spans="1:12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</row>
    <row r="1216" spans="1:12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</row>
    <row r="1217" spans="1:12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</row>
    <row r="1218" spans="1:12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</row>
    <row r="1219" spans="1:12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</row>
    <row r="1220" spans="1:12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</row>
    <row r="1221" spans="1:12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</row>
    <row r="1222" spans="1:12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</row>
    <row r="1223" spans="1:12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</row>
    <row r="1224" spans="1:12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</row>
    <row r="1225" spans="1:12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</row>
    <row r="1226" spans="1:12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</row>
    <row r="1227" spans="1:12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</row>
    <row r="1228" spans="1:12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</row>
    <row r="1229" spans="1:12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</row>
    <row r="1230" spans="1:12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</row>
    <row r="1231" spans="1:12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</row>
    <row r="1232" spans="1:12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</row>
    <row r="1233" spans="1:12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</row>
    <row r="1234" spans="1:12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</row>
    <row r="1235" spans="1:12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</row>
    <row r="1236" spans="1:12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</row>
    <row r="1237" spans="1:12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</row>
    <row r="1238" spans="1:12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</row>
    <row r="1239" spans="1:12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</row>
    <row r="1240" spans="1:12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</row>
    <row r="1241" spans="1:12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</row>
    <row r="1242" spans="1:12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</row>
    <row r="1243" spans="1:12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</row>
    <row r="1244" spans="1:12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</row>
    <row r="1245" spans="1:12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</row>
    <row r="1246" spans="1:12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</row>
    <row r="1247" spans="1:12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</row>
    <row r="1248" spans="1:12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</row>
    <row r="1249" spans="1:12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</row>
    <row r="1250" spans="1:12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</row>
    <row r="1251" spans="1:12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</row>
    <row r="1252" spans="1:12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</row>
    <row r="1253" spans="1:12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</row>
    <row r="1254" spans="1:12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</row>
    <row r="1255" spans="1:12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</row>
    <row r="1256" spans="1:12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</row>
    <row r="1257" spans="1:12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</row>
    <row r="1258" spans="1:12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</row>
    <row r="1259" spans="1:12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</row>
    <row r="1260" spans="1:12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</row>
    <row r="1261" spans="1:12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</row>
    <row r="1262" spans="1:12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</row>
    <row r="1263" spans="1:12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</row>
    <row r="1264" spans="1:12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</row>
    <row r="1265" spans="1:12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</row>
    <row r="1266" spans="1:12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</row>
    <row r="1267" spans="1:12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</row>
    <row r="1268" spans="1:12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</row>
    <row r="1269" spans="1:12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</row>
    <row r="1270" spans="1:12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</row>
    <row r="1271" spans="1:12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</row>
    <row r="1272" spans="1:12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</row>
    <row r="1273" spans="1:12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</row>
    <row r="1274" spans="1:12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</row>
    <row r="1275" spans="1:12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</row>
    <row r="1276" spans="1:12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</row>
    <row r="1277" spans="1:12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</row>
    <row r="1278" spans="1:12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</row>
    <row r="1279" spans="1:12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</row>
    <row r="1280" spans="1:12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</row>
    <row r="1281" spans="1:12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</row>
    <row r="1282" spans="1:12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</row>
    <row r="1283" spans="1:12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</row>
    <row r="1284" spans="1:12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</row>
    <row r="1285" spans="1:12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</row>
    <row r="1286" spans="1:12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</row>
    <row r="1287" spans="1:12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</row>
    <row r="1288" spans="1:12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</row>
    <row r="1289" spans="1:12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</row>
    <row r="1290" spans="1:12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</row>
    <row r="1291" spans="1:12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</row>
    <row r="1292" spans="1:12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</row>
    <row r="1293" spans="1:12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</row>
    <row r="1294" spans="1:12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</row>
    <row r="1295" spans="1:12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</row>
    <row r="1296" spans="1:12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</row>
    <row r="1297" spans="1:12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</row>
    <row r="1298" spans="1:12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</row>
    <row r="1299" spans="1:12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</row>
    <row r="1300" spans="1:12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</row>
    <row r="1301" spans="1:12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</row>
    <row r="1302" spans="1:12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</row>
    <row r="1303" spans="1:12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</row>
    <row r="1304" spans="1:12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</row>
    <row r="1305" spans="1:12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</row>
    <row r="1306" spans="1:12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</row>
    <row r="1307" spans="1:12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</row>
    <row r="1308" spans="1:12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</row>
    <row r="1309" spans="1:12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</row>
    <row r="1310" spans="1:12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</row>
    <row r="1311" spans="1:12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</row>
    <row r="1312" spans="1:12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</row>
    <row r="1313" spans="1:12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</row>
    <row r="1314" spans="1:12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</row>
    <row r="1315" spans="1:12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</row>
    <row r="1316" spans="1:12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</row>
    <row r="1317" spans="1:12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</row>
    <row r="1318" spans="1:12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</row>
    <row r="1319" spans="1:12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</row>
    <row r="1320" spans="1:12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</row>
    <row r="1321" spans="1:12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</row>
    <row r="1322" spans="1:12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</row>
    <row r="1323" spans="1:12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</row>
    <row r="1324" spans="1:12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</row>
    <row r="1325" spans="1:12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</row>
    <row r="1326" spans="1:12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</row>
    <row r="1327" spans="1:12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</row>
    <row r="1328" spans="1:12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</row>
    <row r="1329" spans="1:12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</row>
    <row r="1330" spans="1:12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</row>
    <row r="1331" spans="1:12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</row>
    <row r="1332" spans="1:12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</row>
    <row r="1333" spans="1:12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</row>
    <row r="1334" spans="1:12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</row>
    <row r="1335" spans="1:12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</row>
    <row r="1336" spans="1:12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</row>
    <row r="1337" spans="1:12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</row>
    <row r="1338" spans="1:12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</row>
    <row r="1339" spans="1:12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</row>
    <row r="1340" spans="1:12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</row>
    <row r="1341" spans="1:12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1:12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</row>
    <row r="1343" spans="1:12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</row>
    <row r="1344" spans="1:12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</row>
    <row r="1345" spans="1:12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</row>
    <row r="1346" spans="1:12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</row>
    <row r="1347" spans="1:12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</row>
    <row r="1348" spans="1:12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</row>
    <row r="1349" spans="1:12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</row>
    <row r="1350" spans="1:12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</row>
    <row r="1351" spans="1:12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1:12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</row>
    <row r="1353" spans="1:12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</row>
    <row r="1354" spans="1:12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1:12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1:12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1:12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1:12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1:12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12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2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2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2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2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2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2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1:12" ht="12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1:12" ht="12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  <row r="1386" spans="1:12" ht="12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</row>
    <row r="1387" spans="1:12" ht="12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</row>
    <row r="1388" spans="1:12" ht="12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</row>
    <row r="1389" spans="1:12" ht="12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</row>
    <row r="1390" spans="1:12" ht="12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</row>
    <row r="1391" spans="1:12" ht="12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</row>
    <row r="1392" spans="1:12" ht="12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</row>
    <row r="1393" spans="1:12" ht="12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</row>
    <row r="1394" spans="1:12" ht="12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</row>
    <row r="1395" spans="1:12" ht="12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</row>
    <row r="1396" spans="1:12" ht="12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</row>
    <row r="1397" spans="1:12" ht="12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</row>
    <row r="1398" spans="1:12" ht="12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</row>
    <row r="1399" spans="1:12" ht="12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</row>
    <row r="1400" spans="1:12" ht="12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</row>
    <row r="1401" spans="1:12" ht="12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</row>
    <row r="1402" spans="1:12" ht="12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</row>
    <row r="1403" spans="1:12" ht="12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</row>
    <row r="1404" spans="1:12" ht="12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</row>
    <row r="1405" spans="1:12" ht="12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</row>
    <row r="1406" spans="1:12" ht="12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</row>
    <row r="1407" spans="1:12" ht="12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</row>
    <row r="1408" spans="1:12" ht="12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</row>
    <row r="1409" spans="1:12" ht="12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</row>
    <row r="1410" spans="1:12" ht="12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</row>
    <row r="1411" spans="1:12" ht="12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</row>
    <row r="1412" spans="1:12" ht="12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</row>
    <row r="1413" spans="1:12" ht="12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</row>
    <row r="1414" spans="1:12" ht="12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</row>
    <row r="1415" spans="1:12" ht="12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</row>
    <row r="1416" spans="1:12" ht="12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</row>
    <row r="1417" spans="1:12" ht="12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</row>
    <row r="1418" spans="1:12" ht="12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</row>
    <row r="1419" spans="1:12" ht="12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</row>
    <row r="1420" spans="1:12" ht="12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</row>
    <row r="1421" spans="1:12" ht="12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</row>
    <row r="1422" spans="1:12" ht="12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</row>
    <row r="1423" spans="1:12" ht="12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</row>
    <row r="1424" spans="1:12" ht="12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</row>
    <row r="1425" spans="1:12" ht="12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</row>
    <row r="1426" spans="1:12" ht="12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</row>
    <row r="1427" spans="1:12" ht="12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</row>
    <row r="1428" spans="1:12" ht="12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</row>
    <row r="1429" spans="1:12" ht="12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</row>
    <row r="1430" spans="1:12" ht="12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</row>
    <row r="1431" spans="1:12" ht="12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</row>
    <row r="1432" spans="1:12" ht="12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</row>
    <row r="1433" spans="1:12" ht="12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</row>
    <row r="1434" spans="1:12" ht="12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</row>
    <row r="1435" spans="1:12" ht="12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</row>
    <row r="1436" spans="1:12" ht="12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</row>
    <row r="1437" spans="1:12" ht="12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</row>
    <row r="1438" spans="1:12" ht="12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</row>
    <row r="1439" spans="1:12" ht="12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</row>
    <row r="1440" spans="1:12" ht="12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</row>
    <row r="1441" spans="1:12" ht="12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</row>
    <row r="1442" spans="1:12" ht="12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</row>
    <row r="1443" spans="1:12" ht="12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</row>
    <row r="1444" spans="1:12" ht="12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</row>
    <row r="1445" spans="1:12" ht="12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</row>
    <row r="1446" spans="1:12" ht="12.7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</row>
    <row r="1447" spans="1:12" ht="12.7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</row>
    <row r="1448" spans="1:12" ht="12.7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</row>
    <row r="1449" spans="1:12" ht="12.7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</row>
    <row r="1450" spans="1:12" ht="12.7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</row>
    <row r="1451" spans="1:12" ht="12.7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</row>
    <row r="1452" spans="1:12" ht="12.7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</row>
    <row r="1453" spans="1:12" ht="12.7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</row>
    <row r="1454" spans="1:12" ht="12.7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</row>
    <row r="1455" spans="1:12" ht="12.7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</row>
    <row r="1456" spans="1:12" ht="12.7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</row>
    <row r="1457" spans="1:12" ht="12.7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</row>
    <row r="1458" spans="1:12" ht="12.7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</row>
    <row r="1459" spans="1:12" ht="12.7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</row>
    <row r="1460" spans="1:12" ht="12.7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</row>
    <row r="1461" spans="1:12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</row>
    <row r="1462" spans="1:12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</row>
    <row r="1463" spans="1:12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</row>
    <row r="1464" spans="1:12" ht="12.7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</row>
    <row r="1465" spans="1:12" ht="12.7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</row>
    <row r="1466" spans="1:12" ht="12.7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</row>
    <row r="1467" spans="1:12" ht="12.7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</row>
    <row r="1468" spans="1:12" ht="12.7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</row>
    <row r="1469" spans="1:12" ht="12.7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</row>
    <row r="1470" spans="1:12" ht="12.7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</row>
    <row r="1471" spans="1:12" ht="12.7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</row>
    <row r="1472" spans="1:12" ht="12.7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</row>
    <row r="1473" spans="1:12" ht="12.7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</row>
    <row r="1474" spans="1:12" ht="12.7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</row>
    <row r="1475" spans="1:12" ht="12.7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</row>
    <row r="1476" spans="1:12" ht="12.7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</row>
    <row r="1477" spans="1:12" ht="12.7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</row>
    <row r="1478" spans="1:12" ht="12.7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</row>
    <row r="1479" spans="1:12" ht="12.7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</row>
    <row r="1480" spans="1:12" ht="12.7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</row>
    <row r="1481" spans="1:12" ht="12.7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</row>
    <row r="1482" spans="1:12" ht="12.7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</row>
    <row r="1483" spans="1:12" ht="12.7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</row>
    <row r="1484" spans="1:12" ht="12.7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</row>
    <row r="1485" spans="1:12" ht="12.7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</row>
    <row r="1486" spans="1:12" ht="12.7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</row>
    <row r="1487" spans="1:12" ht="12.7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</row>
    <row r="1488" spans="1:12" ht="12.7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</row>
    <row r="1489" spans="1:12" ht="12.7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</row>
    <row r="1490" spans="1:12" ht="12.7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</row>
    <row r="1491" spans="1:12" ht="12.7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</row>
    <row r="1492" spans="1:12" ht="12.7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</row>
    <row r="1493" spans="1:12" ht="12.7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</row>
    <row r="1494" spans="1:12" ht="12.7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</row>
    <row r="1495" spans="1:12" ht="12.7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</row>
    <row r="1496" spans="1:12" ht="12.7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</row>
    <row r="1497" spans="1:12" ht="12.7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</row>
    <row r="1498" spans="1:12" ht="12.7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</row>
    <row r="1499" spans="1:12" ht="12.7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</row>
    <row r="1500" spans="1:12" ht="12.7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</row>
    <row r="1501" spans="1:12" ht="12.7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</row>
    <row r="1502" spans="1:12" ht="12.7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</row>
    <row r="1503" spans="1:12" ht="12.7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</row>
    <row r="1504" spans="1:12" ht="12.7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</row>
    <row r="1505" spans="1:12" ht="12.7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</row>
    <row r="1506" spans="1:12" ht="12.7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</row>
    <row r="1507" spans="1:12" ht="12.7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</row>
    <row r="1508" spans="1:12" ht="12.7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</row>
    <row r="1509" spans="1:12" ht="12.7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</row>
    <row r="1510" spans="1:12" ht="12.7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</row>
    <row r="1511" spans="1:12" ht="12.7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</row>
    <row r="1512" spans="1:12" ht="12.7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</row>
    <row r="1513" spans="1:12" ht="12.7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</row>
    <row r="1514" spans="1:12" ht="12.7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</row>
    <row r="1515" spans="1:12" ht="12.7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</row>
    <row r="1516" spans="1:12" ht="12.7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</row>
    <row r="1517" spans="1:12" ht="12.7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</row>
    <row r="1518" spans="1:12" ht="12.7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</row>
    <row r="1519" spans="1:12" ht="12.7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</row>
    <row r="1520" spans="1:12" ht="12.7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</row>
    <row r="1521" spans="1:12" ht="12.7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</row>
    <row r="1522" spans="1:12" ht="12.7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</row>
    <row r="1523" spans="1:12" ht="12.7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</row>
    <row r="1524" spans="1:12" ht="12.7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</row>
    <row r="1525" spans="1:12" ht="12.7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</row>
    <row r="1526" spans="1:12" ht="12.7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</row>
    <row r="1527" spans="1:12" ht="12.7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</row>
    <row r="1528" spans="1:12" ht="12.7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</row>
    <row r="1529" spans="1:12" ht="12.7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</row>
    <row r="1530" spans="1:12" ht="12.7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</row>
    <row r="1531" spans="1:12" ht="12.7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</row>
    <row r="1532" spans="1:12" ht="12.7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</row>
    <row r="1533" spans="1:12" ht="12.7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</row>
    <row r="1534" spans="1:12" ht="12.7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</row>
    <row r="1535" spans="1:12" ht="12.7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</row>
    <row r="1536" spans="1:12" ht="12.7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</row>
    <row r="1537" spans="1:12" ht="12.7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</row>
    <row r="1538" spans="1:12" ht="12.7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</row>
    <row r="1539" spans="1:12" ht="12.7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</row>
    <row r="1540" spans="1:12" ht="12.7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</row>
    <row r="1541" spans="1:12" ht="12.7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</row>
    <row r="1542" spans="1:12" ht="12.7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</row>
    <row r="1543" spans="1:12" ht="12.7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</row>
    <row r="1544" spans="1:12" ht="12.7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</row>
    <row r="1545" spans="1:12" ht="12.7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</row>
    <row r="1546" spans="1:12" ht="12.7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</row>
    <row r="1547" spans="1:12" ht="12.7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</row>
    <row r="1548" spans="1:12" ht="12.7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</row>
    <row r="1549" spans="1:12" ht="12.7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</row>
    <row r="1550" spans="1:12" ht="12.7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</row>
    <row r="1551" spans="1:12" ht="12.7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</row>
    <row r="1552" spans="1:12" ht="12.7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</row>
    <row r="1553" spans="1:12" ht="12.7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</row>
    <row r="1554" spans="1:12" ht="12.7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</row>
    <row r="1555" spans="1:12" ht="12.7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</row>
    <row r="1556" spans="1:12" ht="12.7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</row>
    <row r="1557" spans="1:12" ht="12.7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</row>
    <row r="1558" spans="1:12" ht="12.7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</row>
    <row r="1559" spans="1:12" ht="12.7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</row>
    <row r="1560" spans="1:12" ht="12.7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</row>
    <row r="1561" spans="1:12" ht="12.7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</row>
    <row r="1562" spans="1:12" ht="12.7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</row>
    <row r="1563" spans="1:12" ht="12.7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</row>
    <row r="1564" spans="1:12" ht="12.7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</row>
    <row r="1565" spans="1:12" ht="12.7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</row>
    <row r="1566" spans="1:12" ht="12.7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</row>
    <row r="1567" spans="1:12" ht="12.7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</row>
    <row r="1568" spans="1:12" ht="12.7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</row>
    <row r="1569" spans="1:12" ht="12.7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</row>
    <row r="1570" spans="1:12" ht="12.7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</row>
    <row r="1571" spans="1:12" ht="12.7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</row>
    <row r="1572" spans="1:12" ht="12.7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</row>
    <row r="1573" spans="1:12" ht="12.7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</row>
    <row r="1574" spans="1:12" ht="12.7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</row>
    <row r="1575" spans="1:12" ht="12.7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</row>
    <row r="1576" spans="1:12" ht="12.7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</row>
    <row r="1577" spans="1:12" ht="12.7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</row>
    <row r="1578" spans="1:12" ht="12.7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</row>
    <row r="1582" spans="1:12" ht="12.7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</row>
    <row r="1583" spans="1:12" ht="12.7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</row>
    <row r="1584" spans="1:12" ht="12.7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</row>
    <row r="1585" spans="1:12" ht="12.7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</row>
    <row r="1586" spans="1:12" ht="12.7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</row>
    <row r="1587" spans="1:12" ht="12.7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</row>
    <row r="1588" spans="1:12" ht="12.7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</row>
    <row r="1589" spans="1:12" ht="12.7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</row>
    <row r="1590" spans="1:12" ht="12.7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</row>
    <row r="1591" spans="1:12" ht="12.7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</row>
    <row r="1592" spans="1:12" ht="12.7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</row>
    <row r="1593" spans="1:12" ht="12.7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</row>
    <row r="1594" spans="1:12" ht="12.7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</row>
    <row r="1595" spans="1:12" ht="12.7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1:12" ht="12.7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</row>
    <row r="1597" spans="1:12" ht="12.7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</row>
    <row r="1598" spans="1:12" ht="12.7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</row>
    <row r="1599" spans="1:12" ht="12.7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</row>
    <row r="1600" spans="1:12" ht="12.7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</row>
    <row r="1601" spans="1:12" ht="12.7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</row>
    <row r="1602" spans="1:12" ht="12.7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</row>
    <row r="1603" spans="1:12" ht="12.7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</row>
    <row r="1604" spans="1:12" ht="12.7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</row>
    <row r="1605" spans="1:12" ht="12.7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</row>
    <row r="1606" spans="1:12" ht="12.7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</row>
    <row r="1607" spans="1:12" ht="12.7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</row>
    <row r="1608" spans="1:12" ht="12.7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</row>
    <row r="1609" spans="1:12" ht="12.7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</row>
    <row r="1610" spans="1:12" ht="12.7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</row>
    <row r="1611" spans="1:12" ht="12.7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</row>
    <row r="1612" spans="1:12" ht="12.7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</row>
    <row r="1613" spans="1:12" ht="12.7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</row>
    <row r="1614" spans="1:12" ht="12.7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</row>
    <row r="1615" spans="1:12" ht="12.7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</row>
    <row r="1616" spans="1:12" ht="12.7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</row>
    <row r="1617" spans="1:12" ht="12.7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</row>
    <row r="1618" spans="1:12" ht="12.7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</row>
    <row r="1619" spans="1:12" ht="12.7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</row>
    <row r="1620" spans="1:12" ht="12.7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</row>
    <row r="1621" spans="1:12" ht="12.7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</row>
    <row r="1622" spans="1:12" ht="12.7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</row>
    <row r="1623" spans="1:12" ht="12.7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</row>
    <row r="1624" spans="1:12" ht="12.7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</row>
    <row r="1625" spans="1:12" ht="12.7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</row>
    <row r="1626" spans="1:12" ht="12.7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</row>
    <row r="1627" spans="1:12" ht="12.7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</row>
    <row r="1628" spans="1:12" ht="12.7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</row>
    <row r="1629" spans="1:12" ht="12.7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</row>
    <row r="1630" spans="1:12" ht="12.7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</row>
    <row r="1631" spans="1:12" ht="12.7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</row>
    <row r="1632" spans="1:12" ht="12.7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</row>
    <row r="1633" spans="1:12" ht="12.7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</row>
    <row r="1634" spans="1:12" ht="12.7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</row>
    <row r="1635" spans="1:12" ht="12.7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</row>
    <row r="1636" spans="1:12" ht="12.7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</row>
    <row r="1637" spans="1:12" ht="12.7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</row>
    <row r="1638" spans="1:12" ht="12.7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</row>
    <row r="1639" spans="1:12" ht="12.7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</row>
    <row r="1640" spans="1:12" ht="12.7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</row>
    <row r="1641" spans="1:12" ht="12.7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</row>
    <row r="1642" spans="1:12" ht="12.7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</row>
    <row r="1643" spans="1:12" ht="12.7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</row>
    <row r="1644" spans="1:12" ht="12.7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</row>
    <row r="1645" spans="1:12" ht="12.7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</row>
    <row r="1646" spans="1:12" ht="12.7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</row>
    <row r="1647" spans="1:12" ht="12.7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</row>
    <row r="1648" spans="1:12" ht="12.7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</row>
    <row r="1649" spans="1:12" ht="12.7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</row>
    <row r="1650" spans="1:12" ht="12.7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</row>
    <row r="1651" spans="1:12" ht="12.7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</row>
    <row r="1652" spans="1:12" ht="12.7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</row>
    <row r="1653" spans="1:12" ht="12.7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</row>
    <row r="1654" spans="1:12" ht="12.7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</row>
    <row r="1655" spans="1:12" ht="12.7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</row>
    <row r="1656" spans="1:12" ht="12.7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</row>
    <row r="1657" spans="1:12" ht="12.7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</row>
    <row r="1658" spans="1:12" ht="12.7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</row>
    <row r="1659" spans="1:12" ht="12.7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</row>
    <row r="1660" spans="1:12" ht="12.7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</row>
    <row r="1661" spans="1:12" ht="12.7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</row>
    <row r="1662" spans="1:12" ht="12.7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</row>
    <row r="1663" spans="1:12" ht="12.7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</row>
    <row r="1664" spans="1:12" ht="12.7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</row>
    <row r="1665" spans="1:12" ht="12.7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</row>
    <row r="1666" spans="1:12" ht="12.7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</row>
    <row r="1667" spans="1:12" ht="12.7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</row>
    <row r="1668" spans="1:12" ht="12.7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</row>
    <row r="1669" spans="1:12" ht="12.7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</row>
    <row r="1670" spans="1:12" ht="12.7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</row>
    <row r="1671" spans="1:12" ht="12.7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</row>
    <row r="1672" spans="1:12" ht="12.7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</row>
    <row r="1673" spans="1:12" ht="12.7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</row>
    <row r="1674" spans="1:12" ht="12.7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</row>
    <row r="1675" spans="1:12" ht="12.7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</row>
    <row r="1676" spans="1:12" ht="12.7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</row>
    <row r="1677" spans="1:12" ht="12.7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</row>
    <row r="1678" spans="1:12" ht="12.7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</row>
    <row r="1679" spans="1:12" ht="12.7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</row>
    <row r="1680" spans="1:12" ht="12.7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</row>
    <row r="1681" spans="1:12" ht="12.7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</row>
    <row r="1682" spans="1:12" ht="12.7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</row>
    <row r="1683" spans="1:12" ht="12.7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</row>
    <row r="1684" spans="1:12" ht="12.7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</row>
    <row r="1685" spans="1:12" ht="12.7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</row>
    <row r="1686" spans="1:12" ht="12.7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</row>
    <row r="1687" spans="1:12" ht="12.7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</row>
    <row r="1688" spans="1:12" ht="12.7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</row>
    <row r="1689" spans="1:12" ht="12.7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</row>
    <row r="1690" spans="1:12" ht="12.7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</row>
    <row r="1691" spans="1:12" ht="12.7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</row>
    <row r="1692" spans="1:12" ht="12.7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</row>
    <row r="1693" spans="1:12" ht="12.7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</row>
    <row r="1694" spans="1:12" ht="12.7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</row>
    <row r="1695" spans="1:12" ht="12.7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</row>
    <row r="1696" spans="1:12" ht="12.7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</row>
    <row r="1697" spans="1:12" ht="12.7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</row>
    <row r="1698" spans="1:12" ht="12.7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</row>
    <row r="1699" spans="1:12" ht="12.7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</row>
    <row r="1700" spans="1:12" ht="12.7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</row>
    <row r="1701" spans="1:12" ht="12.7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</row>
    <row r="1702" spans="1:12" ht="12.7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</row>
    <row r="1703" spans="1:12" ht="12.7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</row>
    <row r="1704" spans="1:12" ht="12.7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</row>
    <row r="1705" spans="1:12" ht="12.7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</row>
    <row r="1706" spans="1:12" ht="12.7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</row>
    <row r="1707" spans="1:12" ht="12.7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</row>
    <row r="1708" spans="1:12" ht="12.7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</row>
    <row r="1709" spans="1:12" ht="12.7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</row>
    <row r="1710" spans="1:12" ht="12.7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</row>
    <row r="1711" spans="1:12" ht="12.7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</row>
    <row r="1712" spans="1:12" ht="12.7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</row>
    <row r="1713" spans="1:12" ht="12.7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</row>
    <row r="1714" spans="1:12" ht="12.7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</row>
    <row r="1715" spans="1:12" ht="12.7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</row>
    <row r="1716" spans="1:12" ht="12.7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</row>
    <row r="1717" spans="1:12" ht="12.7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</row>
    <row r="1718" spans="1:12" ht="12.7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</row>
    <row r="1719" spans="1:12" ht="12.7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</row>
    <row r="1720" spans="1:12" ht="12.7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</row>
    <row r="1721" spans="1:12" ht="12.7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</row>
    <row r="1722" spans="1:12" ht="12.7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</row>
    <row r="1723" spans="1:12" ht="12.7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</row>
    <row r="1724" spans="1:12" ht="12.7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</row>
    <row r="1725" spans="1:12" ht="12.7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</row>
    <row r="1726" spans="1:12" ht="12.7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</row>
    <row r="1727" spans="1:12" ht="12.7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</row>
    <row r="1728" spans="1:12" ht="12.7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</row>
    <row r="1729" spans="1:12" ht="12.7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</row>
    <row r="1730" spans="1:12" ht="12.7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</row>
    <row r="1731" spans="1:12" ht="12.7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</row>
    <row r="1732" spans="1:12" ht="12.7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</row>
    <row r="1733" spans="1:12" ht="12.7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</row>
    <row r="1734" spans="1:12" ht="12.7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</row>
    <row r="1735" spans="1:12" ht="12.7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</row>
    <row r="1736" spans="1:12" ht="12.7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</row>
    <row r="1737" spans="1:12" ht="12.7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</row>
    <row r="1738" spans="1:12" ht="12.7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</row>
    <row r="1739" spans="1:12" ht="12.7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</row>
    <row r="1740" spans="1:12" ht="12.7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</row>
    <row r="1741" spans="1:12" ht="12.7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</row>
    <row r="1742" spans="1:12" ht="12.7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</row>
    <row r="1743" spans="1:12" ht="12.7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</row>
    <row r="1744" spans="1:12" ht="12.7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</row>
    <row r="1745" spans="1:12" ht="12.7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</row>
    <row r="1746" spans="1:12" ht="12.7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</row>
    <row r="1747" spans="1:12" ht="12.7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</row>
    <row r="1748" spans="1:12" ht="12.7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</row>
    <row r="1749" spans="1:12" ht="12.7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</row>
    <row r="1750" spans="1:12" ht="12.7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</row>
    <row r="1751" spans="1:12" ht="12.7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</row>
    <row r="1752" spans="1:12" ht="12.7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</row>
    <row r="1753" spans="1:12" ht="12.7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</row>
    <row r="1754" spans="1:12" ht="12.7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</row>
    <row r="1755" spans="1:12" ht="12.7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</row>
    <row r="1756" spans="1:12" ht="12.7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</row>
    <row r="1757" spans="1:12" ht="12.7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</row>
    <row r="1758" spans="1:12" ht="12.7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</row>
    <row r="1759" spans="1:12" ht="12.7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</row>
    <row r="1760" spans="1:12" ht="12.7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</row>
    <row r="1761" spans="1:12" ht="12.7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</row>
    <row r="1762" spans="1:12" ht="12.7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</row>
    <row r="1763" spans="1:12" ht="12.7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</row>
    <row r="1764" spans="1:12" ht="12.7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</row>
    <row r="1765" spans="1:12" ht="12.7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</row>
    <row r="1766" spans="1:12" ht="12.7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</row>
    <row r="1767" spans="1:12" ht="12.7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</row>
    <row r="1768" spans="1:12" ht="12.7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</row>
    <row r="1769" spans="1:12" ht="12.7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</row>
    <row r="1770" spans="1:12" ht="12.7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</row>
    <row r="1771" spans="1:12" ht="12.7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</row>
    <row r="1772" spans="1:12" ht="12.7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</row>
    <row r="1773" spans="1:12" ht="12.7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</row>
    <row r="1774" spans="1:12" ht="12.7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</row>
    <row r="1775" spans="1:12" ht="12.7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</row>
    <row r="1776" spans="1:12" ht="12.7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</row>
    <row r="1777" spans="1:12" ht="12.7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</row>
    <row r="1778" spans="1:12" ht="12.7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</row>
    <row r="1779" spans="1:12" ht="12.7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</row>
    <row r="1780" spans="1:12" ht="12.7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</row>
    <row r="1781" spans="1:12" ht="12.7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</row>
    <row r="1782" spans="1:12" ht="12.7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</row>
    <row r="1783" spans="1:12" ht="12.7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</row>
    <row r="1784" spans="1:12" ht="12.7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</row>
    <row r="1785" spans="1:12" ht="12.7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</row>
    <row r="1786" spans="1:12" ht="12.7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</row>
    <row r="1787" spans="1:12" ht="12.7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</row>
    <row r="1788" spans="1:12" ht="12.7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</row>
    <row r="1789" spans="1:12" ht="12.7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</row>
    <row r="1790" spans="1:12" ht="12.7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</row>
    <row r="1791" spans="1:12" ht="12.7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</row>
    <row r="1792" spans="1:12" ht="12.7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</row>
    <row r="1793" spans="1:12" ht="12.7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</row>
    <row r="1794" spans="1:12" ht="12.7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</row>
    <row r="1795" spans="1:12" ht="12.7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</row>
    <row r="1796" spans="1:12" ht="12.7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</row>
    <row r="1797" spans="1:12" ht="12.7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</row>
    <row r="1798" spans="1:12" ht="12.7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</row>
    <row r="1799" spans="1:12" ht="12.7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</row>
    <row r="1800" spans="1:12" ht="12.7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</row>
    <row r="1801" spans="1:12" ht="12.7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</row>
    <row r="1802" spans="1:12" ht="12.7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</row>
    <row r="1803" spans="1:12" ht="12.7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</row>
    <row r="1804" spans="1:12" ht="12.7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</row>
    <row r="1805" spans="1:12" ht="12.7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</row>
    <row r="1806" spans="1:12" ht="12.7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</row>
    <row r="1807" spans="1:12" ht="12.7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</row>
    <row r="1808" spans="1:12" ht="12.7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</row>
    <row r="1809" spans="1:12" ht="12.7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</row>
    <row r="1810" spans="1:12" ht="12.7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</row>
    <row r="1811" spans="1:12" ht="12.7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</row>
    <row r="1812" spans="1:12" ht="12.7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</row>
    <row r="1813" spans="1:12" ht="12.7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</row>
    <row r="1814" spans="1:12" ht="12.7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</row>
    <row r="1815" spans="1:12" ht="12.7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</row>
    <row r="1816" spans="1:12" ht="12.7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</row>
    <row r="1817" spans="1:12" ht="12.7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</row>
    <row r="1818" spans="1:12" ht="12.7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</row>
    <row r="1819" spans="1:12" ht="12.7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</row>
    <row r="1820" spans="1:12" ht="12.7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</row>
    <row r="1821" spans="1:12" ht="12.7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</row>
    <row r="1822" spans="1:12" ht="12.7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</row>
    <row r="1823" spans="1:12" ht="12.7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</row>
    <row r="1824" spans="1:12" ht="12.7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</row>
    <row r="1825" spans="1:12" ht="12.7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</row>
    <row r="1826" spans="1:12" ht="12.7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</row>
    <row r="1827" spans="1:12" ht="12.7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</row>
    <row r="1828" spans="1:12" ht="12.7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</row>
    <row r="1829" spans="1:12" ht="12.7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</row>
    <row r="1830" spans="1:12" ht="12.7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</row>
    <row r="1831" spans="1:12" ht="12.7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</row>
    <row r="1832" spans="1:12" ht="12.7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</row>
    <row r="1833" spans="1:12" ht="12.7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</row>
    <row r="1834" spans="1:12" ht="12.7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</row>
    <row r="1835" spans="1:12" ht="12.7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</row>
    <row r="1836" spans="1:12" ht="12.7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</row>
    <row r="1837" spans="1:12" ht="12.7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</row>
    <row r="1838" spans="1:12" ht="12.7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</row>
    <row r="1839" spans="1:12" ht="12.7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</row>
    <row r="1840" spans="1:12" ht="12.7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</row>
    <row r="1841" spans="1:12" ht="12.7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</row>
    <row r="1842" spans="1:12" ht="12.7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</row>
    <row r="1843" spans="1:12" ht="12.7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</row>
    <row r="1844" spans="1:12" ht="12.7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</row>
    <row r="1845" spans="1:12" ht="12.7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</row>
    <row r="1846" spans="1:12" ht="12.7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</row>
    <row r="1847" spans="1:12" ht="12.7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</row>
    <row r="1848" spans="1:12" ht="12.7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</row>
    <row r="1849" spans="1:12" ht="12.7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</row>
    <row r="1850" spans="1:12" ht="12.7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</row>
    <row r="1851" spans="1:12" ht="12.7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</row>
    <row r="1852" spans="1:12" ht="12.7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</row>
    <row r="1853" spans="1:12" ht="12.7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</row>
    <row r="1854" spans="1:12" ht="12.7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</row>
    <row r="1855" spans="1:12" ht="12.7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</row>
    <row r="1856" spans="1:12" ht="12.7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</row>
    <row r="1857" spans="1:12" ht="12.7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</row>
    <row r="1858" spans="1:12" ht="12.7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</row>
    <row r="1859" spans="1:12" ht="12.7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</row>
    <row r="1860" spans="1:12" ht="12.7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</row>
    <row r="1861" spans="1:12" ht="12.7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</row>
    <row r="1862" spans="1:12" ht="12.7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</row>
    <row r="1863" spans="1:12" ht="12.7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</row>
    <row r="1864" spans="1:12" ht="12.7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</row>
    <row r="1865" spans="1:12" ht="12.7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</row>
    <row r="1866" spans="1:12" ht="12.7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</row>
    <row r="1867" spans="1:12" ht="12.7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</row>
    <row r="1868" spans="1:12" ht="12.7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</row>
    <row r="1869" spans="1:12" ht="12.7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</row>
    <row r="1870" spans="1:12" ht="12.7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</row>
    <row r="1871" spans="1:12" ht="12.7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</row>
    <row r="1872" spans="1:12" ht="12.7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</row>
    <row r="1873" spans="1:12" ht="12.7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</row>
    <row r="1874" spans="1:12" ht="12.7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</row>
  </sheetData>
  <sheetProtection/>
  <mergeCells count="12">
    <mergeCell ref="G5:G6"/>
    <mergeCell ref="H5:H6"/>
    <mergeCell ref="I5:I6"/>
    <mergeCell ref="K5:K6"/>
    <mergeCell ref="L5:L6"/>
    <mergeCell ref="J5:J6"/>
    <mergeCell ref="A35:E35"/>
    <mergeCell ref="A2:F2"/>
    <mergeCell ref="G2:V2"/>
    <mergeCell ref="M5:O5"/>
    <mergeCell ref="B5:E6"/>
    <mergeCell ref="F5:F6"/>
  </mergeCells>
  <printOptions horizontalCentered="1" verticalCentered="1"/>
  <pageMargins left="0.5118110236220472" right="0.4724409448818898" top="0.7086614173228347" bottom="1.1023622047244095" header="0" footer="0"/>
  <pageSetup horizontalDpi="600" verticalDpi="600" orientation="landscape" scale="50" r:id="rId3"/>
  <colBreaks count="2" manualBreakCount="2">
    <brk id="12" max="37" man="1"/>
    <brk id="22" max="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E133"/>
  <sheetViews>
    <sheetView view="pageBreakPreview" zoomScale="80" zoomScaleNormal="75" zoomScaleSheetLayoutView="80" zoomScalePageLayoutView="0" workbookViewId="0" topLeftCell="A1">
      <pane xSplit="1" ySplit="11" topLeftCell="D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22" sqref="O22"/>
    </sheetView>
  </sheetViews>
  <sheetFormatPr defaultColWidth="11.421875" defaultRowHeight="12.75"/>
  <cols>
    <col min="1" max="1" width="48.28125" style="0" customWidth="1"/>
    <col min="2" max="2" width="36.57421875" style="0" bestFit="1" customWidth="1"/>
    <col min="3" max="3" width="10.57421875" style="0" bestFit="1" customWidth="1"/>
    <col min="4" max="4" width="21.57421875" style="0" bestFit="1" customWidth="1"/>
    <col min="5" max="5" width="12.28125" style="0" customWidth="1"/>
    <col min="6" max="6" width="7.421875" style="0" customWidth="1"/>
    <col min="7" max="7" width="13.8515625" style="0" customWidth="1"/>
    <col min="8" max="8" width="22.57421875" style="0" customWidth="1"/>
    <col min="9" max="9" width="22.421875" style="0" customWidth="1"/>
    <col min="10" max="10" width="21.57421875" style="0" customWidth="1"/>
    <col min="11" max="11" width="18.57421875" style="0" customWidth="1"/>
    <col min="12" max="12" width="23.421875" style="0" customWidth="1"/>
    <col min="13" max="13" width="15.140625" style="0" customWidth="1"/>
    <col min="14" max="14" width="21.8515625" style="0" customWidth="1"/>
    <col min="15" max="15" width="18.421875" style="0" customWidth="1"/>
    <col min="16" max="16" width="18.57421875" style="0" customWidth="1"/>
    <col min="17" max="17" width="16.7109375" style="0" customWidth="1"/>
    <col min="18" max="18" width="13.7109375" style="0" customWidth="1"/>
    <col min="19" max="19" width="16.28125" style="0" customWidth="1"/>
    <col min="20" max="20" width="15.140625" style="0" customWidth="1"/>
    <col min="21" max="21" width="18.421875" style="0" customWidth="1"/>
    <col min="22" max="22" width="14.421875" style="0" customWidth="1"/>
    <col min="23" max="23" width="14.140625" style="0" customWidth="1"/>
    <col min="24" max="24" width="17.140625" style="0" customWidth="1"/>
    <col min="25" max="25" width="20.28125" style="0" customWidth="1"/>
    <col min="26" max="26" width="16.28125" style="0" customWidth="1"/>
    <col min="27" max="27" width="35.28125" style="0" customWidth="1"/>
    <col min="28" max="28" width="16.140625" style="0" customWidth="1"/>
    <col min="29" max="29" width="15.7109375" style="0" customWidth="1"/>
    <col min="30" max="30" width="17.28125" style="0" customWidth="1"/>
  </cols>
  <sheetData>
    <row r="3" ht="12.75">
      <c r="F3" s="153"/>
    </row>
    <row r="4" spans="3:26" ht="18">
      <c r="C4" s="473" t="s">
        <v>41</v>
      </c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 t="s">
        <v>41</v>
      </c>
      <c r="Q4" s="473"/>
      <c r="R4" s="473"/>
      <c r="S4" s="473"/>
      <c r="T4" s="473"/>
      <c r="U4" s="473"/>
      <c r="V4" s="473"/>
      <c r="W4" s="473"/>
      <c r="X4" s="473"/>
      <c r="Y4" s="473"/>
      <c r="Z4" s="473"/>
    </row>
    <row r="5" spans="1:29" ht="18">
      <c r="A5" s="42"/>
      <c r="B5" s="42"/>
      <c r="C5" s="473" t="s">
        <v>80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 t="s">
        <v>80</v>
      </c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3"/>
      <c r="AB5" s="43"/>
      <c r="AC5" s="43"/>
    </row>
    <row r="6" spans="1:29" ht="18">
      <c r="A6" s="42"/>
      <c r="C6" s="473" t="s">
        <v>359</v>
      </c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 t="s">
        <v>240</v>
      </c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3"/>
      <c r="AB6" s="43"/>
      <c r="AC6" s="43"/>
    </row>
    <row r="7" spans="1:29" ht="18.75" thickBot="1">
      <c r="A7" s="42"/>
      <c r="B7" s="183" t="s">
        <v>200</v>
      </c>
      <c r="C7" s="184">
        <v>0.058</v>
      </c>
      <c r="D7" s="183" t="s">
        <v>202</v>
      </c>
      <c r="E7" s="185">
        <v>566700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6.5" customHeight="1" thickBot="1">
      <c r="A8" s="42"/>
      <c r="B8" s="183" t="s">
        <v>201</v>
      </c>
      <c r="C8" s="186">
        <v>0.0373</v>
      </c>
      <c r="D8" s="183" t="s">
        <v>217</v>
      </c>
      <c r="E8" s="185">
        <v>67800</v>
      </c>
      <c r="F8" s="42"/>
      <c r="G8" s="42"/>
      <c r="H8" s="42"/>
      <c r="I8" s="42"/>
      <c r="J8" s="42"/>
      <c r="K8" s="42"/>
      <c r="L8" s="44"/>
      <c r="M8" s="44"/>
      <c r="N8" s="44"/>
      <c r="O8" s="44"/>
      <c r="P8" s="453" t="s">
        <v>81</v>
      </c>
      <c r="Q8" s="454"/>
      <c r="R8" s="468"/>
      <c r="S8" s="471" t="s">
        <v>362</v>
      </c>
      <c r="T8" s="45"/>
      <c r="U8" s="466" t="s">
        <v>361</v>
      </c>
      <c r="V8" s="45"/>
      <c r="W8" s="45"/>
      <c r="X8" s="466" t="s">
        <v>82</v>
      </c>
      <c r="Y8" s="46"/>
      <c r="Z8" s="42"/>
      <c r="AA8" s="42"/>
      <c r="AB8" s="42"/>
      <c r="AC8" s="42"/>
    </row>
    <row r="9" spans="1:29" ht="39" thickBot="1">
      <c r="A9" s="115"/>
      <c r="B9" s="181" t="s">
        <v>176</v>
      </c>
      <c r="C9" s="182" t="s">
        <v>83</v>
      </c>
      <c r="D9" s="182" t="s">
        <v>148</v>
      </c>
      <c r="E9" s="182" t="s">
        <v>149</v>
      </c>
      <c r="F9" s="108" t="s">
        <v>150</v>
      </c>
      <c r="G9" s="108" t="s">
        <v>97</v>
      </c>
      <c r="H9" s="108" t="s">
        <v>84</v>
      </c>
      <c r="I9" s="108" t="s">
        <v>85</v>
      </c>
      <c r="J9" s="108" t="s">
        <v>86</v>
      </c>
      <c r="K9" s="108" t="s">
        <v>358</v>
      </c>
      <c r="L9" s="108" t="s">
        <v>366</v>
      </c>
      <c r="M9" s="108" t="s">
        <v>365</v>
      </c>
      <c r="N9" s="108" t="s">
        <v>364</v>
      </c>
      <c r="O9" s="108" t="s">
        <v>363</v>
      </c>
      <c r="P9" s="112" t="s">
        <v>130</v>
      </c>
      <c r="Q9" s="113" t="s">
        <v>189</v>
      </c>
      <c r="R9" s="114" t="s">
        <v>87</v>
      </c>
      <c r="S9" s="472"/>
      <c r="T9" s="111" t="s">
        <v>175</v>
      </c>
      <c r="U9" s="467"/>
      <c r="V9" s="111" t="s">
        <v>88</v>
      </c>
      <c r="W9" s="110" t="s">
        <v>89</v>
      </c>
      <c r="X9" s="467"/>
      <c r="Y9" s="109" t="s">
        <v>360</v>
      </c>
      <c r="Z9" s="108" t="s">
        <v>98</v>
      </c>
      <c r="AA9" s="81"/>
      <c r="AB9" s="81"/>
      <c r="AC9" s="42"/>
    </row>
    <row r="10" spans="1:32" ht="12.75">
      <c r="A10" s="45"/>
      <c r="B10" s="45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49"/>
      <c r="R10" s="49"/>
      <c r="S10" s="50"/>
      <c r="T10" s="49"/>
      <c r="U10" s="50"/>
      <c r="V10" s="49"/>
      <c r="W10" s="49"/>
      <c r="X10" s="50"/>
      <c r="Y10" s="47"/>
      <c r="Z10" s="47"/>
      <c r="AA10" s="47"/>
      <c r="AB10" s="44"/>
      <c r="AC10" s="44"/>
      <c r="AD10" s="2"/>
      <c r="AE10" s="2"/>
      <c r="AF10" s="2"/>
    </row>
    <row r="11" spans="1:33" ht="13.5" customHeight="1">
      <c r="A11" s="87" t="s">
        <v>113</v>
      </c>
      <c r="B11" s="87" t="s">
        <v>176</v>
      </c>
      <c r="C11" s="47"/>
      <c r="D11" s="47"/>
      <c r="E11" s="47"/>
      <c r="F11" s="47"/>
      <c r="G11" s="47"/>
      <c r="H11" s="47"/>
      <c r="I11" s="47"/>
      <c r="J11" s="47"/>
      <c r="K11" s="47"/>
      <c r="L11" s="364"/>
      <c r="M11" s="47"/>
      <c r="N11" s="47"/>
      <c r="O11" s="47"/>
      <c r="P11" s="48"/>
      <c r="Q11" s="49"/>
      <c r="R11" s="49"/>
      <c r="S11" s="50"/>
      <c r="T11" s="49"/>
      <c r="U11" s="50"/>
      <c r="V11" s="49"/>
      <c r="W11" s="49"/>
      <c r="X11" s="50"/>
      <c r="Y11" s="90">
        <f>+Y12</f>
        <v>70884540.74900888</v>
      </c>
      <c r="Z11" s="47"/>
      <c r="AA11" s="47"/>
      <c r="AB11" s="46"/>
      <c r="AC11" s="46"/>
      <c r="AD11" s="35"/>
      <c r="AE11" s="35"/>
      <c r="AF11" s="35"/>
      <c r="AG11" s="35"/>
    </row>
    <row r="12" spans="1:33" ht="12.75">
      <c r="A12" s="175" t="s">
        <v>90</v>
      </c>
      <c r="B12" s="88"/>
      <c r="C12" s="53">
        <f>SUM(C13:C23)</f>
        <v>14</v>
      </c>
      <c r="D12" s="53"/>
      <c r="E12" s="53"/>
      <c r="F12" s="53"/>
      <c r="G12" s="53"/>
      <c r="H12" s="89">
        <f aca="true" t="shared" si="0" ref="H12:Z12">SUM(H13:H23)</f>
        <v>15557259.152300002</v>
      </c>
      <c r="I12" s="89">
        <f>SUM(I13:I23)</f>
        <v>271200</v>
      </c>
      <c r="J12" s="89">
        <f>SUM(J13:J23)</f>
        <v>15828459.152300002</v>
      </c>
      <c r="K12" s="89">
        <f t="shared" si="0"/>
        <v>48012992.76197667</v>
      </c>
      <c r="L12" s="365">
        <f t="shared" si="0"/>
        <v>3571335.2301647225</v>
      </c>
      <c r="M12" s="89">
        <f t="shared" si="0"/>
        <v>428560.22761976667</v>
      </c>
      <c r="N12" s="89">
        <f t="shared" si="0"/>
        <v>3571335.2301647225</v>
      </c>
      <c r="O12" s="365">
        <f>SUM(O13:O23)</f>
        <v>1785667.6150823613</v>
      </c>
      <c r="P12" s="89">
        <f t="shared" si="0"/>
        <v>1248696.0279455003</v>
      </c>
      <c r="Q12" s="89">
        <f t="shared" si="0"/>
        <v>1662859.098276</v>
      </c>
      <c r="R12" s="89">
        <f t="shared" si="0"/>
        <v>75292.544775006</v>
      </c>
      <c r="S12" s="89">
        <f t="shared" si="0"/>
        <v>9731645.235422736</v>
      </c>
      <c r="T12" s="89">
        <f t="shared" si="0"/>
        <v>554286.366092</v>
      </c>
      <c r="U12" s="89">
        <f t="shared" si="0"/>
        <v>1681335.3104790668</v>
      </c>
      <c r="V12" s="89">
        <f t="shared" si="0"/>
        <v>415714.774569</v>
      </c>
      <c r="W12" s="89">
        <f t="shared" si="0"/>
        <v>277143.183046</v>
      </c>
      <c r="X12" s="89">
        <f t="shared" si="0"/>
        <v>2101669.138098833</v>
      </c>
      <c r="Y12" s="89">
        <f t="shared" si="0"/>
        <v>70884540.74900888</v>
      </c>
      <c r="Z12" s="89">
        <f t="shared" si="0"/>
        <v>5907045.062417407</v>
      </c>
      <c r="AA12" s="47"/>
      <c r="AB12" s="46"/>
      <c r="AC12" s="46"/>
      <c r="AD12" s="35"/>
      <c r="AE12" s="35"/>
      <c r="AF12" s="35"/>
      <c r="AG12" s="35"/>
    </row>
    <row r="13" spans="1:33" ht="14.25">
      <c r="A13" s="143" t="s">
        <v>193</v>
      </c>
      <c r="B13" s="143" t="s">
        <v>181</v>
      </c>
      <c r="C13" s="52">
        <v>1</v>
      </c>
      <c r="D13" s="105">
        <v>40909</v>
      </c>
      <c r="E13" s="105">
        <v>40999</v>
      </c>
      <c r="F13" s="104">
        <f aca="true" t="shared" si="1" ref="F13:F23">DAYS360(D13,E13,0)+1</f>
        <v>91</v>
      </c>
      <c r="G13" s="52"/>
      <c r="H13" s="54">
        <f>2888729*(1+$C$8)</f>
        <v>2996478.5917</v>
      </c>
      <c r="I13" s="54">
        <v>0</v>
      </c>
      <c r="J13" s="54">
        <f aca="true" t="shared" si="2" ref="J13:J23">+I13+H13</f>
        <v>2996478.5917</v>
      </c>
      <c r="K13" s="54">
        <f aca="true" t="shared" si="3" ref="K13:K23">+J13/30*F13</f>
        <v>9089318.394823333</v>
      </c>
      <c r="L13" s="366">
        <f>+J13*F13/360</f>
        <v>757443.1995686112</v>
      </c>
      <c r="M13" s="54">
        <f>+L13*12%</f>
        <v>90893.18394823335</v>
      </c>
      <c r="N13" s="54">
        <f>+L13</f>
        <v>757443.1995686112</v>
      </c>
      <c r="O13" s="366">
        <f>+J13*F13/720</f>
        <v>378721.5997843056</v>
      </c>
      <c r="P13" s="54">
        <f>+H13*0.085</f>
        <v>254700.68029450002</v>
      </c>
      <c r="Q13" s="54">
        <f aca="true" t="shared" si="4" ref="Q13:Q22">+H13*12%</f>
        <v>359577.431004</v>
      </c>
      <c r="R13" s="54">
        <f>+H13*0.522%</f>
        <v>15641.618248674</v>
      </c>
      <c r="S13" s="54">
        <f>+((P13+Q13+R13)/30*F13)</f>
        <v>1910756.5129597613</v>
      </c>
      <c r="T13" s="54">
        <f>+H13*0.04</f>
        <v>119859.143668</v>
      </c>
      <c r="U13" s="54">
        <f>+(T13/30)*F13</f>
        <v>363572.7357929333</v>
      </c>
      <c r="V13" s="54">
        <f>+H13*0.03</f>
        <v>89894.357751</v>
      </c>
      <c r="W13" s="54">
        <f>+H13*0.02</f>
        <v>59929.571834</v>
      </c>
      <c r="X13" s="54">
        <f>+((V13+W13)/30*F13)</f>
        <v>454465.9197411667</v>
      </c>
      <c r="Y13" s="54">
        <f aca="true" t="shared" si="5" ref="Y13:Y22">K13+L13+M13+N13+O13+S13+U13+X13</f>
        <v>13802614.746186955</v>
      </c>
      <c r="Z13" s="54">
        <f>+Y13/12</f>
        <v>1150217.8955155795</v>
      </c>
      <c r="AA13" s="47"/>
      <c r="AB13" s="46"/>
      <c r="AC13" s="46"/>
      <c r="AD13" s="35"/>
      <c r="AE13" s="35"/>
      <c r="AF13" s="35"/>
      <c r="AG13" s="35"/>
    </row>
    <row r="14" spans="1:33" ht="14.25">
      <c r="A14" s="326" t="s">
        <v>319</v>
      </c>
      <c r="B14" s="144" t="s">
        <v>214</v>
      </c>
      <c r="C14" s="52">
        <v>1</v>
      </c>
      <c r="D14" s="105">
        <v>40909</v>
      </c>
      <c r="E14" s="105">
        <v>40999</v>
      </c>
      <c r="F14" s="104">
        <f>DAYS360(D14,E14,0)+1</f>
        <v>91</v>
      </c>
      <c r="G14" s="53"/>
      <c r="H14" s="54">
        <f>2052051*(1+$C$8)</f>
        <v>2128592.5023000003</v>
      </c>
      <c r="I14" s="54">
        <v>0</v>
      </c>
      <c r="J14" s="54">
        <f t="shared" si="2"/>
        <v>2128592.5023000003</v>
      </c>
      <c r="K14" s="54">
        <f>+J14/30*F14</f>
        <v>6456730.590310001</v>
      </c>
      <c r="L14" s="366">
        <f aca="true" t="shared" si="6" ref="L14:L22">+J14*F14/360</f>
        <v>538060.8825258333</v>
      </c>
      <c r="M14" s="54">
        <f aca="true" t="shared" si="7" ref="M14:M22">+L14*12%</f>
        <v>64567.305903099994</v>
      </c>
      <c r="N14" s="54">
        <f aca="true" t="shared" si="8" ref="N14:N22">+L14</f>
        <v>538060.8825258333</v>
      </c>
      <c r="O14" s="366">
        <f aca="true" t="shared" si="9" ref="O14:O22">+J14*F14/720</f>
        <v>269030.44126291666</v>
      </c>
      <c r="P14" s="54">
        <f aca="true" t="shared" si="10" ref="P14:P22">+H14*0.085</f>
        <v>180930.36269550005</v>
      </c>
      <c r="Q14" s="54">
        <f t="shared" si="4"/>
        <v>255431.100276</v>
      </c>
      <c r="R14" s="54">
        <f aca="true" t="shared" si="11" ref="R14:R22">+H14*0.522%</f>
        <v>11111.252862006</v>
      </c>
      <c r="S14" s="54">
        <f aca="true" t="shared" si="12" ref="S14:S22">+((P14+Q14+R14)/30*F14)</f>
        <v>1357333.9046949686</v>
      </c>
      <c r="T14" s="54">
        <f>+H14*0.04</f>
        <v>85143.70009200001</v>
      </c>
      <c r="U14" s="54">
        <f aca="true" t="shared" si="13" ref="U14:U22">+(T14/30)*F14</f>
        <v>258269.22361240003</v>
      </c>
      <c r="V14" s="54">
        <f>+H14*0.03</f>
        <v>63857.775069</v>
      </c>
      <c r="W14" s="54">
        <f>+H14*0.02</f>
        <v>42571.85004600001</v>
      </c>
      <c r="X14" s="54">
        <f aca="true" t="shared" si="14" ref="X14:X22">+((V14+W14)/30*F14)</f>
        <v>322836.5295155</v>
      </c>
      <c r="Y14" s="54">
        <f t="shared" si="5"/>
        <v>9804889.760350551</v>
      </c>
      <c r="Z14" s="54">
        <f>+Y14/12</f>
        <v>817074.1466958793</v>
      </c>
      <c r="AA14" s="242"/>
      <c r="AB14" s="239"/>
      <c r="AC14" s="240"/>
      <c r="AD14" s="35"/>
      <c r="AE14" s="35"/>
      <c r="AF14" s="35"/>
      <c r="AG14" s="35"/>
    </row>
    <row r="15" spans="1:33" ht="14.25">
      <c r="A15" s="324" t="s">
        <v>188</v>
      </c>
      <c r="B15" s="51" t="s">
        <v>177</v>
      </c>
      <c r="C15" s="52">
        <v>1</v>
      </c>
      <c r="D15" s="105">
        <v>40909</v>
      </c>
      <c r="E15" s="105">
        <v>40999</v>
      </c>
      <c r="F15" s="104">
        <f t="shared" si="1"/>
        <v>91</v>
      </c>
      <c r="G15" s="52"/>
      <c r="H15" s="312">
        <f>1296447*(1+$C$8)</f>
        <v>1344804.4731</v>
      </c>
      <c r="I15" s="54">
        <v>0</v>
      </c>
      <c r="J15" s="54">
        <f t="shared" si="2"/>
        <v>1344804.4731</v>
      </c>
      <c r="K15" s="54">
        <f t="shared" si="3"/>
        <v>4079240.23507</v>
      </c>
      <c r="L15" s="366">
        <f t="shared" si="6"/>
        <v>339936.68625583337</v>
      </c>
      <c r="M15" s="54">
        <f t="shared" si="7"/>
        <v>40792.4023507</v>
      </c>
      <c r="N15" s="54">
        <f t="shared" si="8"/>
        <v>339936.68625583337</v>
      </c>
      <c r="O15" s="366">
        <f t="shared" si="9"/>
        <v>169968.34312791668</v>
      </c>
      <c r="P15" s="54">
        <f t="shared" si="10"/>
        <v>114308.38021350002</v>
      </c>
      <c r="Q15" s="54">
        <f t="shared" si="4"/>
        <v>161376.536772</v>
      </c>
      <c r="R15" s="54">
        <f>+H15*0.522%</f>
        <v>7019.879349582</v>
      </c>
      <c r="S15" s="54">
        <f t="shared" si="12"/>
        <v>857537.8822164155</v>
      </c>
      <c r="T15" s="54">
        <f aca="true" t="shared" si="15" ref="T15:T22">+H15*0.04</f>
        <v>53792.17892400001</v>
      </c>
      <c r="U15" s="54">
        <f t="shared" si="13"/>
        <v>163169.60940280004</v>
      </c>
      <c r="V15" s="54">
        <f aca="true" t="shared" si="16" ref="V15:V22">+H15*0.03</f>
        <v>40344.134193</v>
      </c>
      <c r="W15" s="54">
        <f aca="true" t="shared" si="17" ref="W15:W22">+H15*0.02</f>
        <v>26896.089462000004</v>
      </c>
      <c r="X15" s="54">
        <f t="shared" si="14"/>
        <v>203962.0117535</v>
      </c>
      <c r="Y15" s="54">
        <f t="shared" si="5"/>
        <v>6194543.8564329995</v>
      </c>
      <c r="Z15" s="54">
        <f aca="true" t="shared" si="18" ref="Z15:Z23">+Y15/12</f>
        <v>516211.9880360833</v>
      </c>
      <c r="AA15" s="47"/>
      <c r="AB15" s="46"/>
      <c r="AC15" s="46"/>
      <c r="AD15" s="35"/>
      <c r="AE15" s="35"/>
      <c r="AF15" s="35"/>
      <c r="AG15" s="35"/>
    </row>
    <row r="16" spans="1:33" ht="14.25">
      <c r="A16" s="326" t="s">
        <v>320</v>
      </c>
      <c r="B16" s="144" t="s">
        <v>214</v>
      </c>
      <c r="C16" s="52">
        <v>1</v>
      </c>
      <c r="D16" s="105">
        <v>40909</v>
      </c>
      <c r="E16" s="105">
        <v>40999</v>
      </c>
      <c r="F16" s="104">
        <f>DAYS360(D16,E16,0)+1</f>
        <v>91</v>
      </c>
      <c r="G16" s="53"/>
      <c r="H16" s="54">
        <f>2052051*(1+$C$8)</f>
        <v>2128592.5023000003</v>
      </c>
      <c r="I16" s="54">
        <v>0</v>
      </c>
      <c r="J16" s="54">
        <f t="shared" si="2"/>
        <v>2128592.5023000003</v>
      </c>
      <c r="K16" s="54">
        <f>+J16/30*F16</f>
        <v>6456730.590310001</v>
      </c>
      <c r="L16" s="366">
        <f t="shared" si="6"/>
        <v>538060.8825258333</v>
      </c>
      <c r="M16" s="54">
        <f t="shared" si="7"/>
        <v>64567.305903099994</v>
      </c>
      <c r="N16" s="54">
        <f t="shared" si="8"/>
        <v>538060.8825258333</v>
      </c>
      <c r="O16" s="366">
        <f t="shared" si="9"/>
        <v>269030.44126291666</v>
      </c>
      <c r="P16" s="54">
        <f t="shared" si="10"/>
        <v>180930.36269550005</v>
      </c>
      <c r="Q16" s="54">
        <f t="shared" si="4"/>
        <v>255431.100276</v>
      </c>
      <c r="R16" s="54">
        <f t="shared" si="11"/>
        <v>11111.252862006</v>
      </c>
      <c r="S16" s="54">
        <f t="shared" si="12"/>
        <v>1357333.9046949686</v>
      </c>
      <c r="T16" s="54">
        <f>+H16*0.04</f>
        <v>85143.70009200001</v>
      </c>
      <c r="U16" s="54">
        <f t="shared" si="13"/>
        <v>258269.22361240003</v>
      </c>
      <c r="V16" s="54">
        <f>+H16*0.03</f>
        <v>63857.775069</v>
      </c>
      <c r="W16" s="54">
        <f>+H16*0.02</f>
        <v>42571.85004600001</v>
      </c>
      <c r="X16" s="54">
        <f t="shared" si="14"/>
        <v>322836.5295155</v>
      </c>
      <c r="Y16" s="54">
        <f t="shared" si="5"/>
        <v>9804889.760350551</v>
      </c>
      <c r="Z16" s="54">
        <f>+Y16/12</f>
        <v>817074.1466958793</v>
      </c>
      <c r="AA16" s="242"/>
      <c r="AB16" s="239"/>
      <c r="AC16" s="240"/>
      <c r="AD16" s="35"/>
      <c r="AE16" s="35"/>
      <c r="AF16" s="35"/>
      <c r="AG16" s="35"/>
    </row>
    <row r="17" spans="1:33" ht="14.25">
      <c r="A17" s="325" t="s">
        <v>321</v>
      </c>
      <c r="B17" s="51" t="s">
        <v>177</v>
      </c>
      <c r="C17" s="52">
        <v>1</v>
      </c>
      <c r="D17" s="105">
        <v>40909</v>
      </c>
      <c r="E17" s="105">
        <v>40999</v>
      </c>
      <c r="F17" s="104">
        <f>DAYS360(D17,E17,0)+1</f>
        <v>91</v>
      </c>
      <c r="G17" s="52"/>
      <c r="H17" s="312">
        <f>1296447*(1+$C$8)</f>
        <v>1344804.4731</v>
      </c>
      <c r="I17" s="54">
        <v>0</v>
      </c>
      <c r="J17" s="54">
        <f t="shared" si="2"/>
        <v>1344804.4731</v>
      </c>
      <c r="K17" s="54">
        <f>+J17/30*F17</f>
        <v>4079240.23507</v>
      </c>
      <c r="L17" s="366">
        <f t="shared" si="6"/>
        <v>339936.68625583337</v>
      </c>
      <c r="M17" s="54">
        <f t="shared" si="7"/>
        <v>40792.4023507</v>
      </c>
      <c r="N17" s="54">
        <f t="shared" si="8"/>
        <v>339936.68625583337</v>
      </c>
      <c r="O17" s="366">
        <f t="shared" si="9"/>
        <v>169968.34312791668</v>
      </c>
      <c r="P17" s="54">
        <f t="shared" si="10"/>
        <v>114308.38021350002</v>
      </c>
      <c r="Q17" s="54">
        <f t="shared" si="4"/>
        <v>161376.536772</v>
      </c>
      <c r="R17" s="54">
        <f t="shared" si="11"/>
        <v>7019.879349582</v>
      </c>
      <c r="S17" s="54">
        <f t="shared" si="12"/>
        <v>857537.8822164155</v>
      </c>
      <c r="T17" s="54">
        <f>+H17*0.04</f>
        <v>53792.17892400001</v>
      </c>
      <c r="U17" s="54">
        <f t="shared" si="13"/>
        <v>163169.60940280004</v>
      </c>
      <c r="V17" s="54">
        <f>+H17*0.03</f>
        <v>40344.134193</v>
      </c>
      <c r="W17" s="54">
        <f>+H17*0.02</f>
        <v>26896.089462000004</v>
      </c>
      <c r="X17" s="54">
        <f t="shared" si="14"/>
        <v>203962.0117535</v>
      </c>
      <c r="Y17" s="54">
        <f t="shared" si="5"/>
        <v>6194543.8564329995</v>
      </c>
      <c r="Z17" s="54">
        <f>+Y17/12</f>
        <v>516211.9880360833</v>
      </c>
      <c r="AA17" s="47"/>
      <c r="AB17" s="46"/>
      <c r="AC17" s="46"/>
      <c r="AD17" s="35"/>
      <c r="AE17" s="35"/>
      <c r="AF17" s="35"/>
      <c r="AG17" s="35"/>
    </row>
    <row r="18" spans="1:33" ht="14.25">
      <c r="A18" s="325" t="s">
        <v>203</v>
      </c>
      <c r="B18" s="143" t="s">
        <v>187</v>
      </c>
      <c r="C18" s="52">
        <v>1</v>
      </c>
      <c r="D18" s="105">
        <v>40909</v>
      </c>
      <c r="E18" s="105">
        <v>40999</v>
      </c>
      <c r="F18" s="104">
        <f t="shared" si="1"/>
        <v>91</v>
      </c>
      <c r="G18" s="52"/>
      <c r="H18" s="312">
        <f>1123671*(1+$C$8)</f>
        <v>1165583.9283</v>
      </c>
      <c r="I18" s="54">
        <v>0</v>
      </c>
      <c r="J18" s="54">
        <f t="shared" si="2"/>
        <v>1165583.9283</v>
      </c>
      <c r="K18" s="54">
        <f>+J18/30*F18</f>
        <v>3535604.58251</v>
      </c>
      <c r="L18" s="366">
        <f t="shared" si="6"/>
        <v>294633.71520916664</v>
      </c>
      <c r="M18" s="54">
        <f t="shared" si="7"/>
        <v>35356.045825099995</v>
      </c>
      <c r="N18" s="54">
        <f t="shared" si="8"/>
        <v>294633.71520916664</v>
      </c>
      <c r="O18" s="366">
        <f t="shared" si="9"/>
        <v>147316.85760458332</v>
      </c>
      <c r="P18" s="54">
        <f t="shared" si="10"/>
        <v>99074.63390550001</v>
      </c>
      <c r="Q18" s="54">
        <f t="shared" si="4"/>
        <v>139870.07139599998</v>
      </c>
      <c r="R18" s="54">
        <f>+H18*0.522%</f>
        <v>6084.348105726</v>
      </c>
      <c r="S18" s="54">
        <f t="shared" si="12"/>
        <v>743254.7953352522</v>
      </c>
      <c r="T18" s="54">
        <f t="shared" si="15"/>
        <v>46623.357132000005</v>
      </c>
      <c r="U18" s="54">
        <f t="shared" si="13"/>
        <v>141424.1833004</v>
      </c>
      <c r="V18" s="54">
        <f t="shared" si="16"/>
        <v>34967.517848999996</v>
      </c>
      <c r="W18" s="54">
        <f t="shared" si="17"/>
        <v>23311.678566000002</v>
      </c>
      <c r="X18" s="54">
        <f t="shared" si="14"/>
        <v>176780.2291255</v>
      </c>
      <c r="Y18" s="54">
        <f t="shared" si="5"/>
        <v>5369004.124119168</v>
      </c>
      <c r="Z18" s="54">
        <f t="shared" si="18"/>
        <v>447417.01034326403</v>
      </c>
      <c r="AA18" s="229"/>
      <c r="AB18" s="46"/>
      <c r="AC18" s="46"/>
      <c r="AD18" s="35"/>
      <c r="AE18" s="35"/>
      <c r="AF18" s="35"/>
      <c r="AG18" s="35"/>
    </row>
    <row r="19" spans="1:33" ht="14.25">
      <c r="A19" s="324" t="s">
        <v>46</v>
      </c>
      <c r="B19" s="51" t="s">
        <v>178</v>
      </c>
      <c r="C19" s="52">
        <v>1</v>
      </c>
      <c r="D19" s="105">
        <v>40909</v>
      </c>
      <c r="E19" s="105">
        <v>40999</v>
      </c>
      <c r="F19" s="104">
        <f t="shared" si="1"/>
        <v>91</v>
      </c>
      <c r="G19" s="52"/>
      <c r="H19" s="54">
        <f>729641*(1+$C$8)</f>
        <v>756856.6093000001</v>
      </c>
      <c r="I19" s="54">
        <f>+E8</f>
        <v>67800</v>
      </c>
      <c r="J19" s="54">
        <f t="shared" si="2"/>
        <v>824656.6093000001</v>
      </c>
      <c r="K19" s="54">
        <f t="shared" si="3"/>
        <v>2501458.3815433336</v>
      </c>
      <c r="L19" s="366">
        <f t="shared" si="6"/>
        <v>208454.86512861116</v>
      </c>
      <c r="M19" s="54">
        <f t="shared" si="7"/>
        <v>25014.58381543334</v>
      </c>
      <c r="N19" s="54">
        <f t="shared" si="8"/>
        <v>208454.86512861116</v>
      </c>
      <c r="O19" s="366">
        <f t="shared" si="9"/>
        <v>104227.43256430558</v>
      </c>
      <c r="P19" s="54">
        <f t="shared" si="10"/>
        <v>64332.81179050002</v>
      </c>
      <c r="Q19" s="54">
        <f t="shared" si="4"/>
        <v>90822.79311600002</v>
      </c>
      <c r="R19" s="54">
        <f>+H19*0.522%</f>
        <v>3950.7915005460004</v>
      </c>
      <c r="S19" s="54">
        <f t="shared" si="12"/>
        <v>482622.73576803965</v>
      </c>
      <c r="T19" s="54">
        <f t="shared" si="15"/>
        <v>30274.264372000005</v>
      </c>
      <c r="U19" s="54">
        <f t="shared" si="13"/>
        <v>91831.93526173335</v>
      </c>
      <c r="V19" s="54">
        <f t="shared" si="16"/>
        <v>22705.698279000004</v>
      </c>
      <c r="W19" s="54">
        <f t="shared" si="17"/>
        <v>15137.132186000003</v>
      </c>
      <c r="X19" s="54">
        <f t="shared" si="14"/>
        <v>114789.91907716669</v>
      </c>
      <c r="Y19" s="54">
        <f t="shared" si="5"/>
        <v>3736854.718287235</v>
      </c>
      <c r="Z19" s="54">
        <f t="shared" si="18"/>
        <v>311404.5598572696</v>
      </c>
      <c r="AA19" s="229"/>
      <c r="AB19" s="46"/>
      <c r="AC19" s="46"/>
      <c r="AD19" s="35"/>
      <c r="AE19" s="35"/>
      <c r="AF19" s="35"/>
      <c r="AG19" s="35"/>
    </row>
    <row r="20" spans="1:33" ht="14.25">
      <c r="A20" s="325" t="s">
        <v>46</v>
      </c>
      <c r="B20" s="51" t="s">
        <v>178</v>
      </c>
      <c r="C20" s="52">
        <v>1</v>
      </c>
      <c r="D20" s="105">
        <v>40909</v>
      </c>
      <c r="E20" s="105">
        <v>40999</v>
      </c>
      <c r="F20" s="104">
        <f>DAYS360(D20,E20,0)+1</f>
        <v>91</v>
      </c>
      <c r="G20" s="52"/>
      <c r="H20" s="54">
        <f>729641*(1+$C$8)</f>
        <v>756856.6093000001</v>
      </c>
      <c r="I20" s="54">
        <f>+E8</f>
        <v>67800</v>
      </c>
      <c r="J20" s="54">
        <f t="shared" si="2"/>
        <v>824656.6093000001</v>
      </c>
      <c r="K20" s="54">
        <f>+J20/30*F20</f>
        <v>2501458.3815433336</v>
      </c>
      <c r="L20" s="366">
        <f t="shared" si="6"/>
        <v>208454.86512861116</v>
      </c>
      <c r="M20" s="54">
        <f t="shared" si="7"/>
        <v>25014.58381543334</v>
      </c>
      <c r="N20" s="54">
        <f t="shared" si="8"/>
        <v>208454.86512861116</v>
      </c>
      <c r="O20" s="366">
        <f t="shared" si="9"/>
        <v>104227.43256430558</v>
      </c>
      <c r="P20" s="54">
        <f t="shared" si="10"/>
        <v>64332.81179050002</v>
      </c>
      <c r="Q20" s="54">
        <f t="shared" si="4"/>
        <v>90822.79311600002</v>
      </c>
      <c r="R20" s="54">
        <f t="shared" si="11"/>
        <v>3950.7915005460004</v>
      </c>
      <c r="S20" s="54">
        <f t="shared" si="12"/>
        <v>482622.73576803965</v>
      </c>
      <c r="T20" s="54">
        <f>+H20*0.04</f>
        <v>30274.264372000005</v>
      </c>
      <c r="U20" s="54">
        <f t="shared" si="13"/>
        <v>91831.93526173335</v>
      </c>
      <c r="V20" s="54">
        <f>+H20*0.03</f>
        <v>22705.698279000004</v>
      </c>
      <c r="W20" s="54">
        <f>+H20*0.02</f>
        <v>15137.132186000003</v>
      </c>
      <c r="X20" s="54">
        <f t="shared" si="14"/>
        <v>114789.91907716669</v>
      </c>
      <c r="Y20" s="54">
        <f t="shared" si="5"/>
        <v>3736854.718287235</v>
      </c>
      <c r="Z20" s="54">
        <f>+Y20/12</f>
        <v>311404.5598572696</v>
      </c>
      <c r="AA20" s="229"/>
      <c r="AB20" s="46"/>
      <c r="AC20" s="46"/>
      <c r="AD20" s="35"/>
      <c r="AE20" s="35"/>
      <c r="AF20" s="35"/>
      <c r="AG20" s="35"/>
    </row>
    <row r="21" spans="1:33" ht="14.25">
      <c r="A21" s="325" t="s">
        <v>208</v>
      </c>
      <c r="B21" s="143" t="s">
        <v>209</v>
      </c>
      <c r="C21" s="52">
        <v>1</v>
      </c>
      <c r="D21" s="105">
        <v>40909</v>
      </c>
      <c r="E21" s="105">
        <v>40999</v>
      </c>
      <c r="F21" s="104">
        <f t="shared" si="1"/>
        <v>91</v>
      </c>
      <c r="G21" s="52"/>
      <c r="H21" s="312">
        <f>643873*(1+C8)</f>
        <v>667889.4629</v>
      </c>
      <c r="I21" s="54">
        <f>+E8</f>
        <v>67800</v>
      </c>
      <c r="J21" s="54">
        <f t="shared" si="2"/>
        <v>735689.4629</v>
      </c>
      <c r="K21" s="54">
        <f>+J21/30*F21</f>
        <v>2231591.3707966665</v>
      </c>
      <c r="L21" s="366">
        <f t="shared" si="6"/>
        <v>185965.9475663889</v>
      </c>
      <c r="M21" s="54">
        <f t="shared" si="7"/>
        <v>22315.91370796667</v>
      </c>
      <c r="N21" s="54">
        <f t="shared" si="8"/>
        <v>185965.9475663889</v>
      </c>
      <c r="O21" s="366">
        <f t="shared" si="9"/>
        <v>92982.97378319445</v>
      </c>
      <c r="P21" s="54">
        <f t="shared" si="10"/>
        <v>56770.60434650001</v>
      </c>
      <c r="Q21" s="54">
        <f t="shared" si="4"/>
        <v>80146.735548</v>
      </c>
      <c r="R21" s="54">
        <f t="shared" si="11"/>
        <v>3486.382996338</v>
      </c>
      <c r="S21" s="54">
        <f t="shared" si="12"/>
        <v>425891.2927688753</v>
      </c>
      <c r="T21" s="54">
        <f>+H21*0.04</f>
        <v>26715.578516</v>
      </c>
      <c r="U21" s="54">
        <f t="shared" si="13"/>
        <v>81037.25483186667</v>
      </c>
      <c r="V21" s="54">
        <f>+H21*0.03</f>
        <v>20036.683887</v>
      </c>
      <c r="W21" s="54">
        <f>+H21*0.02</f>
        <v>13357.789258</v>
      </c>
      <c r="X21" s="54">
        <f t="shared" si="14"/>
        <v>101296.56853983333</v>
      </c>
      <c r="Y21" s="54">
        <f t="shared" si="5"/>
        <v>3327047.269561181</v>
      </c>
      <c r="Z21" s="54">
        <f>+Y21/12</f>
        <v>277253.9391300984</v>
      </c>
      <c r="AA21" s="229"/>
      <c r="AB21" s="46"/>
      <c r="AC21" s="46"/>
      <c r="AD21" s="35"/>
      <c r="AE21" s="35"/>
      <c r="AF21" s="35"/>
      <c r="AG21" s="35"/>
    </row>
    <row r="22" spans="1:33" ht="14.25">
      <c r="A22" s="324" t="s">
        <v>43</v>
      </c>
      <c r="B22" s="51" t="s">
        <v>179</v>
      </c>
      <c r="C22" s="52">
        <v>1</v>
      </c>
      <c r="D22" s="105">
        <v>40909</v>
      </c>
      <c r="E22" s="105">
        <v>40999</v>
      </c>
      <c r="F22" s="104">
        <f t="shared" si="1"/>
        <v>91</v>
      </c>
      <c r="G22" s="52"/>
      <c r="H22" s="54">
        <f>+E7</f>
        <v>566700</v>
      </c>
      <c r="I22" s="54">
        <f>+E8</f>
        <v>67800</v>
      </c>
      <c r="J22" s="54">
        <f t="shared" si="2"/>
        <v>634500</v>
      </c>
      <c r="K22" s="54">
        <f t="shared" si="3"/>
        <v>1924650</v>
      </c>
      <c r="L22" s="366">
        <f t="shared" si="6"/>
        <v>160387.5</v>
      </c>
      <c r="M22" s="54">
        <f t="shared" si="7"/>
        <v>19246.5</v>
      </c>
      <c r="N22" s="54">
        <f t="shared" si="8"/>
        <v>160387.5</v>
      </c>
      <c r="O22" s="366">
        <f t="shared" si="9"/>
        <v>80193.75</v>
      </c>
      <c r="P22" s="54">
        <f t="shared" si="10"/>
        <v>48169.5</v>
      </c>
      <c r="Q22" s="54">
        <f t="shared" si="4"/>
        <v>68004</v>
      </c>
      <c r="R22" s="54">
        <f t="shared" si="11"/>
        <v>2958.174</v>
      </c>
      <c r="S22" s="54">
        <f t="shared" si="12"/>
        <v>361366.0778</v>
      </c>
      <c r="T22" s="54">
        <f t="shared" si="15"/>
        <v>22668</v>
      </c>
      <c r="U22" s="54">
        <f t="shared" si="13"/>
        <v>68759.6</v>
      </c>
      <c r="V22" s="54">
        <f t="shared" si="16"/>
        <v>17001</v>
      </c>
      <c r="W22" s="54">
        <f t="shared" si="17"/>
        <v>11334</v>
      </c>
      <c r="X22" s="54">
        <f t="shared" si="14"/>
        <v>85949.5</v>
      </c>
      <c r="Y22" s="54">
        <f t="shared" si="5"/>
        <v>2860940.4278</v>
      </c>
      <c r="Z22" s="54">
        <f t="shared" si="18"/>
        <v>238411.7023166667</v>
      </c>
      <c r="AA22" s="229"/>
      <c r="AB22" s="46"/>
      <c r="AC22" s="46"/>
      <c r="AD22" s="35"/>
      <c r="AE22" s="35"/>
      <c r="AF22" s="35"/>
      <c r="AG22" s="35"/>
    </row>
    <row r="23" spans="1:33" ht="14.25">
      <c r="A23" s="51" t="s">
        <v>17</v>
      </c>
      <c r="B23" s="51" t="s">
        <v>180</v>
      </c>
      <c r="C23" s="52">
        <v>4</v>
      </c>
      <c r="D23" s="105">
        <v>40909</v>
      </c>
      <c r="E23" s="105">
        <v>40999</v>
      </c>
      <c r="F23" s="104">
        <f t="shared" si="1"/>
        <v>91</v>
      </c>
      <c r="G23" s="54"/>
      <c r="H23" s="54">
        <f>+E7*75%*C23</f>
        <v>1700100</v>
      </c>
      <c r="I23" s="54">
        <v>0</v>
      </c>
      <c r="J23" s="54">
        <f t="shared" si="2"/>
        <v>1700100</v>
      </c>
      <c r="K23" s="54">
        <f t="shared" si="3"/>
        <v>5156970</v>
      </c>
      <c r="L23" s="366"/>
      <c r="M23" s="54">
        <v>0</v>
      </c>
      <c r="N23" s="54">
        <v>0</v>
      </c>
      <c r="O23" s="366">
        <v>0</v>
      </c>
      <c r="P23" s="54">
        <f>+H22*0.125</f>
        <v>70837.5</v>
      </c>
      <c r="Q23" s="54"/>
      <c r="R23" s="54">
        <f>+H22*0.522%</f>
        <v>2958.174</v>
      </c>
      <c r="S23" s="54">
        <f>+((P23+Q23+R23)/30*F23)*C23</f>
        <v>895387.5112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f>+S23+K23</f>
        <v>6052357.5112</v>
      </c>
      <c r="Z23" s="54">
        <f t="shared" si="18"/>
        <v>504363.1259333333</v>
      </c>
      <c r="AA23" s="229"/>
      <c r="AB23" s="46"/>
      <c r="AC23" s="46"/>
      <c r="AD23" s="35"/>
      <c r="AE23" s="35"/>
      <c r="AF23" s="35"/>
      <c r="AG23" s="35"/>
    </row>
    <row r="24" spans="1:33" ht="12.75">
      <c r="A24" s="61"/>
      <c r="B24" s="61"/>
      <c r="C24" s="62"/>
      <c r="D24" s="62"/>
      <c r="E24" s="62"/>
      <c r="F24" s="62"/>
      <c r="G24" s="63"/>
      <c r="H24" s="270"/>
      <c r="I24" s="63"/>
      <c r="J24" s="63"/>
      <c r="K24" s="63"/>
      <c r="L24" s="367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229"/>
      <c r="AB24" s="46"/>
      <c r="AC24" s="46"/>
      <c r="AD24" s="35"/>
      <c r="AE24" s="35"/>
      <c r="AF24" s="35"/>
      <c r="AG24" s="35"/>
    </row>
    <row r="25" spans="1:33" ht="12.75">
      <c r="A25" s="61"/>
      <c r="B25" s="61"/>
      <c r="C25" s="62"/>
      <c r="D25" s="62"/>
      <c r="E25" s="62"/>
      <c r="F25" s="62"/>
      <c r="G25" s="63"/>
      <c r="H25" s="63"/>
      <c r="I25" s="63"/>
      <c r="J25" s="63"/>
      <c r="K25" s="63"/>
      <c r="L25" s="367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229"/>
      <c r="AB25" s="46"/>
      <c r="AC25" s="46"/>
      <c r="AD25" s="35"/>
      <c r="AE25" s="35"/>
      <c r="AF25" s="35"/>
      <c r="AG25" s="35"/>
    </row>
    <row r="26" spans="1:33" ht="15.75">
      <c r="A26" s="87" t="s">
        <v>19</v>
      </c>
      <c r="B26" s="87" t="s">
        <v>176</v>
      </c>
      <c r="C26" s="47"/>
      <c r="D26" s="47"/>
      <c r="E26" s="47"/>
      <c r="F26" s="47"/>
      <c r="G26" s="47"/>
      <c r="H26" s="47"/>
      <c r="I26" s="47"/>
      <c r="J26" s="47"/>
      <c r="K26" s="47"/>
      <c r="L26" s="364"/>
      <c r="M26" s="47"/>
      <c r="N26" s="47"/>
      <c r="O26" s="47"/>
      <c r="P26" s="48"/>
      <c r="Q26" s="49"/>
      <c r="R26" s="49"/>
      <c r="S26" s="50"/>
      <c r="T26" s="49"/>
      <c r="U26" s="50"/>
      <c r="V26" s="49"/>
      <c r="W26" s="49"/>
      <c r="X26" s="50"/>
      <c r="Y26" s="90">
        <f>+Y27+Y39+Y44</f>
        <v>220783499.6357082</v>
      </c>
      <c r="Z26" s="47"/>
      <c r="AA26" s="230"/>
      <c r="AB26" s="46"/>
      <c r="AC26" s="56"/>
      <c r="AD26" s="35"/>
      <c r="AE26" s="35"/>
      <c r="AF26" s="35"/>
      <c r="AG26" s="35"/>
    </row>
    <row r="27" spans="1:33" ht="14.25">
      <c r="A27" s="169" t="s">
        <v>216</v>
      </c>
      <c r="B27" s="169"/>
      <c r="C27" s="172">
        <f>+C29+C30+C31+C32+C33+C34+C35+C36+C37+C39+C44</f>
        <v>22</v>
      </c>
      <c r="D27" s="170"/>
      <c r="E27" s="170"/>
      <c r="F27" s="171"/>
      <c r="G27" s="173">
        <f>SUM(G29:G39)</f>
        <v>7367100</v>
      </c>
      <c r="H27" s="174">
        <f aca="true" t="shared" si="19" ref="H27:Z27">+H28+H39+H44</f>
        <v>47412247.49630001</v>
      </c>
      <c r="I27" s="174">
        <f t="shared" si="19"/>
        <v>67800</v>
      </c>
      <c r="J27" s="174">
        <f t="shared" si="19"/>
        <v>49690177.49630001</v>
      </c>
      <c r="K27" s="174">
        <f t="shared" si="19"/>
        <v>149140202.0992767</v>
      </c>
      <c r="L27" s="368">
        <f t="shared" si="19"/>
        <v>10566111.008273056</v>
      </c>
      <c r="M27" s="174">
        <f t="shared" si="19"/>
        <v>1267933.3209927666</v>
      </c>
      <c r="N27" s="174">
        <f t="shared" si="19"/>
        <v>10566111.008273056</v>
      </c>
      <c r="O27" s="174">
        <f t="shared" si="19"/>
        <v>6214175.087469862</v>
      </c>
      <c r="P27" s="174">
        <f t="shared" si="19"/>
        <v>4030041.0371855004</v>
      </c>
      <c r="Q27" s="174">
        <f t="shared" si="19"/>
        <v>5689469.6995560005</v>
      </c>
      <c r="R27" s="174">
        <f t="shared" si="19"/>
        <v>355799.2096662661</v>
      </c>
      <c r="S27" s="174">
        <f t="shared" si="19"/>
        <v>30228223.81248787</v>
      </c>
      <c r="T27" s="174">
        <f t="shared" si="19"/>
        <v>1896489.8998520002</v>
      </c>
      <c r="U27" s="174">
        <f t="shared" si="19"/>
        <v>5689219.2439710675</v>
      </c>
      <c r="V27" s="174">
        <f t="shared" si="19"/>
        <v>1422367.4248890001</v>
      </c>
      <c r="W27" s="174">
        <f t="shared" si="19"/>
        <v>948244.9499260001</v>
      </c>
      <c r="X27" s="174">
        <f t="shared" si="19"/>
        <v>7111524.054963835</v>
      </c>
      <c r="Y27" s="174">
        <f>+Y28+Y39+Y44</f>
        <v>220783499.6357082</v>
      </c>
      <c r="Z27" s="174">
        <f t="shared" si="19"/>
        <v>18398624.96964235</v>
      </c>
      <c r="AA27" s="229"/>
      <c r="AB27" s="46"/>
      <c r="AC27" s="46"/>
      <c r="AD27" s="35"/>
      <c r="AE27" s="35"/>
      <c r="AF27" s="35"/>
      <c r="AG27" s="35"/>
    </row>
    <row r="28" spans="1:33" ht="14.25">
      <c r="A28" s="169"/>
      <c r="B28" s="91"/>
      <c r="C28" s="95"/>
      <c r="D28" s="105"/>
      <c r="E28" s="105"/>
      <c r="F28" s="104"/>
      <c r="G28" s="96">
        <f>SUM(G29:G37)</f>
        <v>7367100</v>
      </c>
      <c r="H28" s="97">
        <f>SUM(H29:H47)</f>
        <v>47412247.49630001</v>
      </c>
      <c r="I28" s="237">
        <f aca="true" t="shared" si="20" ref="I28:Z28">SUM(I29:I47)</f>
        <v>67800</v>
      </c>
      <c r="J28" s="237">
        <f t="shared" si="20"/>
        <v>49690177.49630001</v>
      </c>
      <c r="K28" s="97">
        <f t="shared" si="20"/>
        <v>149140202.0992767</v>
      </c>
      <c r="L28" s="368">
        <f t="shared" si="20"/>
        <v>10566111.008273056</v>
      </c>
      <c r="M28" s="97">
        <f t="shared" si="20"/>
        <v>1267933.3209927666</v>
      </c>
      <c r="N28" s="97">
        <f t="shared" si="20"/>
        <v>10566111.008273056</v>
      </c>
      <c r="O28" s="97">
        <f t="shared" si="20"/>
        <v>6214175.087469862</v>
      </c>
      <c r="P28" s="97">
        <f t="shared" si="20"/>
        <v>4030041.0371855004</v>
      </c>
      <c r="Q28" s="97">
        <f t="shared" si="20"/>
        <v>5689469.6995560005</v>
      </c>
      <c r="R28" s="97">
        <f t="shared" si="20"/>
        <v>355799.2096662661</v>
      </c>
      <c r="S28" s="97">
        <f t="shared" si="20"/>
        <v>30228223.81248787</v>
      </c>
      <c r="T28" s="97">
        <f t="shared" si="20"/>
        <v>1896489.8998520002</v>
      </c>
      <c r="U28" s="97">
        <f t="shared" si="20"/>
        <v>5689219.2439710675</v>
      </c>
      <c r="V28" s="97">
        <f t="shared" si="20"/>
        <v>1422367.4248890001</v>
      </c>
      <c r="W28" s="97">
        <f t="shared" si="20"/>
        <v>948244.9499260001</v>
      </c>
      <c r="X28" s="97">
        <f t="shared" si="20"/>
        <v>7111524.054963835</v>
      </c>
      <c r="Y28" s="97">
        <f>SUM(Y29:Y47)</f>
        <v>220783499.6357082</v>
      </c>
      <c r="Z28" s="97">
        <f t="shared" si="20"/>
        <v>18398624.96964235</v>
      </c>
      <c r="AA28" s="229"/>
      <c r="AB28" s="46"/>
      <c r="AC28" s="46"/>
      <c r="AD28" s="35"/>
      <c r="AE28" s="35"/>
      <c r="AF28" s="35"/>
      <c r="AG28" s="35"/>
    </row>
    <row r="29" spans="1:33" ht="14.25">
      <c r="A29" s="324" t="s">
        <v>99</v>
      </c>
      <c r="B29" s="51" t="s">
        <v>184</v>
      </c>
      <c r="C29" s="52">
        <v>1</v>
      </c>
      <c r="D29" s="105">
        <v>40909</v>
      </c>
      <c r="E29" s="105">
        <v>40999</v>
      </c>
      <c r="F29" s="104">
        <f aca="true" t="shared" si="21" ref="F29:F37">DAYS360(D29,E29,0)+1</f>
        <v>91</v>
      </c>
      <c r="G29" s="54">
        <f>+$E$7*13</f>
        <v>7367100</v>
      </c>
      <c r="H29" s="54">
        <f>+G29*70%</f>
        <v>5156970</v>
      </c>
      <c r="I29" s="54">
        <v>0</v>
      </c>
      <c r="J29" s="54">
        <f>G29</f>
        <v>7367100</v>
      </c>
      <c r="K29" s="54">
        <f aca="true" t="shared" si="22" ref="K29:K37">+J29/30*F29</f>
        <v>22346870</v>
      </c>
      <c r="L29" s="366">
        <v>0</v>
      </c>
      <c r="M29" s="54">
        <f aca="true" t="shared" si="23" ref="M29:M37">+L29*12%</f>
        <v>0</v>
      </c>
      <c r="N29" s="54">
        <v>0</v>
      </c>
      <c r="O29" s="366">
        <f aca="true" t="shared" si="24" ref="O29:O37">+J29*F29/720</f>
        <v>931119.5833333334</v>
      </c>
      <c r="P29" s="54">
        <f aca="true" t="shared" si="25" ref="P29:P37">+H29*0.085</f>
        <v>438342.45</v>
      </c>
      <c r="Q29" s="54">
        <f aca="true" t="shared" si="26" ref="Q29:Q37">+H29*12%</f>
        <v>618836.4</v>
      </c>
      <c r="R29" s="54">
        <f>+H29*0.522%</f>
        <v>26919.3834</v>
      </c>
      <c r="S29" s="54">
        <f aca="true" t="shared" si="27" ref="S29:S37">+((P29+Q29+R29)/30*F29)</f>
        <v>3288431.30798</v>
      </c>
      <c r="T29" s="54">
        <f aca="true" t="shared" si="28" ref="T29:T37">+H29*0.04</f>
        <v>206278.80000000002</v>
      </c>
      <c r="U29" s="54">
        <f aca="true" t="shared" si="29" ref="U29:U37">+(T29/30)*F29</f>
        <v>625712.3600000001</v>
      </c>
      <c r="V29" s="54">
        <f aca="true" t="shared" si="30" ref="V29:V37">+H29*0.03</f>
        <v>154709.1</v>
      </c>
      <c r="W29" s="54">
        <f aca="true" t="shared" si="31" ref="W29:W37">+H29*0.02</f>
        <v>103139.40000000001</v>
      </c>
      <c r="X29" s="54">
        <f aca="true" t="shared" si="32" ref="X29:X37">+((V29+W29)/30*F29)</f>
        <v>782140.4500000001</v>
      </c>
      <c r="Y29" s="54">
        <f aca="true" t="shared" si="33" ref="Y29:Y37">K29+L29+M29+N29+O29+S29+U29+X29</f>
        <v>27974273.70131333</v>
      </c>
      <c r="Z29" s="54">
        <f aca="true" t="shared" si="34" ref="Z29:Z37">+Y29/12</f>
        <v>2331189.4751094445</v>
      </c>
      <c r="AA29" s="229"/>
      <c r="AB29" s="56"/>
      <c r="AC29" s="46"/>
      <c r="AD29" s="35"/>
      <c r="AE29" s="35"/>
      <c r="AF29" s="35"/>
      <c r="AG29" s="35"/>
    </row>
    <row r="30" spans="1:33" ht="14.25">
      <c r="A30" s="324" t="s">
        <v>146</v>
      </c>
      <c r="B30" s="51" t="s">
        <v>185</v>
      </c>
      <c r="C30" s="52">
        <v>1</v>
      </c>
      <c r="D30" s="105">
        <v>40909</v>
      </c>
      <c r="E30" s="105">
        <v>40999</v>
      </c>
      <c r="F30" s="104">
        <f t="shared" si="21"/>
        <v>91</v>
      </c>
      <c r="G30" s="54"/>
      <c r="H30" s="54">
        <f>3569101*(1+$C$8)</f>
        <v>3702228.4673000006</v>
      </c>
      <c r="I30" s="54">
        <v>0</v>
      </c>
      <c r="J30" s="54">
        <f aca="true" t="shared" si="35" ref="J30:J37">+I30+H30</f>
        <v>3702228.4673000006</v>
      </c>
      <c r="K30" s="54">
        <f>+J30/30*F30</f>
        <v>11230093.017476669</v>
      </c>
      <c r="L30" s="366">
        <f aca="true" t="shared" si="36" ref="L30:L37">+J30*F30/360</f>
        <v>935841.0847897223</v>
      </c>
      <c r="M30" s="54">
        <f t="shared" si="23"/>
        <v>112300.93017476668</v>
      </c>
      <c r="N30" s="54">
        <f aca="true" t="shared" si="37" ref="N30:N37">+L30</f>
        <v>935841.0847897223</v>
      </c>
      <c r="O30" s="366">
        <f t="shared" si="24"/>
        <v>467920.5423948612</v>
      </c>
      <c r="P30" s="54">
        <f t="shared" si="25"/>
        <v>314689.41972050007</v>
      </c>
      <c r="Q30" s="54">
        <f t="shared" si="26"/>
        <v>444267.4160760001</v>
      </c>
      <c r="R30" s="54">
        <f>+H30*0.522%</f>
        <v>19325.632599306</v>
      </c>
      <c r="S30" s="54">
        <f t="shared" si="27"/>
        <v>2360790.1541339452</v>
      </c>
      <c r="T30" s="54">
        <f t="shared" si="28"/>
        <v>148089.13869200004</v>
      </c>
      <c r="U30" s="54">
        <f t="shared" si="29"/>
        <v>449203.72069906676</v>
      </c>
      <c r="V30" s="54">
        <f t="shared" si="30"/>
        <v>111066.85401900002</v>
      </c>
      <c r="W30" s="54">
        <f t="shared" si="31"/>
        <v>74044.56934600002</v>
      </c>
      <c r="X30" s="54">
        <f t="shared" si="32"/>
        <v>561504.6508738335</v>
      </c>
      <c r="Y30" s="331">
        <f t="shared" si="33"/>
        <v>17053495.18533259</v>
      </c>
      <c r="Z30" s="54">
        <f t="shared" si="34"/>
        <v>1421124.5987777158</v>
      </c>
      <c r="AA30" s="229"/>
      <c r="AB30" s="55"/>
      <c r="AC30" s="46"/>
      <c r="AD30" s="35"/>
      <c r="AE30" s="35"/>
      <c r="AF30" s="35"/>
      <c r="AG30" s="35"/>
    </row>
    <row r="31" spans="1:33" ht="14.25">
      <c r="A31" s="325" t="s">
        <v>236</v>
      </c>
      <c r="B31" s="51" t="s">
        <v>185</v>
      </c>
      <c r="C31" s="52">
        <v>1</v>
      </c>
      <c r="D31" s="105">
        <v>40909</v>
      </c>
      <c r="E31" s="105">
        <v>40999</v>
      </c>
      <c r="F31" s="104">
        <f t="shared" si="21"/>
        <v>91</v>
      </c>
      <c r="G31" s="54"/>
      <c r="H31" s="54">
        <f>3569101*(1+$C$8)</f>
        <v>3702228.4673000006</v>
      </c>
      <c r="I31" s="54">
        <v>0</v>
      </c>
      <c r="J31" s="54">
        <f t="shared" si="35"/>
        <v>3702228.4673000006</v>
      </c>
      <c r="K31" s="54">
        <f t="shared" si="22"/>
        <v>11230093.017476669</v>
      </c>
      <c r="L31" s="366">
        <f t="shared" si="36"/>
        <v>935841.0847897223</v>
      </c>
      <c r="M31" s="54">
        <f t="shared" si="23"/>
        <v>112300.93017476668</v>
      </c>
      <c r="N31" s="54">
        <f t="shared" si="37"/>
        <v>935841.0847897223</v>
      </c>
      <c r="O31" s="366">
        <f t="shared" si="24"/>
        <v>467920.5423948612</v>
      </c>
      <c r="P31" s="54">
        <f t="shared" si="25"/>
        <v>314689.41972050007</v>
      </c>
      <c r="Q31" s="54">
        <f t="shared" si="26"/>
        <v>444267.4160760001</v>
      </c>
      <c r="R31" s="54">
        <f>+H31*0.522%</f>
        <v>19325.632599306</v>
      </c>
      <c r="S31" s="54">
        <f t="shared" si="27"/>
        <v>2360790.1541339452</v>
      </c>
      <c r="T31" s="54">
        <f t="shared" si="28"/>
        <v>148089.13869200004</v>
      </c>
      <c r="U31" s="54">
        <f t="shared" si="29"/>
        <v>449203.72069906676</v>
      </c>
      <c r="V31" s="54">
        <f t="shared" si="30"/>
        <v>111066.85401900002</v>
      </c>
      <c r="W31" s="54">
        <f t="shared" si="31"/>
        <v>74044.56934600002</v>
      </c>
      <c r="X31" s="54">
        <f t="shared" si="32"/>
        <v>561504.6508738335</v>
      </c>
      <c r="Y31" s="331">
        <f t="shared" si="33"/>
        <v>17053495.18533259</v>
      </c>
      <c r="Z31" s="54">
        <f t="shared" si="34"/>
        <v>1421124.5987777158</v>
      </c>
      <c r="AA31" s="242"/>
      <c r="AB31" s="55"/>
      <c r="AC31" s="46"/>
      <c r="AD31" s="127"/>
      <c r="AE31" s="35"/>
      <c r="AF31" s="35"/>
      <c r="AG31" s="35"/>
    </row>
    <row r="32" spans="1:33" ht="14.25">
      <c r="A32" s="325" t="s">
        <v>237</v>
      </c>
      <c r="B32" s="51" t="s">
        <v>185</v>
      </c>
      <c r="C32" s="52">
        <v>1</v>
      </c>
      <c r="D32" s="105">
        <v>40909</v>
      </c>
      <c r="E32" s="105">
        <v>40999</v>
      </c>
      <c r="F32" s="104">
        <f t="shared" si="21"/>
        <v>91</v>
      </c>
      <c r="G32" s="54"/>
      <c r="H32" s="54">
        <f>3569101*(1+$C$8)</f>
        <v>3702228.4673000006</v>
      </c>
      <c r="I32" s="54">
        <v>0</v>
      </c>
      <c r="J32" s="54">
        <f t="shared" si="35"/>
        <v>3702228.4673000006</v>
      </c>
      <c r="K32" s="54">
        <f t="shared" si="22"/>
        <v>11230093.017476669</v>
      </c>
      <c r="L32" s="366">
        <f t="shared" si="36"/>
        <v>935841.0847897223</v>
      </c>
      <c r="M32" s="54">
        <f t="shared" si="23"/>
        <v>112300.93017476668</v>
      </c>
      <c r="N32" s="54">
        <f t="shared" si="37"/>
        <v>935841.0847897223</v>
      </c>
      <c r="O32" s="366">
        <f t="shared" si="24"/>
        <v>467920.5423948612</v>
      </c>
      <c r="P32" s="54">
        <f t="shared" si="25"/>
        <v>314689.41972050007</v>
      </c>
      <c r="Q32" s="54">
        <f t="shared" si="26"/>
        <v>444267.4160760001</v>
      </c>
      <c r="R32" s="54">
        <f>+H32*0.522%</f>
        <v>19325.632599306</v>
      </c>
      <c r="S32" s="54">
        <f t="shared" si="27"/>
        <v>2360790.1541339452</v>
      </c>
      <c r="T32" s="54">
        <f t="shared" si="28"/>
        <v>148089.13869200004</v>
      </c>
      <c r="U32" s="54">
        <f t="shared" si="29"/>
        <v>449203.72069906676</v>
      </c>
      <c r="V32" s="54">
        <f t="shared" si="30"/>
        <v>111066.85401900002</v>
      </c>
      <c r="W32" s="54">
        <f t="shared" si="31"/>
        <v>74044.56934600002</v>
      </c>
      <c r="X32" s="54">
        <f t="shared" si="32"/>
        <v>561504.6508738335</v>
      </c>
      <c r="Y32" s="331">
        <f t="shared" si="33"/>
        <v>17053495.18533259</v>
      </c>
      <c r="Z32" s="54">
        <f t="shared" si="34"/>
        <v>1421124.5987777158</v>
      </c>
      <c r="AA32" s="243"/>
      <c r="AB32" s="55"/>
      <c r="AC32" s="46"/>
      <c r="AD32" s="35"/>
      <c r="AE32" s="35"/>
      <c r="AF32" s="35"/>
      <c r="AG32" s="35"/>
    </row>
    <row r="33" spans="1:33" ht="14.25">
      <c r="A33" s="326" t="s">
        <v>136</v>
      </c>
      <c r="B33" s="144" t="s">
        <v>181</v>
      </c>
      <c r="C33" s="52">
        <v>1</v>
      </c>
      <c r="D33" s="105">
        <v>40909</v>
      </c>
      <c r="E33" s="105">
        <v>40999</v>
      </c>
      <c r="F33" s="104">
        <f t="shared" si="21"/>
        <v>91</v>
      </c>
      <c r="G33" s="53"/>
      <c r="H33" s="54">
        <f>2888729*(1+$C$8)</f>
        <v>2996478.5917</v>
      </c>
      <c r="I33" s="54"/>
      <c r="J33" s="54">
        <f t="shared" si="35"/>
        <v>2996478.5917</v>
      </c>
      <c r="K33" s="54">
        <f t="shared" si="22"/>
        <v>9089318.394823333</v>
      </c>
      <c r="L33" s="366">
        <f t="shared" si="36"/>
        <v>757443.1995686112</v>
      </c>
      <c r="M33" s="54">
        <f t="shared" si="23"/>
        <v>90893.18394823335</v>
      </c>
      <c r="N33" s="54">
        <f t="shared" si="37"/>
        <v>757443.1995686112</v>
      </c>
      <c r="O33" s="366">
        <f t="shared" si="24"/>
        <v>378721.5997843056</v>
      </c>
      <c r="P33" s="54">
        <f t="shared" si="25"/>
        <v>254700.68029450002</v>
      </c>
      <c r="Q33" s="54">
        <f t="shared" si="26"/>
        <v>359577.431004</v>
      </c>
      <c r="R33" s="54">
        <f>+H33*0.522%</f>
        <v>15641.618248674</v>
      </c>
      <c r="S33" s="54">
        <f t="shared" si="27"/>
        <v>1910756.5129597613</v>
      </c>
      <c r="T33" s="54">
        <f t="shared" si="28"/>
        <v>119859.143668</v>
      </c>
      <c r="U33" s="54">
        <f t="shared" si="29"/>
        <v>363572.7357929333</v>
      </c>
      <c r="V33" s="54">
        <f t="shared" si="30"/>
        <v>89894.357751</v>
      </c>
      <c r="W33" s="54">
        <f t="shared" si="31"/>
        <v>59929.571834</v>
      </c>
      <c r="X33" s="54">
        <f t="shared" si="32"/>
        <v>454465.9197411667</v>
      </c>
      <c r="Y33" s="331">
        <f t="shared" si="33"/>
        <v>13802614.746186955</v>
      </c>
      <c r="Z33" s="54">
        <f t="shared" si="34"/>
        <v>1150217.8955155795</v>
      </c>
      <c r="AA33" s="330"/>
      <c r="AB33" s="55"/>
      <c r="AC33" s="46"/>
      <c r="AD33" s="35"/>
      <c r="AE33" s="35"/>
      <c r="AF33" s="35"/>
      <c r="AG33" s="35"/>
    </row>
    <row r="34" spans="1:33" ht="14.25">
      <c r="A34" s="326" t="s">
        <v>18</v>
      </c>
      <c r="B34" s="144" t="s">
        <v>181</v>
      </c>
      <c r="C34" s="52">
        <v>1</v>
      </c>
      <c r="D34" s="105">
        <v>40909</v>
      </c>
      <c r="E34" s="105">
        <v>40999</v>
      </c>
      <c r="F34" s="104">
        <f t="shared" si="21"/>
        <v>91</v>
      </c>
      <c r="G34" s="53"/>
      <c r="H34" s="54">
        <f>2888729*(1+$C$8)</f>
        <v>2996478.5917</v>
      </c>
      <c r="I34" s="54"/>
      <c r="J34" s="54">
        <f>+I34+H34</f>
        <v>2996478.5917</v>
      </c>
      <c r="K34" s="54">
        <f>+J34/30*F34</f>
        <v>9089318.394823333</v>
      </c>
      <c r="L34" s="366">
        <f t="shared" si="36"/>
        <v>757443.1995686112</v>
      </c>
      <c r="M34" s="54">
        <f t="shared" si="23"/>
        <v>90893.18394823335</v>
      </c>
      <c r="N34" s="54">
        <f>+L34</f>
        <v>757443.1995686112</v>
      </c>
      <c r="O34" s="366">
        <f t="shared" si="24"/>
        <v>378721.5997843056</v>
      </c>
      <c r="P34" s="54">
        <f>+H34*0.085</f>
        <v>254700.68029450002</v>
      </c>
      <c r="Q34" s="54">
        <f>+H34*12%</f>
        <v>359577.431004</v>
      </c>
      <c r="R34" s="54">
        <f>+H34*1.044%</f>
        <v>31283.236497348</v>
      </c>
      <c r="S34" s="54">
        <f>+((P34+Q34+R34)/30*F34)</f>
        <v>1958202.754980739</v>
      </c>
      <c r="T34" s="54">
        <f>+H34*0.04</f>
        <v>119859.143668</v>
      </c>
      <c r="U34" s="54">
        <f>+(T34/30)*F34</f>
        <v>363572.7357929333</v>
      </c>
      <c r="V34" s="54">
        <f>+H34*0.03</f>
        <v>89894.357751</v>
      </c>
      <c r="W34" s="54">
        <f>+H34*0.02</f>
        <v>59929.571834</v>
      </c>
      <c r="X34" s="54">
        <f>+((V34+W34)/30*F34)</f>
        <v>454465.9197411667</v>
      </c>
      <c r="Y34" s="331">
        <f>K34+L34+M34+N34+O34+S34+U34+X34</f>
        <v>13850060.988207933</v>
      </c>
      <c r="Z34" s="54">
        <f>+Y34/12</f>
        <v>1154171.7490173278</v>
      </c>
      <c r="AA34" s="244"/>
      <c r="AB34" s="239"/>
      <c r="AC34" s="240"/>
      <c r="AD34" s="35"/>
      <c r="AE34" s="35"/>
      <c r="AF34" s="35"/>
      <c r="AG34" s="35"/>
    </row>
    <row r="35" spans="1:33" ht="14.25">
      <c r="A35" s="325" t="s">
        <v>233</v>
      </c>
      <c r="B35" s="143" t="s">
        <v>177</v>
      </c>
      <c r="C35" s="52">
        <v>1</v>
      </c>
      <c r="D35" s="105">
        <v>40909</v>
      </c>
      <c r="E35" s="105">
        <v>40999</v>
      </c>
      <c r="F35" s="104">
        <f>DAYS360(D35,E35,0)+1</f>
        <v>91</v>
      </c>
      <c r="G35" s="54"/>
      <c r="H35" s="312">
        <f>1296447*(1+$C$8)</f>
        <v>1344804.4731</v>
      </c>
      <c r="I35" s="54">
        <v>0</v>
      </c>
      <c r="J35" s="54">
        <f>+I35+H35</f>
        <v>1344804.4731</v>
      </c>
      <c r="K35" s="54">
        <f>+J35/30*F35</f>
        <v>4079240.23507</v>
      </c>
      <c r="L35" s="366">
        <f t="shared" si="36"/>
        <v>339936.68625583337</v>
      </c>
      <c r="M35" s="54">
        <f t="shared" si="23"/>
        <v>40792.4023507</v>
      </c>
      <c r="N35" s="54">
        <f>+L35</f>
        <v>339936.68625583337</v>
      </c>
      <c r="O35" s="366">
        <f t="shared" si="24"/>
        <v>169968.34312791668</v>
      </c>
      <c r="P35" s="54">
        <f>+H35*0.085</f>
        <v>114308.38021350002</v>
      </c>
      <c r="Q35" s="54">
        <f>+H35*12%</f>
        <v>161376.536772</v>
      </c>
      <c r="R35" s="54">
        <f>+H35*0.522%</f>
        <v>7019.879349582</v>
      </c>
      <c r="S35" s="54">
        <f>+((P35+Q35+R35)/30*F35)</f>
        <v>857537.8822164155</v>
      </c>
      <c r="T35" s="54">
        <f>+H35*0.04</f>
        <v>53792.17892400001</v>
      </c>
      <c r="U35" s="54">
        <f>+(T35/30)*F35</f>
        <v>163169.60940280004</v>
      </c>
      <c r="V35" s="54">
        <f>+H35*0.03</f>
        <v>40344.134193</v>
      </c>
      <c r="W35" s="54">
        <f>+H35*0.02</f>
        <v>26896.089462000004</v>
      </c>
      <c r="X35" s="54">
        <f>+((V35+W35)/30*F35)</f>
        <v>203962.0117535</v>
      </c>
      <c r="Y35" s="54">
        <f>K35+L35+M35+N35+O35+S35+U35+X35</f>
        <v>6194543.8564329995</v>
      </c>
      <c r="Z35" s="54">
        <f>+Y35/12</f>
        <v>516211.9880360833</v>
      </c>
      <c r="AA35" s="245"/>
      <c r="AB35" s="239"/>
      <c r="AC35" s="240"/>
      <c r="AD35" s="35"/>
      <c r="AE35" s="35"/>
      <c r="AF35" s="35"/>
      <c r="AG35" s="35"/>
    </row>
    <row r="36" spans="1:57" ht="14.25">
      <c r="A36" s="325" t="s">
        <v>241</v>
      </c>
      <c r="B36" s="51" t="s">
        <v>182</v>
      </c>
      <c r="C36" s="52">
        <v>1</v>
      </c>
      <c r="D36" s="105">
        <v>40940</v>
      </c>
      <c r="E36" s="105">
        <v>40999</v>
      </c>
      <c r="F36" s="104">
        <f>DAYS360(D36,E36,0)+1</f>
        <v>61</v>
      </c>
      <c r="G36" s="54"/>
      <c r="H36" s="54">
        <f>1529615*(1+$C$8)</f>
        <v>1586669.6395000003</v>
      </c>
      <c r="I36" s="54">
        <v>0</v>
      </c>
      <c r="J36" s="54">
        <f>+I36+H36</f>
        <v>1586669.6395000003</v>
      </c>
      <c r="K36" s="54">
        <f>+J36/30*F36</f>
        <v>3226228.2669833335</v>
      </c>
      <c r="L36" s="366">
        <f t="shared" si="36"/>
        <v>268852.35558194446</v>
      </c>
      <c r="M36" s="54">
        <f t="shared" si="23"/>
        <v>32262.282669833334</v>
      </c>
      <c r="N36" s="54">
        <f>+L36</f>
        <v>268852.35558194446</v>
      </c>
      <c r="O36" s="366">
        <f t="shared" si="24"/>
        <v>134426.17779097223</v>
      </c>
      <c r="P36" s="54">
        <f>+H36*0.085</f>
        <v>134866.91935750004</v>
      </c>
      <c r="Q36" s="54">
        <f>+H36*12%</f>
        <v>190400.35674000002</v>
      </c>
      <c r="R36" s="54">
        <f>+H36*0.522%</f>
        <v>8282.41551819</v>
      </c>
      <c r="S36" s="54">
        <f>+((P36+Q36+R36)/30*F36)</f>
        <v>678217.7062852364</v>
      </c>
      <c r="T36" s="54">
        <f>+H36*0.04</f>
        <v>63466.78558000001</v>
      </c>
      <c r="U36" s="54">
        <f>+(T36/30)*F36</f>
        <v>129049.13067933336</v>
      </c>
      <c r="V36" s="54">
        <f>+H36*0.03</f>
        <v>47600.089185000004</v>
      </c>
      <c r="W36" s="54">
        <f>+H36*0.02</f>
        <v>31733.392790000005</v>
      </c>
      <c r="X36" s="54">
        <f>+((V36+W36)/30*F36)</f>
        <v>161311.4133491667</v>
      </c>
      <c r="Y36" s="331">
        <f>K36+L36+M36+N36+O36+S36+U36+X36</f>
        <v>4899199.6889217645</v>
      </c>
      <c r="Z36" s="54">
        <f>+Y36/12</f>
        <v>408266.64074348036</v>
      </c>
      <c r="AA36" s="232"/>
      <c r="AB36" s="179"/>
      <c r="AC36" s="44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33" ht="14.25">
      <c r="A37" s="325" t="s">
        <v>137</v>
      </c>
      <c r="B37" s="143" t="s">
        <v>183</v>
      </c>
      <c r="C37" s="52">
        <v>11</v>
      </c>
      <c r="D37" s="105">
        <v>40909</v>
      </c>
      <c r="E37" s="105">
        <v>40999</v>
      </c>
      <c r="F37" s="104">
        <f t="shared" si="21"/>
        <v>91</v>
      </c>
      <c r="G37" s="52"/>
      <c r="H37" s="54">
        <f>(1555791*(1+$C$8)*C37)</f>
        <v>17752042.047300003</v>
      </c>
      <c r="I37" s="54">
        <v>0</v>
      </c>
      <c r="J37" s="54">
        <f t="shared" si="35"/>
        <v>17752042.047300003</v>
      </c>
      <c r="K37" s="54">
        <f t="shared" si="22"/>
        <v>53847860.876810014</v>
      </c>
      <c r="L37" s="366">
        <f t="shared" si="36"/>
        <v>4487321.739734167</v>
      </c>
      <c r="M37" s="54">
        <f t="shared" si="23"/>
        <v>538478.6087681</v>
      </c>
      <c r="N37" s="54">
        <f t="shared" si="37"/>
        <v>4487321.739734167</v>
      </c>
      <c r="O37" s="366">
        <f t="shared" si="24"/>
        <v>2243660.8698670836</v>
      </c>
      <c r="P37" s="54">
        <f t="shared" si="25"/>
        <v>1508923.5740205003</v>
      </c>
      <c r="Q37" s="54">
        <f t="shared" si="26"/>
        <v>2130245.0456760004</v>
      </c>
      <c r="R37" s="54">
        <f>+H37*1.044%</f>
        <v>185331.31897381204</v>
      </c>
      <c r="S37" s="54">
        <f t="shared" si="27"/>
        <v>11600983.14729995</v>
      </c>
      <c r="T37" s="54">
        <f t="shared" si="28"/>
        <v>710081.6818920001</v>
      </c>
      <c r="U37" s="54">
        <f t="shared" si="29"/>
        <v>2153914.4350724006</v>
      </c>
      <c r="V37" s="54">
        <f t="shared" si="30"/>
        <v>532561.2614190001</v>
      </c>
      <c r="W37" s="54">
        <f t="shared" si="31"/>
        <v>355040.84094600007</v>
      </c>
      <c r="X37" s="54">
        <f t="shared" si="32"/>
        <v>2692393.0438405005</v>
      </c>
      <c r="Y37" s="331">
        <f t="shared" si="33"/>
        <v>82051934.46112639</v>
      </c>
      <c r="Z37" s="54">
        <f t="shared" si="34"/>
        <v>6837661.205093865</v>
      </c>
      <c r="AA37" s="245"/>
      <c r="AB37" s="239"/>
      <c r="AC37" s="240"/>
      <c r="AD37" s="35"/>
      <c r="AE37" s="35"/>
      <c r="AF37" s="35"/>
      <c r="AG37" s="35"/>
    </row>
    <row r="38" spans="1:33" ht="12.75">
      <c r="A38" s="45"/>
      <c r="B38" s="45"/>
      <c r="C38" s="47"/>
      <c r="D38" s="47"/>
      <c r="E38" s="47"/>
      <c r="F38" s="47"/>
      <c r="G38" s="47"/>
      <c r="H38" s="227"/>
      <c r="I38" s="227"/>
      <c r="J38" s="227"/>
      <c r="K38" s="47"/>
      <c r="L38" s="364"/>
      <c r="M38" s="47"/>
      <c r="N38" s="47"/>
      <c r="O38" s="47"/>
      <c r="P38" s="48"/>
      <c r="Q38" s="49"/>
      <c r="R38" s="49"/>
      <c r="S38" s="50"/>
      <c r="T38" s="49"/>
      <c r="U38" s="50"/>
      <c r="V38" s="49"/>
      <c r="W38" s="49"/>
      <c r="X38" s="50"/>
      <c r="Y38" s="333"/>
      <c r="Z38" s="47"/>
      <c r="AA38" s="245"/>
      <c r="AB38" s="239"/>
      <c r="AC38" s="240"/>
      <c r="AD38" s="35"/>
      <c r="AE38" s="35"/>
      <c r="AF38" s="35"/>
      <c r="AG38" s="35"/>
    </row>
    <row r="39" spans="1:33" s="2" customFormat="1" ht="14.25">
      <c r="A39" s="169" t="s">
        <v>229</v>
      </c>
      <c r="B39" s="143"/>
      <c r="C39" s="53">
        <f>SUM(C40:C42)</f>
        <v>3</v>
      </c>
      <c r="D39" s="105"/>
      <c r="E39" s="105"/>
      <c r="F39" s="104"/>
      <c r="G39" s="53"/>
      <c r="H39" s="89"/>
      <c r="I39" s="99"/>
      <c r="J39" s="99"/>
      <c r="K39" s="99"/>
      <c r="L39" s="36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334"/>
      <c r="Z39" s="99"/>
      <c r="AA39" s="246"/>
      <c r="AB39" s="239"/>
      <c r="AC39" s="240"/>
      <c r="AD39" s="35"/>
      <c r="AE39" s="35"/>
      <c r="AF39" s="35"/>
      <c r="AG39" s="35"/>
    </row>
    <row r="40" spans="1:33" ht="14.25">
      <c r="A40" s="165" t="s">
        <v>213</v>
      </c>
      <c r="B40" s="144" t="s">
        <v>214</v>
      </c>
      <c r="C40" s="52">
        <v>1</v>
      </c>
      <c r="D40" s="105">
        <v>40909</v>
      </c>
      <c r="E40" s="105">
        <v>40999</v>
      </c>
      <c r="F40" s="104">
        <f>DAYS360(D40,E40,0)+1</f>
        <v>91</v>
      </c>
      <c r="G40" s="53"/>
      <c r="H40" s="54">
        <f>2052051*(1+$C$8)</f>
        <v>2128592.5023000003</v>
      </c>
      <c r="I40" s="54">
        <v>0</v>
      </c>
      <c r="J40" s="54">
        <f>+I40+H40</f>
        <v>2128592.5023000003</v>
      </c>
      <c r="K40" s="54">
        <f>+J40/30*F40</f>
        <v>6456730.590310001</v>
      </c>
      <c r="L40" s="366">
        <f>+J40*F40/360</f>
        <v>538060.8825258333</v>
      </c>
      <c r="M40" s="54">
        <f>+L40*12%</f>
        <v>64567.305903099994</v>
      </c>
      <c r="N40" s="54">
        <f>+L40</f>
        <v>538060.8825258333</v>
      </c>
      <c r="O40" s="366">
        <f>+J40*F40/720</f>
        <v>269030.44126291666</v>
      </c>
      <c r="P40" s="54">
        <f>+H40*0.085</f>
        <v>180930.36269550005</v>
      </c>
      <c r="Q40" s="54">
        <f>+H40*12%</f>
        <v>255431.100276</v>
      </c>
      <c r="R40" s="54">
        <f>+H40*0.522%</f>
        <v>11111.252862006</v>
      </c>
      <c r="S40" s="54">
        <f>+((P40+Q40+R40)/30*F40)</f>
        <v>1357333.9046949686</v>
      </c>
      <c r="T40" s="54">
        <f>+H40*0.04</f>
        <v>85143.70009200001</v>
      </c>
      <c r="U40" s="54">
        <f>+(T40/30)*F40</f>
        <v>258269.22361240003</v>
      </c>
      <c r="V40" s="54">
        <f>+H40*0.03</f>
        <v>63857.775069</v>
      </c>
      <c r="W40" s="54">
        <f>+H40*0.02</f>
        <v>42571.85004600001</v>
      </c>
      <c r="X40" s="54">
        <f>+((V40+W40)/30*F40)</f>
        <v>322836.5295155</v>
      </c>
      <c r="Y40" s="331">
        <f>K40+L40+M40+N40+O40+S40+U40+X40</f>
        <v>9804889.760350551</v>
      </c>
      <c r="Z40" s="54">
        <f>+Y40/12</f>
        <v>817074.1466958793</v>
      </c>
      <c r="AA40" s="242"/>
      <c r="AB40" s="239"/>
      <c r="AC40" s="240"/>
      <c r="AD40" s="35"/>
      <c r="AE40" s="35"/>
      <c r="AF40" s="35"/>
      <c r="AG40" s="35"/>
    </row>
    <row r="41" spans="1:33" ht="14.25">
      <c r="A41" s="164" t="s">
        <v>211</v>
      </c>
      <c r="B41" s="143" t="s">
        <v>182</v>
      </c>
      <c r="C41" s="52">
        <v>1</v>
      </c>
      <c r="D41" s="105">
        <v>40909</v>
      </c>
      <c r="E41" s="105">
        <v>40999</v>
      </c>
      <c r="F41" s="104">
        <f>DAYS360(D41,E41,0)+1</f>
        <v>91</v>
      </c>
      <c r="G41" s="54"/>
      <c r="H41" s="54">
        <f>1529615*(1+$C$8)</f>
        <v>1586669.6395000003</v>
      </c>
      <c r="I41" s="54">
        <v>0</v>
      </c>
      <c r="J41" s="54">
        <f>+I41+H41</f>
        <v>1586669.6395000003</v>
      </c>
      <c r="K41" s="54">
        <f>+J41/30*F41</f>
        <v>4812897.906483334</v>
      </c>
      <c r="L41" s="366">
        <f>+J41*F41/360</f>
        <v>401074.8255402779</v>
      </c>
      <c r="M41" s="54">
        <f>+L41*12%</f>
        <v>48128.979064833344</v>
      </c>
      <c r="N41" s="54">
        <f>+L41</f>
        <v>401074.8255402779</v>
      </c>
      <c r="O41" s="366">
        <f>+J41*F41/720</f>
        <v>200537.41277013894</v>
      </c>
      <c r="P41" s="54">
        <f>+H41*0.085</f>
        <v>134866.91935750004</v>
      </c>
      <c r="Q41" s="54">
        <f>+H41*12%</f>
        <v>190400.35674000002</v>
      </c>
      <c r="R41" s="54">
        <f>+H41*0.522%</f>
        <v>8282.41551819</v>
      </c>
      <c r="S41" s="54">
        <f>+((P41+Q41+R41)/30*F41)</f>
        <v>1011767.3979009264</v>
      </c>
      <c r="T41" s="54">
        <f>+H41*0.04</f>
        <v>63466.78558000001</v>
      </c>
      <c r="U41" s="54">
        <f>+(T41/30)*F41</f>
        <v>192515.91625933337</v>
      </c>
      <c r="V41" s="54">
        <f>+H41*0.03</f>
        <v>47600.089185000004</v>
      </c>
      <c r="W41" s="54">
        <f>+H41*0.02</f>
        <v>31733.392790000005</v>
      </c>
      <c r="X41" s="54">
        <f>+((V41+W41)/30*F41)</f>
        <v>240644.8953241667</v>
      </c>
      <c r="Y41" s="331">
        <f>K41+L41+M41+N41+O41+S41+U41+X41</f>
        <v>7308642.1588832885</v>
      </c>
      <c r="Z41" s="54">
        <f>+Y41/12</f>
        <v>609053.513240274</v>
      </c>
      <c r="AA41" s="241"/>
      <c r="AB41" s="239"/>
      <c r="AC41" s="240"/>
      <c r="AD41" s="35"/>
      <c r="AE41" s="35"/>
      <c r="AF41" s="35"/>
      <c r="AG41" s="35"/>
    </row>
    <row r="42" spans="1:33" ht="14.25">
      <c r="A42" s="143" t="s">
        <v>212</v>
      </c>
      <c r="B42" s="143" t="s">
        <v>178</v>
      </c>
      <c r="C42" s="52">
        <v>1</v>
      </c>
      <c r="D42" s="105">
        <v>40909</v>
      </c>
      <c r="E42" s="105">
        <v>40999</v>
      </c>
      <c r="F42" s="104">
        <f>DAYS360(D42,E42,0)+1</f>
        <v>91</v>
      </c>
      <c r="G42" s="52"/>
      <c r="H42" s="54">
        <f>729641*(1+$C$8)</f>
        <v>756856.6093000001</v>
      </c>
      <c r="I42" s="54">
        <f>+E8</f>
        <v>67800</v>
      </c>
      <c r="J42" s="54">
        <f>+I42+H42</f>
        <v>824656.6093000001</v>
      </c>
      <c r="K42" s="54">
        <f>+J42/30*F42</f>
        <v>2501458.3815433336</v>
      </c>
      <c r="L42" s="366">
        <f>+J42*F42/360</f>
        <v>208454.86512861116</v>
      </c>
      <c r="M42" s="54">
        <f>+L42*12%</f>
        <v>25014.58381543334</v>
      </c>
      <c r="N42" s="54">
        <f>+L42</f>
        <v>208454.86512861116</v>
      </c>
      <c r="O42" s="366">
        <f>+J42*F42/720</f>
        <v>104227.43256430558</v>
      </c>
      <c r="P42" s="54">
        <f>+H42*0.085</f>
        <v>64332.81179050002</v>
      </c>
      <c r="Q42" s="54">
        <f>+H42*12%</f>
        <v>90822.79311600002</v>
      </c>
      <c r="R42" s="54">
        <f>+H42*0.522%</f>
        <v>3950.7915005460004</v>
      </c>
      <c r="S42" s="54">
        <f>+((P42+Q42+R42)/30*F42)</f>
        <v>482622.73576803965</v>
      </c>
      <c r="T42" s="54">
        <f>+H42*0.04</f>
        <v>30274.264372000005</v>
      </c>
      <c r="U42" s="54">
        <f>+(T42/30)*F42</f>
        <v>91831.93526173335</v>
      </c>
      <c r="V42" s="54">
        <f>+H42*0.03</f>
        <v>22705.698279000004</v>
      </c>
      <c r="W42" s="54">
        <f>+H42*0.02</f>
        <v>15137.132186000003</v>
      </c>
      <c r="X42" s="54">
        <f>+((V42+W42)/30*F42)</f>
        <v>114789.91907716669</v>
      </c>
      <c r="Y42" s="331">
        <f>K42+L42+M42+N42+O42+S42+U42+X42</f>
        <v>3736854.718287235</v>
      </c>
      <c r="Z42" s="54">
        <f>+Y42/12</f>
        <v>311404.5598572696</v>
      </c>
      <c r="AA42" s="241"/>
      <c r="AB42" s="239"/>
      <c r="AC42" s="240"/>
      <c r="AD42" s="35"/>
      <c r="AE42" s="35"/>
      <c r="AF42" s="35"/>
      <c r="AG42" s="35"/>
    </row>
    <row r="43" spans="1:33" ht="12.75">
      <c r="A43" s="45"/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364"/>
      <c r="M43" s="47"/>
      <c r="N43" s="47"/>
      <c r="O43" s="47"/>
      <c r="P43" s="48"/>
      <c r="Q43" s="49"/>
      <c r="R43" s="49"/>
      <c r="S43" s="50"/>
      <c r="T43" s="49"/>
      <c r="U43" s="50"/>
      <c r="V43" s="49"/>
      <c r="W43" s="49"/>
      <c r="X43" s="50"/>
      <c r="Y43" s="333"/>
      <c r="Z43" s="47"/>
      <c r="AA43" s="241"/>
      <c r="AB43" s="239"/>
      <c r="AC43" s="240"/>
      <c r="AD43" s="35"/>
      <c r="AE43" s="35"/>
      <c r="AF43" s="35"/>
      <c r="AG43" s="35"/>
    </row>
    <row r="44" spans="1:33" ht="12.75">
      <c r="A44" s="45"/>
      <c r="B44" s="45"/>
      <c r="C44" s="47"/>
      <c r="D44" s="47"/>
      <c r="E44" s="47"/>
      <c r="F44" s="47"/>
      <c r="G44" s="47"/>
      <c r="H44" s="227"/>
      <c r="I44" s="47"/>
      <c r="J44" s="47"/>
      <c r="K44" s="47"/>
      <c r="L44" s="364"/>
      <c r="M44" s="47"/>
      <c r="N44" s="47"/>
      <c r="O44" s="47"/>
      <c r="P44" s="48"/>
      <c r="Q44" s="49"/>
      <c r="R44" s="49"/>
      <c r="S44" s="50"/>
      <c r="T44" s="49"/>
      <c r="U44" s="50"/>
      <c r="V44" s="49"/>
      <c r="W44" s="49"/>
      <c r="X44" s="50"/>
      <c r="Y44" s="47"/>
      <c r="Z44" s="47"/>
      <c r="AA44" s="229"/>
      <c r="AB44" s="55"/>
      <c r="AC44" s="46"/>
      <c r="AD44" s="35"/>
      <c r="AE44" s="35"/>
      <c r="AF44" s="35"/>
      <c r="AG44" s="35"/>
    </row>
    <row r="45" spans="1:33" ht="12.75">
      <c r="A45" s="45"/>
      <c r="B45" s="45"/>
      <c r="C45" s="47"/>
      <c r="D45" s="47"/>
      <c r="E45" s="47"/>
      <c r="F45" s="47"/>
      <c r="G45" s="47"/>
      <c r="H45" s="227"/>
      <c r="I45" s="47"/>
      <c r="J45" s="47"/>
      <c r="K45" s="47"/>
      <c r="L45" s="364"/>
      <c r="M45" s="47"/>
      <c r="N45" s="47"/>
      <c r="O45" s="47"/>
      <c r="P45" s="48"/>
      <c r="Q45" s="49"/>
      <c r="R45" s="49"/>
      <c r="S45" s="50"/>
      <c r="T45" s="49"/>
      <c r="U45" s="50"/>
      <c r="V45" s="49"/>
      <c r="W45" s="49"/>
      <c r="X45" s="50"/>
      <c r="Y45" s="47"/>
      <c r="Z45" s="47"/>
      <c r="AA45" s="229"/>
      <c r="AB45" s="55"/>
      <c r="AC45" s="46"/>
      <c r="AD45" s="35"/>
      <c r="AE45" s="35"/>
      <c r="AF45" s="35"/>
      <c r="AG45" s="35"/>
    </row>
    <row r="46" spans="1:33" ht="12.75">
      <c r="A46" s="45"/>
      <c r="B46" s="45"/>
      <c r="C46" s="47"/>
      <c r="D46" s="47"/>
      <c r="E46" s="47"/>
      <c r="F46" s="47"/>
      <c r="G46" s="47"/>
      <c r="H46" s="227"/>
      <c r="I46" s="47"/>
      <c r="J46" s="47"/>
      <c r="K46" s="47"/>
      <c r="L46" s="364"/>
      <c r="M46" s="47"/>
      <c r="N46" s="47"/>
      <c r="O46" s="47"/>
      <c r="P46" s="48"/>
      <c r="Q46" s="49"/>
      <c r="R46" s="49"/>
      <c r="S46" s="50"/>
      <c r="T46" s="49"/>
      <c r="U46" s="50"/>
      <c r="V46" s="49"/>
      <c r="W46" s="49"/>
      <c r="X46" s="50"/>
      <c r="Y46" s="47"/>
      <c r="Z46" s="47"/>
      <c r="AA46" s="229"/>
      <c r="AB46" s="55"/>
      <c r="AC46" s="46"/>
      <c r="AD46" s="35"/>
      <c r="AE46" s="35"/>
      <c r="AF46" s="35"/>
      <c r="AG46" s="35"/>
    </row>
    <row r="47" spans="1:33" ht="12.75">
      <c r="A47" s="45"/>
      <c r="B47" s="45"/>
      <c r="C47" s="47"/>
      <c r="D47" s="47"/>
      <c r="E47" s="47"/>
      <c r="F47" s="47"/>
      <c r="G47" s="47"/>
      <c r="H47" s="227"/>
      <c r="I47" s="47"/>
      <c r="J47" s="47"/>
      <c r="K47" s="47"/>
      <c r="L47" s="364"/>
      <c r="M47" s="47"/>
      <c r="N47" s="47"/>
      <c r="O47" s="47"/>
      <c r="P47" s="48"/>
      <c r="Q47" s="49"/>
      <c r="R47" s="49"/>
      <c r="S47" s="50"/>
      <c r="T47" s="49"/>
      <c r="U47" s="50"/>
      <c r="V47" s="49"/>
      <c r="W47" s="49"/>
      <c r="X47" s="50"/>
      <c r="Y47" s="47"/>
      <c r="Z47" s="47"/>
      <c r="AA47" s="229"/>
      <c r="AB47" s="55"/>
      <c r="AC47" s="46"/>
      <c r="AD47" s="35"/>
      <c r="AE47" s="35"/>
      <c r="AF47" s="35"/>
      <c r="AG47" s="35"/>
    </row>
    <row r="48" spans="1:33" ht="12.75">
      <c r="A48" s="45"/>
      <c r="B48" s="45"/>
      <c r="C48" s="47"/>
      <c r="D48" s="47"/>
      <c r="E48" s="47"/>
      <c r="F48" s="47"/>
      <c r="G48" s="47"/>
      <c r="H48" s="227"/>
      <c r="I48" s="47"/>
      <c r="J48" s="47"/>
      <c r="K48" s="47"/>
      <c r="L48" s="364"/>
      <c r="M48" s="47"/>
      <c r="N48" s="47"/>
      <c r="O48" s="47"/>
      <c r="P48" s="48"/>
      <c r="Q48" s="49"/>
      <c r="R48" s="49"/>
      <c r="S48" s="50"/>
      <c r="T48" s="49"/>
      <c r="U48" s="50"/>
      <c r="V48" s="49"/>
      <c r="W48" s="49"/>
      <c r="X48" s="50"/>
      <c r="Y48" s="47"/>
      <c r="Z48" s="47"/>
      <c r="AA48" s="229"/>
      <c r="AB48" s="55"/>
      <c r="AC48" s="46"/>
      <c r="AD48" s="35"/>
      <c r="AE48" s="35"/>
      <c r="AF48" s="35"/>
      <c r="AG48" s="35"/>
    </row>
    <row r="49" spans="1:33" ht="12.75">
      <c r="A49" s="45"/>
      <c r="B49" s="45"/>
      <c r="C49" s="47"/>
      <c r="D49" s="47"/>
      <c r="E49" s="47"/>
      <c r="F49" s="47"/>
      <c r="G49" s="47"/>
      <c r="H49" s="227"/>
      <c r="I49" s="47"/>
      <c r="J49" s="47"/>
      <c r="K49" s="47"/>
      <c r="L49" s="364"/>
      <c r="M49" s="47"/>
      <c r="N49" s="47"/>
      <c r="O49" s="47"/>
      <c r="P49" s="48"/>
      <c r="Q49" s="49"/>
      <c r="R49" s="49"/>
      <c r="S49" s="50"/>
      <c r="T49" s="49"/>
      <c r="U49" s="50"/>
      <c r="V49" s="49"/>
      <c r="W49" s="49"/>
      <c r="X49" s="50"/>
      <c r="Y49" s="47"/>
      <c r="Z49" s="47"/>
      <c r="AA49" s="229"/>
      <c r="AB49" s="55"/>
      <c r="AC49" s="46"/>
      <c r="AD49" s="35"/>
      <c r="AE49" s="35"/>
      <c r="AF49" s="35"/>
      <c r="AG49" s="35"/>
    </row>
    <row r="50" spans="1:33" ht="12.75">
      <c r="A50" s="45"/>
      <c r="B50" s="45"/>
      <c r="C50" s="47"/>
      <c r="D50" s="47"/>
      <c r="E50" s="47"/>
      <c r="F50" s="47"/>
      <c r="G50" s="47"/>
      <c r="H50" s="227"/>
      <c r="I50" s="47"/>
      <c r="J50" s="47"/>
      <c r="K50" s="47"/>
      <c r="L50" s="364"/>
      <c r="M50" s="47"/>
      <c r="N50" s="47"/>
      <c r="O50" s="47"/>
      <c r="P50" s="48"/>
      <c r="Q50" s="49"/>
      <c r="R50" s="49"/>
      <c r="S50" s="50"/>
      <c r="T50" s="49"/>
      <c r="U50" s="50"/>
      <c r="V50" s="49"/>
      <c r="W50" s="49"/>
      <c r="X50" s="50"/>
      <c r="Y50" s="47"/>
      <c r="Z50" s="47"/>
      <c r="AA50" s="229"/>
      <c r="AB50" s="55"/>
      <c r="AC50" s="46"/>
      <c r="AD50" s="35"/>
      <c r="AE50" s="35"/>
      <c r="AF50" s="35"/>
      <c r="AG50" s="35"/>
    </row>
    <row r="51" spans="1:33" ht="12.75">
      <c r="A51" s="45"/>
      <c r="B51" s="45"/>
      <c r="C51" s="47"/>
      <c r="D51" s="47"/>
      <c r="E51" s="47"/>
      <c r="F51" s="47"/>
      <c r="G51" s="47"/>
      <c r="H51" s="227"/>
      <c r="I51" s="47"/>
      <c r="J51" s="47"/>
      <c r="K51" s="47"/>
      <c r="L51" s="364"/>
      <c r="M51" s="47"/>
      <c r="N51" s="47"/>
      <c r="O51" s="47"/>
      <c r="P51" s="48"/>
      <c r="Q51" s="49"/>
      <c r="R51" s="49"/>
      <c r="S51" s="50"/>
      <c r="T51" s="49"/>
      <c r="U51" s="50"/>
      <c r="V51" s="49"/>
      <c r="W51" s="49"/>
      <c r="X51" s="50"/>
      <c r="Y51" s="47"/>
      <c r="Z51" s="47"/>
      <c r="AA51" s="229"/>
      <c r="AB51" s="55"/>
      <c r="AC51" s="46"/>
      <c r="AD51" s="35"/>
      <c r="AE51" s="35"/>
      <c r="AF51" s="35"/>
      <c r="AG51" s="35"/>
    </row>
    <row r="52" spans="1:57" ht="12.75">
      <c r="A52" s="61"/>
      <c r="B52" s="61"/>
      <c r="C52" s="62"/>
      <c r="D52" s="62"/>
      <c r="E52" s="62"/>
      <c r="F52" s="62"/>
      <c r="G52" s="63"/>
      <c r="H52" s="270"/>
      <c r="I52" s="63"/>
      <c r="J52" s="63"/>
      <c r="K52" s="63"/>
      <c r="L52" s="367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229"/>
      <c r="AB52" s="55"/>
      <c r="AC52" s="46"/>
      <c r="AD52" s="35"/>
      <c r="AE52" s="35"/>
      <c r="AF52" s="35"/>
      <c r="AG52" s="35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5.75">
      <c r="A53" s="87" t="s">
        <v>20</v>
      </c>
      <c r="B53" s="87" t="s">
        <v>176</v>
      </c>
      <c r="C53" s="47"/>
      <c r="D53" s="47"/>
      <c r="E53" s="47"/>
      <c r="F53" s="47"/>
      <c r="G53" s="47"/>
      <c r="H53" s="227"/>
      <c r="I53" s="47"/>
      <c r="J53" s="47"/>
      <c r="K53" s="47"/>
      <c r="L53" s="364"/>
      <c r="M53" s="47"/>
      <c r="N53" s="47"/>
      <c r="O53" s="47"/>
      <c r="P53" s="48"/>
      <c r="Q53" s="49"/>
      <c r="R53" s="49"/>
      <c r="S53" s="50"/>
      <c r="T53" s="49"/>
      <c r="U53" s="50"/>
      <c r="V53" s="49"/>
      <c r="W53" s="49"/>
      <c r="X53" s="50"/>
      <c r="Y53" s="90">
        <f>+Y54</f>
        <v>72012662.64669874</v>
      </c>
      <c r="Z53" s="47"/>
      <c r="AA53" s="229"/>
      <c r="AB53" s="55"/>
      <c r="AC53" s="46"/>
      <c r="AD53" s="35"/>
      <c r="AE53" s="35"/>
      <c r="AF53" s="35"/>
      <c r="AG53" s="35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2.75">
      <c r="A54" s="92" t="s">
        <v>295</v>
      </c>
      <c r="B54" s="92"/>
      <c r="C54" s="59">
        <f>SUM(C55:C59)</f>
        <v>5</v>
      </c>
      <c r="D54" s="59"/>
      <c r="E54" s="59"/>
      <c r="F54" s="59"/>
      <c r="G54" s="93">
        <f>SUM(G56:G59)</f>
        <v>0</v>
      </c>
      <c r="H54" s="238">
        <f aca="true" t="shared" si="38" ref="H54:Z54">SUM(H55:H59)</f>
        <v>14663088.017000003</v>
      </c>
      <c r="I54" s="238">
        <f t="shared" si="38"/>
        <v>67800</v>
      </c>
      <c r="J54" s="238">
        <f t="shared" si="38"/>
        <v>16941018.017</v>
      </c>
      <c r="K54" s="94">
        <f t="shared" si="38"/>
        <v>51387754.65156667</v>
      </c>
      <c r="L54" s="370">
        <f t="shared" si="38"/>
        <v>2420073.7209638893</v>
      </c>
      <c r="M54" s="94">
        <f t="shared" si="38"/>
        <v>290408.8465156667</v>
      </c>
      <c r="N54" s="94">
        <f t="shared" si="38"/>
        <v>2420073.7209638893</v>
      </c>
      <c r="O54" s="94">
        <f t="shared" si="38"/>
        <v>2141156.443815278</v>
      </c>
      <c r="P54" s="94">
        <f t="shared" si="38"/>
        <v>1246362.4814450003</v>
      </c>
      <c r="Q54" s="94">
        <f t="shared" si="38"/>
        <v>1759570.5620400002</v>
      </c>
      <c r="R54" s="94">
        <f t="shared" si="38"/>
        <v>76541.31944873999</v>
      </c>
      <c r="S54" s="94">
        <f t="shared" si="38"/>
        <v>9350172.234232346</v>
      </c>
      <c r="T54" s="94">
        <f t="shared" si="38"/>
        <v>586523.5206800001</v>
      </c>
      <c r="U54" s="94">
        <f t="shared" si="38"/>
        <v>1779121.346062667</v>
      </c>
      <c r="V54" s="94">
        <f t="shared" si="38"/>
        <v>439892.64051000006</v>
      </c>
      <c r="W54" s="94">
        <f t="shared" si="38"/>
        <v>293261.76034000004</v>
      </c>
      <c r="X54" s="94">
        <f t="shared" si="38"/>
        <v>2223901.6825783337</v>
      </c>
      <c r="Y54" s="329">
        <f t="shared" si="38"/>
        <v>72012662.64669874</v>
      </c>
      <c r="Z54" s="94">
        <f t="shared" si="38"/>
        <v>6001055.220558229</v>
      </c>
      <c r="AA54" s="231"/>
      <c r="AB54" s="55"/>
      <c r="AC54" s="46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33" ht="14.25">
      <c r="A55" s="159" t="s">
        <v>99</v>
      </c>
      <c r="B55" s="51" t="s">
        <v>184</v>
      </c>
      <c r="C55" s="52">
        <v>1</v>
      </c>
      <c r="D55" s="105">
        <v>40909</v>
      </c>
      <c r="E55" s="105">
        <v>40999</v>
      </c>
      <c r="F55" s="104">
        <f>DAYS360(D55,E55,0)+1</f>
        <v>91</v>
      </c>
      <c r="G55" s="54">
        <f>+$E$7*13</f>
        <v>7367100</v>
      </c>
      <c r="H55" s="54">
        <f>+G55*70%</f>
        <v>5156970</v>
      </c>
      <c r="I55" s="54">
        <v>0</v>
      </c>
      <c r="J55" s="54">
        <f>G55</f>
        <v>7367100</v>
      </c>
      <c r="K55" s="54">
        <f>+J55/30*F55</f>
        <v>22346870</v>
      </c>
      <c r="L55" s="366">
        <v>0</v>
      </c>
      <c r="M55" s="54">
        <f>+L55*12%</f>
        <v>0</v>
      </c>
      <c r="N55" s="54">
        <v>0</v>
      </c>
      <c r="O55" s="366">
        <f>+J55*F55/720</f>
        <v>931119.5833333334</v>
      </c>
      <c r="P55" s="54">
        <f>+H55*0.085</f>
        <v>438342.45</v>
      </c>
      <c r="Q55" s="54">
        <f>+H55*12%</f>
        <v>618836.4</v>
      </c>
      <c r="R55" s="54">
        <f>+H55*0.522%</f>
        <v>26919.3834</v>
      </c>
      <c r="S55" s="54">
        <f>+((P55+Q55+R55)/30*F55)</f>
        <v>3288431.30798</v>
      </c>
      <c r="T55" s="54">
        <f>+H55*0.04</f>
        <v>206278.80000000002</v>
      </c>
      <c r="U55" s="54">
        <f>+(T55/30)*F55</f>
        <v>625712.3600000001</v>
      </c>
      <c r="V55" s="54">
        <f>+H55*0.03</f>
        <v>154709.1</v>
      </c>
      <c r="W55" s="54">
        <f>+H55*0.02</f>
        <v>103139.40000000001</v>
      </c>
      <c r="X55" s="54">
        <f>+((V55+W55)/30*F55)</f>
        <v>782140.4500000001</v>
      </c>
      <c r="Y55" s="331">
        <f>K55+L55+M55+N55+O55+S55+U55+X55</f>
        <v>27974273.70131333</v>
      </c>
      <c r="Z55" s="54">
        <f>+Y55/12</f>
        <v>2331189.4751094445</v>
      </c>
      <c r="AA55" s="229"/>
      <c r="AB55" s="56"/>
      <c r="AC55" s="46"/>
      <c r="AD55" s="35"/>
      <c r="AE55" s="35"/>
      <c r="AF55" s="35"/>
      <c r="AG55" s="35"/>
    </row>
    <row r="56" spans="1:57" ht="14.25">
      <c r="A56" s="159" t="s">
        <v>158</v>
      </c>
      <c r="B56" s="51" t="s">
        <v>185</v>
      </c>
      <c r="C56" s="52">
        <v>1</v>
      </c>
      <c r="D56" s="105">
        <v>40909</v>
      </c>
      <c r="E56" s="105">
        <v>40999</v>
      </c>
      <c r="F56" s="104">
        <f>DAYS360(D56,E56,0)+1</f>
        <v>91</v>
      </c>
      <c r="G56" s="54"/>
      <c r="H56" s="54">
        <f>3569101*(1+$C$8)</f>
        <v>3702228.4673000006</v>
      </c>
      <c r="I56" s="54">
        <v>0</v>
      </c>
      <c r="J56" s="54">
        <f>+I56+H56</f>
        <v>3702228.4673000006</v>
      </c>
      <c r="K56" s="54">
        <f>+J56/30*F56</f>
        <v>11230093.017476669</v>
      </c>
      <c r="L56" s="366">
        <f>+J56*F56/360</f>
        <v>935841.0847897223</v>
      </c>
      <c r="M56" s="54">
        <f>+L56*12%</f>
        <v>112300.93017476668</v>
      </c>
      <c r="N56" s="54">
        <f>+L56</f>
        <v>935841.0847897223</v>
      </c>
      <c r="O56" s="366">
        <f>+J56*F56/720</f>
        <v>467920.5423948612</v>
      </c>
      <c r="P56" s="54">
        <f>+H56*0.085</f>
        <v>314689.41972050007</v>
      </c>
      <c r="Q56" s="54">
        <f>+H56*12%</f>
        <v>444267.4160760001</v>
      </c>
      <c r="R56" s="54">
        <f>+H56*0.522%</f>
        <v>19325.632599306</v>
      </c>
      <c r="S56" s="54">
        <f>+((P56+Q56+R56)/30*F56)</f>
        <v>2360790.1541339452</v>
      </c>
      <c r="T56" s="54">
        <f>+H56*0.04</f>
        <v>148089.13869200004</v>
      </c>
      <c r="U56" s="54">
        <f>+(T56/30)*F56</f>
        <v>449203.72069906676</v>
      </c>
      <c r="V56" s="54">
        <f>+H56*0.03</f>
        <v>111066.85401900002</v>
      </c>
      <c r="W56" s="54">
        <f>+H56*0.02</f>
        <v>74044.56934600002</v>
      </c>
      <c r="X56" s="54">
        <f>+((V56+W56)/30*F56)</f>
        <v>561504.6508738335</v>
      </c>
      <c r="Y56" s="331">
        <f>K56+L56+M56+N56+O56+S56+U56+X56</f>
        <v>17053495.18533259</v>
      </c>
      <c r="Z56" s="54">
        <f>+Y56/12</f>
        <v>1421124.5987777158</v>
      </c>
      <c r="AA56" s="232"/>
      <c r="AB56" s="178"/>
      <c r="AC56" s="57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4.25">
      <c r="A57" s="325" t="s">
        <v>374</v>
      </c>
      <c r="B57" s="51" t="s">
        <v>185</v>
      </c>
      <c r="C57" s="52">
        <v>1</v>
      </c>
      <c r="D57" s="105">
        <v>40909</v>
      </c>
      <c r="E57" s="105">
        <v>40999</v>
      </c>
      <c r="F57" s="104">
        <f>DAYS360(D57,E57,0)+1</f>
        <v>91</v>
      </c>
      <c r="G57" s="54"/>
      <c r="H57" s="54">
        <f>3569101*(1+$C$8)</f>
        <v>3702228.4673000006</v>
      </c>
      <c r="I57" s="54"/>
      <c r="J57" s="54">
        <f>+I57+H57</f>
        <v>3702228.4673000006</v>
      </c>
      <c r="K57" s="54">
        <f>+J57/30*F57</f>
        <v>11230093.017476669</v>
      </c>
      <c r="L57" s="366">
        <f>+J57*F57/360</f>
        <v>935841.0847897223</v>
      </c>
      <c r="M57" s="54">
        <f>+L57*12%</f>
        <v>112300.93017476668</v>
      </c>
      <c r="N57" s="54">
        <f>+L57</f>
        <v>935841.0847897223</v>
      </c>
      <c r="O57" s="366">
        <f>+J57*F57/720</f>
        <v>467920.5423948612</v>
      </c>
      <c r="P57" s="54">
        <f>+H57*0.085</f>
        <v>314689.41972050007</v>
      </c>
      <c r="Q57" s="54">
        <f>+H57*12%</f>
        <v>444267.4160760001</v>
      </c>
      <c r="R57" s="54">
        <f>+H57*0.522%</f>
        <v>19325.632599306</v>
      </c>
      <c r="S57" s="54">
        <f>+((P57+Q57+R57)/30*F57)</f>
        <v>2360790.1541339452</v>
      </c>
      <c r="T57" s="54">
        <f>+H57*0.04</f>
        <v>148089.13869200004</v>
      </c>
      <c r="U57" s="54">
        <f>+(T57/30)*F57</f>
        <v>449203.72069906676</v>
      </c>
      <c r="V57" s="54">
        <f>+H57*0.03</f>
        <v>111066.85401900002</v>
      </c>
      <c r="W57" s="54">
        <f>+H57*0.02</f>
        <v>74044.56934600002</v>
      </c>
      <c r="X57" s="54">
        <f>+((V57+W57)/30*F57)</f>
        <v>561504.6508738335</v>
      </c>
      <c r="Y57" s="331">
        <f>K57+L57+M57+N57+O57+S57+U57+X57</f>
        <v>17053495.18533259</v>
      </c>
      <c r="Z57" s="54">
        <f>+Y57/12</f>
        <v>1421124.5987777158</v>
      </c>
      <c r="AA57" s="232"/>
      <c r="AB57" s="46"/>
      <c r="AC57" s="126"/>
      <c r="AD57" s="14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33" ht="14.25">
      <c r="A58" s="164" t="s">
        <v>234</v>
      </c>
      <c r="B58" s="143" t="s">
        <v>177</v>
      </c>
      <c r="C58" s="52">
        <v>1</v>
      </c>
      <c r="D58" s="105">
        <v>40909</v>
      </c>
      <c r="E58" s="105">
        <v>40999</v>
      </c>
      <c r="F58" s="104">
        <f>DAYS360(D58,E58,0)+1</f>
        <v>91</v>
      </c>
      <c r="G58" s="54"/>
      <c r="H58" s="54">
        <f>1296447*(1+$C$8)</f>
        <v>1344804.4731</v>
      </c>
      <c r="I58" s="54">
        <v>0</v>
      </c>
      <c r="J58" s="54">
        <f>+I58+H58</f>
        <v>1344804.4731</v>
      </c>
      <c r="K58" s="54">
        <f>+J58/30*F58</f>
        <v>4079240.23507</v>
      </c>
      <c r="L58" s="366">
        <f>+J58*F58/360</f>
        <v>339936.68625583337</v>
      </c>
      <c r="M58" s="54">
        <f>+L58*12%</f>
        <v>40792.4023507</v>
      </c>
      <c r="N58" s="54">
        <f>+L58</f>
        <v>339936.68625583337</v>
      </c>
      <c r="O58" s="366">
        <f>+J58*F58/720</f>
        <v>169968.34312791668</v>
      </c>
      <c r="P58" s="54">
        <f>+H58*0.085</f>
        <v>114308.38021350002</v>
      </c>
      <c r="Q58" s="54">
        <f>+H58*12%</f>
        <v>161376.536772</v>
      </c>
      <c r="R58" s="54">
        <f>+H58*0.522%</f>
        <v>7019.879349582</v>
      </c>
      <c r="S58" s="54">
        <f>+((P58+Q58+R58)/30*F58)</f>
        <v>857537.8822164155</v>
      </c>
      <c r="T58" s="54">
        <f>+H58*0.04</f>
        <v>53792.17892400001</v>
      </c>
      <c r="U58" s="54">
        <f>+(T58/30)*F58</f>
        <v>163169.60940280004</v>
      </c>
      <c r="V58" s="54">
        <f>+H58*0.03</f>
        <v>40344.134193</v>
      </c>
      <c r="W58" s="54">
        <f>+H58*0.02</f>
        <v>26896.089462000004</v>
      </c>
      <c r="X58" s="54">
        <f>+((V58+W58)/30*F58)</f>
        <v>203962.0117535</v>
      </c>
      <c r="Y58" s="331">
        <f>K58+L58+M58+N58+O58+S58+U58+X58</f>
        <v>6194543.8564329995</v>
      </c>
      <c r="Z58" s="54">
        <f>+Y58/12</f>
        <v>516211.9880360833</v>
      </c>
      <c r="AA58" s="229"/>
      <c r="AB58" s="55"/>
      <c r="AC58" s="46"/>
      <c r="AD58" s="35"/>
      <c r="AE58" s="35"/>
      <c r="AF58" s="35"/>
      <c r="AG58" s="35"/>
    </row>
    <row r="59" spans="1:57" ht="14.25">
      <c r="A59" s="51" t="s">
        <v>12</v>
      </c>
      <c r="B59" s="51" t="s">
        <v>178</v>
      </c>
      <c r="C59" s="52">
        <v>1</v>
      </c>
      <c r="D59" s="105">
        <v>40909</v>
      </c>
      <c r="E59" s="105">
        <v>40999</v>
      </c>
      <c r="F59" s="104">
        <f>DAYS360(D59,E59,0)+1</f>
        <v>91</v>
      </c>
      <c r="G59" s="52"/>
      <c r="H59" s="54">
        <f>729641*(1+$C$8)</f>
        <v>756856.6093000001</v>
      </c>
      <c r="I59" s="54">
        <f>+E8</f>
        <v>67800</v>
      </c>
      <c r="J59" s="54">
        <f>+I59+H59</f>
        <v>824656.6093000001</v>
      </c>
      <c r="K59" s="54">
        <f>+J59/30*F59</f>
        <v>2501458.3815433336</v>
      </c>
      <c r="L59" s="366">
        <f>+J59*F59/360</f>
        <v>208454.86512861116</v>
      </c>
      <c r="M59" s="54">
        <f>+L59*12%</f>
        <v>25014.58381543334</v>
      </c>
      <c r="N59" s="54">
        <f>+L59</f>
        <v>208454.86512861116</v>
      </c>
      <c r="O59" s="366">
        <f>+J59*F59/720</f>
        <v>104227.43256430558</v>
      </c>
      <c r="P59" s="54">
        <f>+H59*0.085</f>
        <v>64332.81179050002</v>
      </c>
      <c r="Q59" s="54">
        <f>+H59*12%</f>
        <v>90822.79311600002</v>
      </c>
      <c r="R59" s="54">
        <f>+H59*0.522%</f>
        <v>3950.7915005460004</v>
      </c>
      <c r="S59" s="54">
        <f>+((P59+Q59+R59)/30*F59)</f>
        <v>482622.73576803965</v>
      </c>
      <c r="T59" s="54">
        <f>+H59*0.04</f>
        <v>30274.264372000005</v>
      </c>
      <c r="U59" s="54">
        <f>+(T59/30)*F59</f>
        <v>91831.93526173335</v>
      </c>
      <c r="V59" s="54">
        <f>+H59*0.03</f>
        <v>22705.698279000004</v>
      </c>
      <c r="W59" s="54">
        <f>+H59*0.02</f>
        <v>15137.132186000003</v>
      </c>
      <c r="X59" s="54">
        <f>+((V59+W59)/30*F59)</f>
        <v>114789.91907716669</v>
      </c>
      <c r="Y59" s="331">
        <f>K59+L59+M59+N59+O59+S59+U59+X59</f>
        <v>3736854.718287235</v>
      </c>
      <c r="Z59" s="54">
        <f>+Y59/12</f>
        <v>311404.5598572696</v>
      </c>
      <c r="AA59" s="232"/>
      <c r="AB59" s="46"/>
      <c r="AC59" s="44"/>
      <c r="AD59" s="14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ht="12.75">
      <c r="A60" s="61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367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232"/>
      <c r="AB60" s="46"/>
      <c r="AC60" s="44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12.75">
      <c r="A61" s="61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367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232"/>
      <c r="AB61" s="46"/>
      <c r="AC61" s="44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15.75">
      <c r="A62" s="87" t="s">
        <v>21</v>
      </c>
      <c r="B62" s="87" t="s">
        <v>176</v>
      </c>
      <c r="C62" s="42"/>
      <c r="D62" s="42"/>
      <c r="E62" s="42"/>
      <c r="F62" s="42"/>
      <c r="G62" s="44"/>
      <c r="H62" s="44"/>
      <c r="I62" s="44"/>
      <c r="J62" s="44"/>
      <c r="K62" s="44"/>
      <c r="L62" s="37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94">
        <f>+Y63</f>
        <v>69875880.5100034</v>
      </c>
      <c r="Z62" s="13"/>
      <c r="AA62" s="233"/>
      <c r="AB62" s="46"/>
      <c r="AC62" s="44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ht="12.75">
      <c r="A63" s="92" t="s">
        <v>296</v>
      </c>
      <c r="B63" s="92"/>
      <c r="C63" s="59">
        <f>SUM(C64:C70)</f>
        <v>5</v>
      </c>
      <c r="D63" s="59"/>
      <c r="E63" s="59"/>
      <c r="F63" s="59"/>
      <c r="G63" s="93">
        <f>SUM(G65:G77)</f>
        <v>22101300</v>
      </c>
      <c r="H63" s="94">
        <f>SUM(H64:H70)</f>
        <v>14199203.307800002</v>
      </c>
      <c r="I63" s="94">
        <f aca="true" t="shared" si="39" ref="I63:Y63">SUM(I64:I70)</f>
        <v>67800</v>
      </c>
      <c r="J63" s="94">
        <f t="shared" si="39"/>
        <v>16477133.307800002</v>
      </c>
      <c r="K63" s="94">
        <f t="shared" si="39"/>
        <v>49980637.70032667</v>
      </c>
      <c r="L63" s="370">
        <f t="shared" si="39"/>
        <v>2302813.9750272227</v>
      </c>
      <c r="M63" s="94">
        <f t="shared" si="39"/>
        <v>276337.6770032667</v>
      </c>
      <c r="N63" s="94">
        <f t="shared" si="39"/>
        <v>2302813.9750272227</v>
      </c>
      <c r="O63" s="370">
        <f t="shared" si="39"/>
        <v>2082526.5708469446</v>
      </c>
      <c r="P63" s="94">
        <f t="shared" si="39"/>
        <v>1206932.2811630003</v>
      </c>
      <c r="Q63" s="94">
        <f t="shared" si="39"/>
        <v>1703904.396936</v>
      </c>
      <c r="R63" s="94">
        <f t="shared" si="39"/>
        <v>74119.841266716</v>
      </c>
      <c r="S63" s="94">
        <f t="shared" si="39"/>
        <v>9054368.108742671</v>
      </c>
      <c r="T63" s="94">
        <f t="shared" si="39"/>
        <v>567968.132312</v>
      </c>
      <c r="U63" s="94">
        <f t="shared" si="39"/>
        <v>1722836.668013067</v>
      </c>
      <c r="V63" s="94">
        <f t="shared" si="39"/>
        <v>425976.099234</v>
      </c>
      <c r="W63" s="94">
        <f t="shared" si="39"/>
        <v>283984.066156</v>
      </c>
      <c r="X63" s="94">
        <f t="shared" si="39"/>
        <v>2153545.8350163335</v>
      </c>
      <c r="Y63" s="329">
        <f t="shared" si="39"/>
        <v>69875880.5100034</v>
      </c>
      <c r="Z63" s="94">
        <f>SUM(Z65:Z70)</f>
        <v>3491800.567390839</v>
      </c>
      <c r="AA63" s="231"/>
      <c r="AB63" s="46"/>
      <c r="AC63" s="44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ht="14.25">
      <c r="A64" s="152" t="s">
        <v>210</v>
      </c>
      <c r="B64" s="51" t="s">
        <v>184</v>
      </c>
      <c r="C64" s="52">
        <v>1</v>
      </c>
      <c r="D64" s="105">
        <v>40909</v>
      </c>
      <c r="E64" s="105">
        <v>40999</v>
      </c>
      <c r="F64" s="104">
        <f aca="true" t="shared" si="40" ref="F64:F69">DAYS360(D64,E64,0)+1</f>
        <v>91</v>
      </c>
      <c r="G64" s="54">
        <f>+$E$7*13</f>
        <v>7367100</v>
      </c>
      <c r="H64" s="54">
        <f>+G64*70%</f>
        <v>5156970</v>
      </c>
      <c r="I64" s="54">
        <v>0</v>
      </c>
      <c r="J64" s="54">
        <f>G64</f>
        <v>7367100</v>
      </c>
      <c r="K64" s="54">
        <f aca="true" t="shared" si="41" ref="K64:K69">+J64/30*F64</f>
        <v>22346870</v>
      </c>
      <c r="L64" s="366">
        <v>0</v>
      </c>
      <c r="M64" s="54">
        <f aca="true" t="shared" si="42" ref="M64:M69">+L64*12%</f>
        <v>0</v>
      </c>
      <c r="N64" s="54">
        <v>0</v>
      </c>
      <c r="O64" s="366">
        <f aca="true" t="shared" si="43" ref="O64:O69">+J64*F64/720</f>
        <v>931119.5833333334</v>
      </c>
      <c r="P64" s="54">
        <f aca="true" t="shared" si="44" ref="P64:P69">+H64*0.085</f>
        <v>438342.45</v>
      </c>
      <c r="Q64" s="54">
        <f aca="true" t="shared" si="45" ref="Q64:Q69">+H64*12%</f>
        <v>618836.4</v>
      </c>
      <c r="R64" s="54">
        <f aca="true" t="shared" si="46" ref="R64:R69">+H64*0.522%</f>
        <v>26919.3834</v>
      </c>
      <c r="S64" s="54">
        <f aca="true" t="shared" si="47" ref="S64:S69">+((P64+Q64+R64)/30*F64)</f>
        <v>3288431.30798</v>
      </c>
      <c r="T64" s="54">
        <f aca="true" t="shared" si="48" ref="T64:T69">+H64*0.04</f>
        <v>206278.80000000002</v>
      </c>
      <c r="U64" s="54">
        <f aca="true" t="shared" si="49" ref="U64:U69">+(T64/30)*F64</f>
        <v>625712.3600000001</v>
      </c>
      <c r="V64" s="54">
        <f aca="true" t="shared" si="50" ref="V64:V69">+H64*0.03</f>
        <v>154709.1</v>
      </c>
      <c r="W64" s="54">
        <f aca="true" t="shared" si="51" ref="W64:W69">+H64*0.02</f>
        <v>103139.40000000001</v>
      </c>
      <c r="X64" s="54">
        <f aca="true" t="shared" si="52" ref="X64:X69">+((V64+W64)/30*F64)</f>
        <v>782140.4500000001</v>
      </c>
      <c r="Y64" s="331">
        <f aca="true" t="shared" si="53" ref="Y64:Y69">K64+L64+M64+N64+O64+S64+U64+X64</f>
        <v>27974273.70131333</v>
      </c>
      <c r="Z64" s="54">
        <f aca="true" t="shared" si="54" ref="Z64:Z69">+Y64/12</f>
        <v>2331189.4751094445</v>
      </c>
      <c r="AA64" s="231"/>
      <c r="AB64" s="46"/>
      <c r="AC64" s="44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ht="14.25">
      <c r="A65" s="51" t="s">
        <v>147</v>
      </c>
      <c r="B65" s="51" t="s">
        <v>185</v>
      </c>
      <c r="C65" s="52">
        <v>1</v>
      </c>
      <c r="D65" s="105">
        <v>40909</v>
      </c>
      <c r="E65" s="105">
        <v>40999</v>
      </c>
      <c r="F65" s="104">
        <f t="shared" si="40"/>
        <v>91</v>
      </c>
      <c r="G65" s="54"/>
      <c r="H65" s="54">
        <f>3569101*(1+$C$8)</f>
        <v>3702228.4673000006</v>
      </c>
      <c r="I65" s="54">
        <v>0</v>
      </c>
      <c r="J65" s="54">
        <f>+I65+H65</f>
        <v>3702228.4673000006</v>
      </c>
      <c r="K65" s="54">
        <f t="shared" si="41"/>
        <v>11230093.017476669</v>
      </c>
      <c r="L65" s="366">
        <f>+J65*F65/360</f>
        <v>935841.0847897223</v>
      </c>
      <c r="M65" s="54">
        <f t="shared" si="42"/>
        <v>112300.93017476668</v>
      </c>
      <c r="N65" s="54">
        <f>+L65</f>
        <v>935841.0847897223</v>
      </c>
      <c r="O65" s="366">
        <f t="shared" si="43"/>
        <v>467920.5423948612</v>
      </c>
      <c r="P65" s="54">
        <f t="shared" si="44"/>
        <v>314689.41972050007</v>
      </c>
      <c r="Q65" s="54">
        <f t="shared" si="45"/>
        <v>444267.4160760001</v>
      </c>
      <c r="R65" s="54">
        <f t="shared" si="46"/>
        <v>19325.632599306</v>
      </c>
      <c r="S65" s="54">
        <f t="shared" si="47"/>
        <v>2360790.1541339452</v>
      </c>
      <c r="T65" s="54">
        <f t="shared" si="48"/>
        <v>148089.13869200004</v>
      </c>
      <c r="U65" s="54">
        <f t="shared" si="49"/>
        <v>449203.72069906676</v>
      </c>
      <c r="V65" s="54">
        <f t="shared" si="50"/>
        <v>111066.85401900002</v>
      </c>
      <c r="W65" s="54">
        <f t="shared" si="51"/>
        <v>74044.56934600002</v>
      </c>
      <c r="X65" s="54">
        <f t="shared" si="52"/>
        <v>561504.6508738335</v>
      </c>
      <c r="Y65" s="331">
        <f t="shared" si="53"/>
        <v>17053495.18533259</v>
      </c>
      <c r="Z65" s="54">
        <f t="shared" si="54"/>
        <v>1421124.5987777158</v>
      </c>
      <c r="AA65" s="232"/>
      <c r="AB65" s="179"/>
      <c r="AC65" s="44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ht="14.25">
      <c r="A66" s="51" t="s">
        <v>171</v>
      </c>
      <c r="B66" s="51" t="s">
        <v>181</v>
      </c>
      <c r="C66" s="52">
        <v>1</v>
      </c>
      <c r="D66" s="105">
        <v>40909</v>
      </c>
      <c r="E66" s="105">
        <v>40999</v>
      </c>
      <c r="F66" s="104">
        <f t="shared" si="40"/>
        <v>91</v>
      </c>
      <c r="G66" s="54"/>
      <c r="H66" s="54">
        <f>2888729*(1+$C$8)</f>
        <v>2996478.5917</v>
      </c>
      <c r="I66" s="54"/>
      <c r="J66" s="54">
        <f>+I66+H66</f>
        <v>2996478.5917</v>
      </c>
      <c r="K66" s="54">
        <f t="shared" si="41"/>
        <v>9089318.394823333</v>
      </c>
      <c r="L66" s="366">
        <f>+J66*F66/360</f>
        <v>757443.1995686112</v>
      </c>
      <c r="M66" s="54">
        <f t="shared" si="42"/>
        <v>90893.18394823335</v>
      </c>
      <c r="N66" s="54">
        <f>+L66</f>
        <v>757443.1995686112</v>
      </c>
      <c r="O66" s="366">
        <f t="shared" si="43"/>
        <v>378721.5997843056</v>
      </c>
      <c r="P66" s="54">
        <f t="shared" si="44"/>
        <v>254700.68029450002</v>
      </c>
      <c r="Q66" s="54">
        <f t="shared" si="45"/>
        <v>359577.431004</v>
      </c>
      <c r="R66" s="54">
        <f t="shared" si="46"/>
        <v>15641.618248674</v>
      </c>
      <c r="S66" s="54">
        <f t="shared" si="47"/>
        <v>1910756.5129597613</v>
      </c>
      <c r="T66" s="54">
        <f t="shared" si="48"/>
        <v>119859.143668</v>
      </c>
      <c r="U66" s="54">
        <f t="shared" si="49"/>
        <v>363572.7357929333</v>
      </c>
      <c r="V66" s="54">
        <f t="shared" si="50"/>
        <v>89894.357751</v>
      </c>
      <c r="W66" s="54">
        <f t="shared" si="51"/>
        <v>59929.571834</v>
      </c>
      <c r="X66" s="54">
        <f t="shared" si="52"/>
        <v>454465.9197411667</v>
      </c>
      <c r="Y66" s="331">
        <f t="shared" si="53"/>
        <v>13802614.746186955</v>
      </c>
      <c r="Z66" s="54">
        <f t="shared" si="54"/>
        <v>1150217.8955155795</v>
      </c>
      <c r="AA66" s="232"/>
      <c r="AB66" s="179"/>
      <c r="AC66" s="44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ht="14.25">
      <c r="A67" s="143" t="s">
        <v>241</v>
      </c>
      <c r="B67" s="51" t="s">
        <v>182</v>
      </c>
      <c r="C67" s="52">
        <v>1</v>
      </c>
      <c r="D67" s="105">
        <v>40909</v>
      </c>
      <c r="E67" s="105">
        <v>40999</v>
      </c>
      <c r="F67" s="104">
        <f>DAYS360(D67,E67,0)+1</f>
        <v>91</v>
      </c>
      <c r="G67" s="54"/>
      <c r="H67" s="54">
        <f>1529615*(1+$C$8)</f>
        <v>1586669.6395000003</v>
      </c>
      <c r="I67" s="54">
        <v>0</v>
      </c>
      <c r="J67" s="54">
        <f>+I67+H67</f>
        <v>1586669.6395000003</v>
      </c>
      <c r="K67" s="54">
        <f>+J67/30*F67</f>
        <v>4812897.906483334</v>
      </c>
      <c r="L67" s="366">
        <f>+J67*F67/360</f>
        <v>401074.8255402779</v>
      </c>
      <c r="M67" s="54">
        <f>+L67*12%</f>
        <v>48128.979064833344</v>
      </c>
      <c r="N67" s="54">
        <f>+L67</f>
        <v>401074.8255402779</v>
      </c>
      <c r="O67" s="366">
        <f t="shared" si="43"/>
        <v>200537.41277013894</v>
      </c>
      <c r="P67" s="54">
        <f>+H67*0.085</f>
        <v>134866.91935750004</v>
      </c>
      <c r="Q67" s="54">
        <f>+H67*12%</f>
        <v>190400.35674000002</v>
      </c>
      <c r="R67" s="54">
        <f>+H67*0.522%</f>
        <v>8282.41551819</v>
      </c>
      <c r="S67" s="54">
        <f>+((P67+Q67+R67)/30*F67)</f>
        <v>1011767.3979009264</v>
      </c>
      <c r="T67" s="54">
        <f>+H67*0.04</f>
        <v>63466.78558000001</v>
      </c>
      <c r="U67" s="54">
        <f>+(T67/30)*F67</f>
        <v>192515.91625933337</v>
      </c>
      <c r="V67" s="54">
        <f>+H67*0.03</f>
        <v>47600.089185000004</v>
      </c>
      <c r="W67" s="54">
        <f>+H67*0.02</f>
        <v>31733.392790000005</v>
      </c>
      <c r="X67" s="54">
        <f>+((V67+W67)/30*F67)</f>
        <v>240644.8953241667</v>
      </c>
      <c r="Y67" s="331">
        <f>K67+L67+M67+N67+O67+S67+U67+X67</f>
        <v>7308642.1588832885</v>
      </c>
      <c r="Z67" s="54">
        <f>+Y67/12</f>
        <v>609053.513240274</v>
      </c>
      <c r="AA67" s="232"/>
      <c r="AB67" s="179"/>
      <c r="AC67" s="44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ht="14.25">
      <c r="A68" s="325" t="s">
        <v>241</v>
      </c>
      <c r="B68" s="51" t="s">
        <v>182</v>
      </c>
      <c r="C68" s="52"/>
      <c r="D68" s="105"/>
      <c r="E68" s="105"/>
      <c r="F68" s="104"/>
      <c r="G68" s="54"/>
      <c r="H68" s="54"/>
      <c r="I68" s="54"/>
      <c r="J68" s="54"/>
      <c r="K68" s="54"/>
      <c r="L68" s="366"/>
      <c r="M68" s="54"/>
      <c r="N68" s="54"/>
      <c r="O68" s="366"/>
      <c r="P68" s="54"/>
      <c r="Q68" s="54"/>
      <c r="R68" s="54"/>
      <c r="S68" s="54"/>
      <c r="T68" s="54"/>
      <c r="U68" s="54"/>
      <c r="V68" s="54"/>
      <c r="W68" s="54"/>
      <c r="X68" s="54"/>
      <c r="Y68" s="331"/>
      <c r="Z68" s="54"/>
      <c r="AA68" s="232"/>
      <c r="AB68" s="179"/>
      <c r="AC68" s="44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ht="14.25">
      <c r="A69" s="159" t="s">
        <v>12</v>
      </c>
      <c r="B69" s="51" t="s">
        <v>178</v>
      </c>
      <c r="C69" s="52">
        <v>1</v>
      </c>
      <c r="D69" s="105">
        <v>40909</v>
      </c>
      <c r="E69" s="105">
        <v>40999</v>
      </c>
      <c r="F69" s="104">
        <f t="shared" si="40"/>
        <v>91</v>
      </c>
      <c r="G69" s="52"/>
      <c r="H69" s="54">
        <f>729641*(1+$C$8)</f>
        <v>756856.6093000001</v>
      </c>
      <c r="I69" s="54">
        <f>+E8</f>
        <v>67800</v>
      </c>
      <c r="J69" s="54">
        <f>+I69+H69</f>
        <v>824656.6093000001</v>
      </c>
      <c r="K69" s="54">
        <f t="shared" si="41"/>
        <v>2501458.3815433336</v>
      </c>
      <c r="L69" s="366">
        <f>+J69*F69/360</f>
        <v>208454.86512861116</v>
      </c>
      <c r="M69" s="54">
        <f t="shared" si="42"/>
        <v>25014.58381543334</v>
      </c>
      <c r="N69" s="54">
        <f>+L69</f>
        <v>208454.86512861116</v>
      </c>
      <c r="O69" s="366">
        <f t="shared" si="43"/>
        <v>104227.43256430558</v>
      </c>
      <c r="P69" s="54">
        <f t="shared" si="44"/>
        <v>64332.81179050002</v>
      </c>
      <c r="Q69" s="54">
        <f t="shared" si="45"/>
        <v>90822.79311600002</v>
      </c>
      <c r="R69" s="54">
        <f t="shared" si="46"/>
        <v>3950.7915005460004</v>
      </c>
      <c r="S69" s="54">
        <f t="shared" si="47"/>
        <v>482622.73576803965</v>
      </c>
      <c r="T69" s="54">
        <f t="shared" si="48"/>
        <v>30274.264372000005</v>
      </c>
      <c r="U69" s="54">
        <f t="shared" si="49"/>
        <v>91831.93526173335</v>
      </c>
      <c r="V69" s="54">
        <f t="shared" si="50"/>
        <v>22705.698279000004</v>
      </c>
      <c r="W69" s="54">
        <f t="shared" si="51"/>
        <v>15137.132186000003</v>
      </c>
      <c r="X69" s="54">
        <f t="shared" si="52"/>
        <v>114789.91907716669</v>
      </c>
      <c r="Y69" s="331">
        <f t="shared" si="53"/>
        <v>3736854.718287235</v>
      </c>
      <c r="Z69" s="54">
        <f t="shared" si="54"/>
        <v>311404.5598572696</v>
      </c>
      <c r="AA69" s="232"/>
      <c r="AB69" s="179"/>
      <c r="AC69" s="44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ht="12.75">
      <c r="A70" s="61"/>
      <c r="B70" s="61"/>
      <c r="C70" s="62"/>
      <c r="D70" s="62"/>
      <c r="E70" s="62"/>
      <c r="F70" s="62"/>
      <c r="G70" s="62"/>
      <c r="H70" s="62"/>
      <c r="I70" s="62"/>
      <c r="J70" s="62"/>
      <c r="K70" s="63"/>
      <c r="L70" s="367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232"/>
      <c r="AB70" s="46"/>
      <c r="AC70" s="44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ht="12.75">
      <c r="A71" s="61"/>
      <c r="B71" s="61"/>
      <c r="C71" s="62"/>
      <c r="D71" s="62"/>
      <c r="E71" s="62"/>
      <c r="F71" s="62"/>
      <c r="G71" s="62"/>
      <c r="H71" s="62"/>
      <c r="I71" s="62"/>
      <c r="J71" s="62"/>
      <c r="K71" s="63"/>
      <c r="L71" s="367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232"/>
      <c r="AB71" s="46"/>
      <c r="AC71" s="44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ht="15.75">
      <c r="A72" s="87" t="s">
        <v>353</v>
      </c>
      <c r="B72" s="87" t="s">
        <v>176</v>
      </c>
      <c r="C72" s="42"/>
      <c r="D72" s="42"/>
      <c r="E72" s="42"/>
      <c r="F72" s="42"/>
      <c r="G72" s="44"/>
      <c r="H72" s="44"/>
      <c r="I72" s="44"/>
      <c r="J72" s="44"/>
      <c r="K72" s="44"/>
      <c r="L72" s="37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94">
        <f>+Y73</f>
        <v>26156109.948214453</v>
      </c>
      <c r="Z72" s="13"/>
      <c r="AA72" s="233"/>
      <c r="AB72" s="46"/>
      <c r="AC72" s="44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12.75">
      <c r="A73" s="92" t="s">
        <v>310</v>
      </c>
      <c r="B73" s="92"/>
      <c r="C73" s="59">
        <f>SUM(C74:C77)</f>
        <v>3</v>
      </c>
      <c r="D73" s="59"/>
      <c r="E73" s="59"/>
      <c r="F73" s="59"/>
      <c r="G73" s="93">
        <f>SUM(G76:G86)</f>
        <v>14734200</v>
      </c>
      <c r="H73" s="94">
        <f>SUM(H74:H77)</f>
        <v>7500496.2488</v>
      </c>
      <c r="I73" s="94">
        <f aca="true" t="shared" si="55" ref="I73:X73">SUM(I74:I77)</f>
        <v>67800</v>
      </c>
      <c r="J73" s="94">
        <f t="shared" si="55"/>
        <v>9778426.2488</v>
      </c>
      <c r="K73" s="94">
        <f t="shared" si="55"/>
        <v>19882800.039226666</v>
      </c>
      <c r="L73" s="370">
        <f t="shared" si="55"/>
        <v>408585.8366022223</v>
      </c>
      <c r="M73" s="94">
        <f t="shared" si="55"/>
        <v>49030.30039226667</v>
      </c>
      <c r="N73" s="94">
        <f t="shared" si="55"/>
        <v>408585.8366022223</v>
      </c>
      <c r="O73" s="94">
        <f t="shared" si="55"/>
        <v>828450.0016344446</v>
      </c>
      <c r="P73" s="94">
        <f t="shared" si="55"/>
        <v>637542.1811480001</v>
      </c>
      <c r="Q73" s="94">
        <f t="shared" si="55"/>
        <v>900059.5498560001</v>
      </c>
      <c r="R73" s="94">
        <f t="shared" si="55"/>
        <v>39152.590418736</v>
      </c>
      <c r="S73" s="94">
        <f t="shared" si="55"/>
        <v>3206067.1202262295</v>
      </c>
      <c r="T73" s="94">
        <f t="shared" si="55"/>
        <v>300019.849952</v>
      </c>
      <c r="U73" s="94">
        <f t="shared" si="55"/>
        <v>610040.3615690668</v>
      </c>
      <c r="V73" s="94">
        <f t="shared" si="55"/>
        <v>225014.88746400003</v>
      </c>
      <c r="W73" s="94">
        <f t="shared" si="55"/>
        <v>150009.924976</v>
      </c>
      <c r="X73" s="94">
        <f t="shared" si="55"/>
        <v>762550.4519613334</v>
      </c>
      <c r="Y73" s="94">
        <f>SUM(Y74:Y77)</f>
        <v>26156109.948214453</v>
      </c>
      <c r="Z73" s="94">
        <f>SUM(Z76:Z77)</f>
        <v>208743.7159482796</v>
      </c>
      <c r="AA73" s="231"/>
      <c r="AB73" s="46"/>
      <c r="AC73" s="44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14.25">
      <c r="A74" s="327" t="s">
        <v>210</v>
      </c>
      <c r="B74" s="51" t="s">
        <v>184</v>
      </c>
      <c r="C74" s="361">
        <v>1</v>
      </c>
      <c r="D74" s="362">
        <v>40940</v>
      </c>
      <c r="E74" s="362">
        <v>40999</v>
      </c>
      <c r="F74" s="363">
        <f>DAYS360(D74,E74,0)+1</f>
        <v>61</v>
      </c>
      <c r="G74" s="312">
        <f>+$E$7*13</f>
        <v>7367100</v>
      </c>
      <c r="H74" s="312">
        <f>+G74*70%</f>
        <v>5156970</v>
      </c>
      <c r="I74" s="312">
        <v>0</v>
      </c>
      <c r="J74" s="312">
        <f>G74</f>
        <v>7367100</v>
      </c>
      <c r="K74" s="312">
        <f>+J74/30*F74</f>
        <v>14979770</v>
      </c>
      <c r="L74" s="372">
        <v>0</v>
      </c>
      <c r="M74" s="312">
        <f>+L74*12%</f>
        <v>0</v>
      </c>
      <c r="N74" s="312">
        <v>0</v>
      </c>
      <c r="O74" s="372">
        <f>+J74*F74/720</f>
        <v>624157.0833333334</v>
      </c>
      <c r="P74" s="312">
        <f>+H74*0.085</f>
        <v>438342.45</v>
      </c>
      <c r="Q74" s="312">
        <f>+H74*12%</f>
        <v>618836.4</v>
      </c>
      <c r="R74" s="312">
        <f>+H74*0.522%</f>
        <v>26919.3834</v>
      </c>
      <c r="S74" s="312">
        <f>+((P74+Q74+R74)/30*F74)</f>
        <v>2204333.07458</v>
      </c>
      <c r="T74" s="312">
        <f>+H74*0.04</f>
        <v>206278.80000000002</v>
      </c>
      <c r="U74" s="312">
        <f>+(T74/30)*F74</f>
        <v>419433.56000000006</v>
      </c>
      <c r="V74" s="312">
        <f>+H74*0.03</f>
        <v>154709.1</v>
      </c>
      <c r="W74" s="312">
        <f>+H74*0.02</f>
        <v>103139.40000000001</v>
      </c>
      <c r="X74" s="312">
        <f>+((V74+W74)/30*F74)</f>
        <v>524291.9500000001</v>
      </c>
      <c r="Y74" s="312">
        <f>K74+L74+M74+N74+O74+S74+U74+X74</f>
        <v>18751985.667913333</v>
      </c>
      <c r="Z74" s="312">
        <f>+Y74/12</f>
        <v>1562665.472326111</v>
      </c>
      <c r="AA74" s="231"/>
      <c r="AB74" s="46"/>
      <c r="AC74" s="44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ht="14.25">
      <c r="A75" s="325" t="s">
        <v>241</v>
      </c>
      <c r="B75" s="51" t="s">
        <v>182</v>
      </c>
      <c r="C75" s="361">
        <v>1</v>
      </c>
      <c r="D75" s="362">
        <v>40940</v>
      </c>
      <c r="E75" s="362">
        <v>40999</v>
      </c>
      <c r="F75" s="363">
        <f>DAYS360(D75,E75,0)+1</f>
        <v>61</v>
      </c>
      <c r="G75" s="312"/>
      <c r="H75" s="312">
        <f>1529615*(1+$C$8)</f>
        <v>1586669.6395000003</v>
      </c>
      <c r="I75" s="312">
        <v>0</v>
      </c>
      <c r="J75" s="312">
        <f>+I75+H75</f>
        <v>1586669.6395000003</v>
      </c>
      <c r="K75" s="312">
        <f>+J75/30*F75</f>
        <v>3226228.2669833335</v>
      </c>
      <c r="L75" s="372">
        <f>+J75*F75/360</f>
        <v>268852.35558194446</v>
      </c>
      <c r="M75" s="312">
        <f>+L75*12%</f>
        <v>32262.282669833334</v>
      </c>
      <c r="N75" s="312">
        <f>+L75</f>
        <v>268852.35558194446</v>
      </c>
      <c r="O75" s="372">
        <f>+J75*F75/720</f>
        <v>134426.17779097223</v>
      </c>
      <c r="P75" s="312">
        <f>+H75*0.085</f>
        <v>134866.91935750004</v>
      </c>
      <c r="Q75" s="312">
        <f>+H75*12%</f>
        <v>190400.35674000002</v>
      </c>
      <c r="R75" s="312">
        <f>+H75*0.522%</f>
        <v>8282.41551819</v>
      </c>
      <c r="S75" s="312">
        <f>+((P75+Q75+R75)/30*F75)</f>
        <v>678217.7062852364</v>
      </c>
      <c r="T75" s="312">
        <f>+H75*0.04</f>
        <v>63466.78558000001</v>
      </c>
      <c r="U75" s="312">
        <f>+(T75/30)*F75</f>
        <v>129049.13067933336</v>
      </c>
      <c r="V75" s="312">
        <f>+H75*0.03</f>
        <v>47600.089185000004</v>
      </c>
      <c r="W75" s="312">
        <f>+H75*0.02</f>
        <v>31733.392790000005</v>
      </c>
      <c r="X75" s="312">
        <f>+((V75+W75)/30*F75)</f>
        <v>161311.4133491667</v>
      </c>
      <c r="Y75" s="312">
        <f>K75+L75+M75+N75+O75+S75+U75+X75</f>
        <v>4899199.6889217645</v>
      </c>
      <c r="Z75" s="312">
        <f>+Y75/12</f>
        <v>408266.64074348036</v>
      </c>
      <c r="AA75" s="232"/>
      <c r="AB75" s="179"/>
      <c r="AC75" s="44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14.25">
      <c r="A76" s="324" t="s">
        <v>12</v>
      </c>
      <c r="B76" s="51" t="s">
        <v>178</v>
      </c>
      <c r="C76" s="361">
        <v>1</v>
      </c>
      <c r="D76" s="362">
        <v>40940</v>
      </c>
      <c r="E76" s="362">
        <v>40999</v>
      </c>
      <c r="F76" s="363">
        <f>DAYS360(D76,E76,0)+1</f>
        <v>61</v>
      </c>
      <c r="G76" s="361"/>
      <c r="H76" s="312">
        <f>729641*(1+$C$8)</f>
        <v>756856.6093000001</v>
      </c>
      <c r="I76" s="312">
        <f>+E8</f>
        <v>67800</v>
      </c>
      <c r="J76" s="312">
        <f>+I76+H76</f>
        <v>824656.6093000001</v>
      </c>
      <c r="K76" s="312">
        <f>+J76/30*F76</f>
        <v>1676801.7722433335</v>
      </c>
      <c r="L76" s="372">
        <f>+J76*F76/360</f>
        <v>139733.4810202778</v>
      </c>
      <c r="M76" s="312">
        <f>+L76*12%</f>
        <v>16768.017722433335</v>
      </c>
      <c r="N76" s="312">
        <f>+L76</f>
        <v>139733.4810202778</v>
      </c>
      <c r="O76" s="372">
        <f>+J76*F76/720</f>
        <v>69866.7405101389</v>
      </c>
      <c r="P76" s="312">
        <f>+H76*0.085</f>
        <v>64332.81179050002</v>
      </c>
      <c r="Q76" s="312">
        <f>+H76*12%</f>
        <v>90822.79311600002</v>
      </c>
      <c r="R76" s="312">
        <f>+H76*0.522%</f>
        <v>3950.7915005460004</v>
      </c>
      <c r="S76" s="312">
        <f>+((P76+Q76+R76)/30*F76)</f>
        <v>323516.3393609936</v>
      </c>
      <c r="T76" s="312">
        <f>+H76*0.04</f>
        <v>30274.264372000005</v>
      </c>
      <c r="U76" s="312">
        <f>+(T76/30)*F76</f>
        <v>61557.67088973334</v>
      </c>
      <c r="V76" s="312">
        <f>+H76*0.03</f>
        <v>22705.698279000004</v>
      </c>
      <c r="W76" s="312">
        <f>+H76*0.02</f>
        <v>15137.132186000003</v>
      </c>
      <c r="X76" s="312">
        <f>+((V76+W76)/30*F76)</f>
        <v>76947.08861216668</v>
      </c>
      <c r="Y76" s="312">
        <f>K76+L76+M76+N76+O76+S76+U76+X76</f>
        <v>2504924.591379355</v>
      </c>
      <c r="Z76" s="312">
        <f>+Y76/12</f>
        <v>208743.7159482796</v>
      </c>
      <c r="AA76" s="232"/>
      <c r="AB76" s="179"/>
      <c r="AC76" s="44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ht="12.75">
      <c r="A77" s="328"/>
      <c r="B77" s="61"/>
      <c r="C77" s="62"/>
      <c r="D77" s="62"/>
      <c r="E77" s="62"/>
      <c r="F77" s="62"/>
      <c r="G77" s="62"/>
      <c r="H77" s="62"/>
      <c r="I77" s="62"/>
      <c r="J77" s="62"/>
      <c r="K77" s="63"/>
      <c r="L77" s="367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232"/>
      <c r="AB77" s="46"/>
      <c r="AC77" s="44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ht="12.75">
      <c r="A78" s="61"/>
      <c r="B78" s="61"/>
      <c r="C78" s="62"/>
      <c r="D78" s="62"/>
      <c r="E78" s="62"/>
      <c r="F78" s="62"/>
      <c r="G78" s="62"/>
      <c r="H78" s="62"/>
      <c r="I78" s="62"/>
      <c r="J78" s="62"/>
      <c r="K78" s="63"/>
      <c r="L78" s="367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232"/>
      <c r="AB78" s="46"/>
      <c r="AC78" s="44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ht="15.75">
      <c r="A79" s="87" t="s">
        <v>117</v>
      </c>
      <c r="B79" s="87" t="s">
        <v>176</v>
      </c>
      <c r="C79" s="62"/>
      <c r="D79" s="62"/>
      <c r="E79" s="62"/>
      <c r="F79" s="62"/>
      <c r="G79" s="62"/>
      <c r="H79" s="62"/>
      <c r="I79" s="62"/>
      <c r="J79" s="62"/>
      <c r="K79" s="63"/>
      <c r="L79" s="367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99">
        <f>+Y80</f>
        <v>230900927.18626624</v>
      </c>
      <c r="Z79" s="63"/>
      <c r="AA79" s="232"/>
      <c r="AB79" s="46"/>
      <c r="AC79" s="44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ht="12.75">
      <c r="A80" s="88" t="s">
        <v>91</v>
      </c>
      <c r="B80" s="88"/>
      <c r="C80" s="53">
        <f>SUM(C81:C89)</f>
        <v>29</v>
      </c>
      <c r="D80" s="53"/>
      <c r="E80" s="53"/>
      <c r="F80" s="53"/>
      <c r="G80" s="98">
        <f>+G81</f>
        <v>7367100</v>
      </c>
      <c r="H80" s="99">
        <f aca="true" t="shared" si="56" ref="H80:Z80">SUM(H81:H89)</f>
        <v>48917228.72350001</v>
      </c>
      <c r="I80" s="99">
        <f t="shared" si="56"/>
        <v>203400</v>
      </c>
      <c r="J80" s="99">
        <f t="shared" si="56"/>
        <v>51330758.72350001</v>
      </c>
      <c r="K80" s="99">
        <f t="shared" si="56"/>
        <v>155703301.46128336</v>
      </c>
      <c r="L80" s="369">
        <f t="shared" si="56"/>
        <v>11113035.955106944</v>
      </c>
      <c r="M80" s="99">
        <f t="shared" si="56"/>
        <v>1333564.3146128333</v>
      </c>
      <c r="N80" s="99">
        <f t="shared" si="56"/>
        <v>11113035.955106944</v>
      </c>
      <c r="O80" s="99">
        <f t="shared" si="56"/>
        <v>6487637.560886805</v>
      </c>
      <c r="P80" s="99">
        <f t="shared" si="56"/>
        <v>4157964.4414975005</v>
      </c>
      <c r="Q80" s="99">
        <f t="shared" si="56"/>
        <v>5870067.446819999</v>
      </c>
      <c r="R80" s="99">
        <f t="shared" si="56"/>
        <v>454148.9351178479</v>
      </c>
      <c r="S80" s="99">
        <f t="shared" si="56"/>
        <v>31795948.49775389</v>
      </c>
      <c r="T80" s="99">
        <f t="shared" si="56"/>
        <v>1956689.1489400002</v>
      </c>
      <c r="U80" s="99">
        <f t="shared" si="56"/>
        <v>5935290.4184513325</v>
      </c>
      <c r="V80" s="99">
        <f t="shared" si="56"/>
        <v>1467516.8617049998</v>
      </c>
      <c r="W80" s="99">
        <f t="shared" si="56"/>
        <v>978344.5744700001</v>
      </c>
      <c r="X80" s="99">
        <f t="shared" si="56"/>
        <v>7419113.023064165</v>
      </c>
      <c r="Y80" s="99">
        <f t="shared" si="56"/>
        <v>230900927.18626624</v>
      </c>
      <c r="Z80" s="99">
        <f t="shared" si="56"/>
        <v>19241743.932188854</v>
      </c>
      <c r="AA80" s="234"/>
      <c r="AB80" s="46"/>
      <c r="AC80" s="44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ht="14.25">
      <c r="A81" s="159" t="s">
        <v>99</v>
      </c>
      <c r="B81" s="51" t="s">
        <v>184</v>
      </c>
      <c r="C81" s="52">
        <v>1</v>
      </c>
      <c r="D81" s="105">
        <v>40909</v>
      </c>
      <c r="E81" s="105">
        <v>40999</v>
      </c>
      <c r="F81" s="104">
        <f aca="true" t="shared" si="57" ref="F81:F87">DAYS360(D81,E81,0)+1</f>
        <v>91</v>
      </c>
      <c r="G81" s="54">
        <f>+$E$7*13</f>
        <v>7367100</v>
      </c>
      <c r="H81" s="54">
        <f>+G81*70%</f>
        <v>5156970</v>
      </c>
      <c r="I81" s="54"/>
      <c r="J81" s="54">
        <f>G81</f>
        <v>7367100</v>
      </c>
      <c r="K81" s="54">
        <f aca="true" t="shared" si="58" ref="K81:K87">+J81/30*F81</f>
        <v>22346870</v>
      </c>
      <c r="L81" s="366">
        <v>0</v>
      </c>
      <c r="M81" s="54">
        <f aca="true" t="shared" si="59" ref="M81:M89">+L81*12%</f>
        <v>0</v>
      </c>
      <c r="N81" s="54">
        <v>0</v>
      </c>
      <c r="O81" s="366">
        <f aca="true" t="shared" si="60" ref="O81:O89">+J81*F81/720</f>
        <v>931119.5833333334</v>
      </c>
      <c r="P81" s="54">
        <f aca="true" t="shared" si="61" ref="P81:P87">+H81*0.085</f>
        <v>438342.45</v>
      </c>
      <c r="Q81" s="54">
        <f aca="true" t="shared" si="62" ref="Q81:Q87">+H81*12%</f>
        <v>618836.4</v>
      </c>
      <c r="R81" s="54">
        <f>+H81*0.522%</f>
        <v>26919.3834</v>
      </c>
      <c r="S81" s="54">
        <f aca="true" t="shared" si="63" ref="S81:S87">+((P81+Q81+R81)/30*F81)</f>
        <v>3288431.30798</v>
      </c>
      <c r="T81" s="54">
        <f aca="true" t="shared" si="64" ref="T81:T87">+H81*0.04</f>
        <v>206278.80000000002</v>
      </c>
      <c r="U81" s="54">
        <f aca="true" t="shared" si="65" ref="U81:U87">+(T81/30)*F81</f>
        <v>625712.3600000001</v>
      </c>
      <c r="V81" s="54">
        <f aca="true" t="shared" si="66" ref="V81:V87">+H81*0.03</f>
        <v>154709.1</v>
      </c>
      <c r="W81" s="54">
        <f aca="true" t="shared" si="67" ref="W81:W87">+H81*0.02</f>
        <v>103139.40000000001</v>
      </c>
      <c r="X81" s="54">
        <f aca="true" t="shared" si="68" ref="X81:X87">+((V81+W81)/30*F81)</f>
        <v>782140.4500000001</v>
      </c>
      <c r="Y81" s="331">
        <f aca="true" t="shared" si="69" ref="Y81:Y87">K81+L81+M81+N81+O81+S81+U81+X81</f>
        <v>27974273.70131333</v>
      </c>
      <c r="Z81" s="54">
        <f aca="true" t="shared" si="70" ref="Z81:Z89">+Y81/12</f>
        <v>2331189.4751094445</v>
      </c>
      <c r="AA81" s="231"/>
      <c r="AB81" s="46"/>
      <c r="AC81" s="44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ht="14.25">
      <c r="A82" s="159" t="s">
        <v>18</v>
      </c>
      <c r="B82" s="51" t="s">
        <v>181</v>
      </c>
      <c r="C82" s="58">
        <v>1</v>
      </c>
      <c r="D82" s="105">
        <v>40909</v>
      </c>
      <c r="E82" s="105">
        <v>40999</v>
      </c>
      <c r="F82" s="104">
        <f>DAYS360(D82,E82,0)+1</f>
        <v>91</v>
      </c>
      <c r="G82" s="59"/>
      <c r="H82" s="54">
        <f>2888729*(1+$C$8)</f>
        <v>2996478.5917</v>
      </c>
      <c r="I82" s="54"/>
      <c r="J82" s="54">
        <f>+I82+H82</f>
        <v>2996478.5917</v>
      </c>
      <c r="K82" s="54">
        <f>+J82/30*F82</f>
        <v>9089318.394823333</v>
      </c>
      <c r="L82" s="366">
        <f aca="true" t="shared" si="71" ref="L82:L89">+J82*F82/360</f>
        <v>757443.1995686112</v>
      </c>
      <c r="M82" s="54">
        <f t="shared" si="59"/>
        <v>90893.18394823335</v>
      </c>
      <c r="N82" s="54">
        <f aca="true" t="shared" si="72" ref="N82:N89">+L82</f>
        <v>757443.1995686112</v>
      </c>
      <c r="O82" s="366">
        <f t="shared" si="60"/>
        <v>378721.5997843056</v>
      </c>
      <c r="P82" s="54">
        <f>+H82*0.085</f>
        <v>254700.68029450002</v>
      </c>
      <c r="Q82" s="54">
        <f>+H82*12%</f>
        <v>359577.431004</v>
      </c>
      <c r="R82" s="54">
        <f>+H82*1.044%</f>
        <v>31283.236497348</v>
      </c>
      <c r="S82" s="54">
        <f>+((P82+Q82+R82)/30*F82)</f>
        <v>1958202.754980739</v>
      </c>
      <c r="T82" s="54">
        <f>+H82*0.04</f>
        <v>119859.143668</v>
      </c>
      <c r="U82" s="54">
        <f>+(T82/30)*F82</f>
        <v>363572.7357929333</v>
      </c>
      <c r="V82" s="54">
        <f>+H82*0.03</f>
        <v>89894.357751</v>
      </c>
      <c r="W82" s="54">
        <f>+H82*0.02</f>
        <v>59929.571834</v>
      </c>
      <c r="X82" s="54">
        <f>+((V82+W82)/30*F82)</f>
        <v>454465.9197411667</v>
      </c>
      <c r="Y82" s="331">
        <f>K82+L82+M82+N82+O82+S82+U82+X82</f>
        <v>13850060.988207933</v>
      </c>
      <c r="Z82" s="54">
        <f t="shared" si="70"/>
        <v>1154171.7490173278</v>
      </c>
      <c r="AA82" s="231"/>
      <c r="AB82" s="46"/>
      <c r="AC82" s="44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4.25">
      <c r="A83" s="164" t="s">
        <v>235</v>
      </c>
      <c r="B83" s="51" t="s">
        <v>181</v>
      </c>
      <c r="C83" s="58">
        <v>1</v>
      </c>
      <c r="D83" s="105">
        <v>40909</v>
      </c>
      <c r="E83" s="105">
        <v>40999</v>
      </c>
      <c r="F83" s="104">
        <f>DAYS360(D83,E83,0)+1</f>
        <v>91</v>
      </c>
      <c r="G83" s="59"/>
      <c r="H83" s="54">
        <f>2888729*(1+$C$8)</f>
        <v>2996478.5917</v>
      </c>
      <c r="I83" s="54"/>
      <c r="J83" s="54">
        <f>+I83+H83</f>
        <v>2996478.5917</v>
      </c>
      <c r="K83" s="54">
        <f>+J83/30*F83</f>
        <v>9089318.394823333</v>
      </c>
      <c r="L83" s="366">
        <f t="shared" si="71"/>
        <v>757443.1995686112</v>
      </c>
      <c r="M83" s="54">
        <f t="shared" si="59"/>
        <v>90893.18394823335</v>
      </c>
      <c r="N83" s="54">
        <f t="shared" si="72"/>
        <v>757443.1995686112</v>
      </c>
      <c r="O83" s="366">
        <f t="shared" si="60"/>
        <v>378721.5997843056</v>
      </c>
      <c r="P83" s="54">
        <f>+H83*0.085</f>
        <v>254700.68029450002</v>
      </c>
      <c r="Q83" s="54">
        <f>+H83*12%</f>
        <v>359577.431004</v>
      </c>
      <c r="R83" s="54">
        <f>+H83*0.522%</f>
        <v>15641.618248674</v>
      </c>
      <c r="S83" s="54">
        <f>+((P83+Q83+R83)/30*F83)</f>
        <v>1910756.5129597613</v>
      </c>
      <c r="T83" s="54">
        <f>+H83*0.04</f>
        <v>119859.143668</v>
      </c>
      <c r="U83" s="54">
        <f>+(T83/30)*F83</f>
        <v>363572.7357929333</v>
      </c>
      <c r="V83" s="54">
        <f>+H83*0.03</f>
        <v>89894.357751</v>
      </c>
      <c r="W83" s="54">
        <f>+H83*0.02</f>
        <v>59929.571834</v>
      </c>
      <c r="X83" s="54">
        <f>+((V83+W83)/30*F83)</f>
        <v>454465.9197411667</v>
      </c>
      <c r="Y83" s="331">
        <f>K83+L83+M83+N83+O83+S83+U83+X83</f>
        <v>13802614.746186955</v>
      </c>
      <c r="Z83" s="54">
        <f t="shared" si="70"/>
        <v>1150217.8955155795</v>
      </c>
      <c r="AA83" s="231"/>
      <c r="AB83" s="46"/>
      <c r="AC83" s="44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ht="14.25">
      <c r="A84" s="51" t="s">
        <v>10</v>
      </c>
      <c r="B84" s="51" t="s">
        <v>185</v>
      </c>
      <c r="C84" s="52">
        <v>17</v>
      </c>
      <c r="D84" s="105">
        <v>40909</v>
      </c>
      <c r="E84" s="105">
        <v>40999</v>
      </c>
      <c r="F84" s="104">
        <f t="shared" si="57"/>
        <v>91</v>
      </c>
      <c r="G84" s="52"/>
      <c r="H84" s="54">
        <f>(1555791*(1+$C$8))*C84</f>
        <v>27434974.0731</v>
      </c>
      <c r="I84" s="54">
        <v>0</v>
      </c>
      <c r="J84" s="54">
        <f>+H84</f>
        <v>27434974.0731</v>
      </c>
      <c r="K84" s="54">
        <f t="shared" si="58"/>
        <v>83219421.35507001</v>
      </c>
      <c r="L84" s="366">
        <f t="shared" si="71"/>
        <v>6934951.779589167</v>
      </c>
      <c r="M84" s="54">
        <f t="shared" si="59"/>
        <v>832194.2135507</v>
      </c>
      <c r="N84" s="54">
        <f t="shared" si="72"/>
        <v>6934951.779589167</v>
      </c>
      <c r="O84" s="366">
        <f t="shared" si="60"/>
        <v>3467475.8897945834</v>
      </c>
      <c r="P84" s="54">
        <f t="shared" si="61"/>
        <v>2331972.7962135</v>
      </c>
      <c r="Q84" s="54">
        <f t="shared" si="62"/>
        <v>3292196.888772</v>
      </c>
      <c r="R84" s="54">
        <f>+H84*1.044%</f>
        <v>286421.129323164</v>
      </c>
      <c r="S84" s="54">
        <f t="shared" si="63"/>
        <v>17928792.13673628</v>
      </c>
      <c r="T84" s="54">
        <f t="shared" si="64"/>
        <v>1097398.962924</v>
      </c>
      <c r="U84" s="54">
        <f t="shared" si="65"/>
        <v>3328776.8542028004</v>
      </c>
      <c r="V84" s="54">
        <f t="shared" si="66"/>
        <v>823049.222193</v>
      </c>
      <c r="W84" s="54">
        <f t="shared" si="67"/>
        <v>548699.481462</v>
      </c>
      <c r="X84" s="54">
        <f t="shared" si="68"/>
        <v>4160971.0677535</v>
      </c>
      <c r="Y84" s="331">
        <f t="shared" si="69"/>
        <v>126807535.0762862</v>
      </c>
      <c r="Z84" s="54">
        <f t="shared" si="70"/>
        <v>10567294.589690516</v>
      </c>
      <c r="AA84" s="232"/>
      <c r="AB84" s="55"/>
      <c r="AC84" s="44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ht="14.25">
      <c r="A85" s="51" t="s">
        <v>11</v>
      </c>
      <c r="B85" s="51" t="s">
        <v>186</v>
      </c>
      <c r="C85" s="52">
        <v>5</v>
      </c>
      <c r="D85" s="105">
        <v>40909</v>
      </c>
      <c r="E85" s="105">
        <v>40999</v>
      </c>
      <c r="F85" s="104">
        <f t="shared" si="57"/>
        <v>91</v>
      </c>
      <c r="G85" s="52"/>
      <c r="H85" s="54">
        <f>(1362206*(1+$C$8))*C85</f>
        <v>7065081.419000001</v>
      </c>
      <c r="I85" s="54"/>
      <c r="J85" s="54">
        <f>+I85+H85</f>
        <v>7065081.419000001</v>
      </c>
      <c r="K85" s="54">
        <f t="shared" si="58"/>
        <v>21430746.97096667</v>
      </c>
      <c r="L85" s="366">
        <f t="shared" si="71"/>
        <v>1785895.580913889</v>
      </c>
      <c r="M85" s="54">
        <f t="shared" si="59"/>
        <v>214307.46970966668</v>
      </c>
      <c r="N85" s="54">
        <f t="shared" si="72"/>
        <v>1785895.580913889</v>
      </c>
      <c r="O85" s="366">
        <f t="shared" si="60"/>
        <v>892947.7904569445</v>
      </c>
      <c r="P85" s="54">
        <f t="shared" si="61"/>
        <v>600531.9206150001</v>
      </c>
      <c r="Q85" s="54">
        <f t="shared" si="62"/>
        <v>847809.77028</v>
      </c>
      <c r="R85" s="54">
        <f>+H85*1.044%</f>
        <v>73759.45001436</v>
      </c>
      <c r="S85" s="54">
        <f t="shared" si="63"/>
        <v>4617040.127425059</v>
      </c>
      <c r="T85" s="54">
        <f t="shared" si="64"/>
        <v>282603.25676</v>
      </c>
      <c r="U85" s="54">
        <f t="shared" si="65"/>
        <v>857229.8788386667</v>
      </c>
      <c r="V85" s="54">
        <f t="shared" si="66"/>
        <v>211952.44257</v>
      </c>
      <c r="W85" s="54">
        <f t="shared" si="67"/>
        <v>141301.62838</v>
      </c>
      <c r="X85" s="54">
        <f t="shared" si="68"/>
        <v>1071537.3485483334</v>
      </c>
      <c r="Y85" s="331">
        <f t="shared" si="69"/>
        <v>32655600.747773122</v>
      </c>
      <c r="Z85" s="54">
        <f t="shared" si="70"/>
        <v>2721300.062314427</v>
      </c>
      <c r="AA85" s="232"/>
      <c r="AB85" s="46"/>
      <c r="AC85" s="44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4.25">
      <c r="A86" s="51" t="s">
        <v>45</v>
      </c>
      <c r="B86" s="51" t="s">
        <v>187</v>
      </c>
      <c r="C86" s="52">
        <v>1</v>
      </c>
      <c r="D86" s="105">
        <v>40909</v>
      </c>
      <c r="E86" s="105">
        <v>40999</v>
      </c>
      <c r="F86" s="104">
        <f t="shared" si="57"/>
        <v>91</v>
      </c>
      <c r="G86" s="52"/>
      <c r="H86" s="54">
        <f>1123671*(1+$C$8)</f>
        <v>1165583.9283</v>
      </c>
      <c r="I86" s="54">
        <v>0</v>
      </c>
      <c r="J86" s="54">
        <f>+I86+H86</f>
        <v>1165583.9283</v>
      </c>
      <c r="K86" s="54">
        <f t="shared" si="58"/>
        <v>3535604.58251</v>
      </c>
      <c r="L86" s="366">
        <f t="shared" si="71"/>
        <v>294633.71520916664</v>
      </c>
      <c r="M86" s="54">
        <f t="shared" si="59"/>
        <v>35356.045825099995</v>
      </c>
      <c r="N86" s="54">
        <f t="shared" si="72"/>
        <v>294633.71520916664</v>
      </c>
      <c r="O86" s="366">
        <f t="shared" si="60"/>
        <v>147316.85760458332</v>
      </c>
      <c r="P86" s="54">
        <f t="shared" si="61"/>
        <v>99074.63390550001</v>
      </c>
      <c r="Q86" s="54">
        <f t="shared" si="62"/>
        <v>139870.07139599998</v>
      </c>
      <c r="R86" s="54">
        <f>+H86*0.522%</f>
        <v>6084.348105726</v>
      </c>
      <c r="S86" s="54">
        <f t="shared" si="63"/>
        <v>743254.7953352522</v>
      </c>
      <c r="T86" s="54">
        <f t="shared" si="64"/>
        <v>46623.357132000005</v>
      </c>
      <c r="U86" s="54">
        <f t="shared" si="65"/>
        <v>141424.1833004</v>
      </c>
      <c r="V86" s="54">
        <f t="shared" si="66"/>
        <v>34967.517848999996</v>
      </c>
      <c r="W86" s="54">
        <f t="shared" si="67"/>
        <v>23311.678566000002</v>
      </c>
      <c r="X86" s="54">
        <f t="shared" si="68"/>
        <v>176780.2291255</v>
      </c>
      <c r="Y86" s="331">
        <f t="shared" si="69"/>
        <v>5369004.124119168</v>
      </c>
      <c r="Z86" s="54">
        <f t="shared" si="70"/>
        <v>447417.01034326403</v>
      </c>
      <c r="AA86" s="232"/>
      <c r="AB86" s="46"/>
      <c r="AC86" s="57"/>
      <c r="AD86" s="139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ht="14.25">
      <c r="A87" s="164" t="s">
        <v>204</v>
      </c>
      <c r="B87" s="164" t="s">
        <v>178</v>
      </c>
      <c r="C87" s="228">
        <v>1</v>
      </c>
      <c r="D87" s="105">
        <v>40909</v>
      </c>
      <c r="E87" s="105">
        <v>40999</v>
      </c>
      <c r="F87" s="250">
        <f t="shared" si="57"/>
        <v>91</v>
      </c>
      <c r="G87" s="228"/>
      <c r="H87" s="54">
        <f>729641*(1+$C$8)</f>
        <v>756856.6093000001</v>
      </c>
      <c r="I87" s="54">
        <f>+E8</f>
        <v>67800</v>
      </c>
      <c r="J87" s="312">
        <f>+I87+H87</f>
        <v>824656.6093000001</v>
      </c>
      <c r="K87" s="312">
        <f t="shared" si="58"/>
        <v>2501458.3815433336</v>
      </c>
      <c r="L87" s="372">
        <f t="shared" si="71"/>
        <v>208454.86512861116</v>
      </c>
      <c r="M87" s="312">
        <f t="shared" si="59"/>
        <v>25014.58381543334</v>
      </c>
      <c r="N87" s="312">
        <f t="shared" si="72"/>
        <v>208454.86512861116</v>
      </c>
      <c r="O87" s="372">
        <f t="shared" si="60"/>
        <v>104227.43256430558</v>
      </c>
      <c r="P87" s="312">
        <f t="shared" si="61"/>
        <v>64332.81179050002</v>
      </c>
      <c r="Q87" s="312">
        <f t="shared" si="62"/>
        <v>90822.79311600002</v>
      </c>
      <c r="R87" s="312">
        <f>+H87*0.522%</f>
        <v>3950.7915005460004</v>
      </c>
      <c r="S87" s="312">
        <f t="shared" si="63"/>
        <v>482622.73576803965</v>
      </c>
      <c r="T87" s="312">
        <f t="shared" si="64"/>
        <v>30274.264372000005</v>
      </c>
      <c r="U87" s="312">
        <f t="shared" si="65"/>
        <v>91831.93526173335</v>
      </c>
      <c r="V87" s="312">
        <f t="shared" si="66"/>
        <v>22705.698279000004</v>
      </c>
      <c r="W87" s="312">
        <f t="shared" si="67"/>
        <v>15137.132186000003</v>
      </c>
      <c r="X87" s="312">
        <f t="shared" si="68"/>
        <v>114789.91907716669</v>
      </c>
      <c r="Y87" s="332">
        <f t="shared" si="69"/>
        <v>3736854.718287235</v>
      </c>
      <c r="Z87" s="312">
        <f t="shared" si="70"/>
        <v>311404.5598572696</v>
      </c>
      <c r="AA87" s="232"/>
      <c r="AB87" s="46"/>
      <c r="AC87" s="44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ht="14.25">
      <c r="A88" s="51" t="s">
        <v>12</v>
      </c>
      <c r="B88" s="51" t="s">
        <v>178</v>
      </c>
      <c r="C88" s="52">
        <v>1</v>
      </c>
      <c r="D88" s="105">
        <v>40909</v>
      </c>
      <c r="E88" s="105">
        <v>40999</v>
      </c>
      <c r="F88" s="104">
        <f>DAYS360(D88,E88,0)+1</f>
        <v>91</v>
      </c>
      <c r="G88" s="52"/>
      <c r="H88" s="54">
        <f>729641*(1+$C$8)</f>
        <v>756856.6093000001</v>
      </c>
      <c r="I88" s="54">
        <f>+E8</f>
        <v>67800</v>
      </c>
      <c r="J88" s="54">
        <f>+I88+H88</f>
        <v>824656.6093000001</v>
      </c>
      <c r="K88" s="54">
        <f>+J88/30*F88</f>
        <v>2501458.3815433336</v>
      </c>
      <c r="L88" s="366">
        <f t="shared" si="71"/>
        <v>208454.86512861116</v>
      </c>
      <c r="M88" s="54">
        <f>+L88*12%</f>
        <v>25014.58381543334</v>
      </c>
      <c r="N88" s="54">
        <f>+L88</f>
        <v>208454.86512861116</v>
      </c>
      <c r="O88" s="366">
        <f t="shared" si="60"/>
        <v>104227.43256430558</v>
      </c>
      <c r="P88" s="54">
        <f>+H88*0.085</f>
        <v>64332.81179050002</v>
      </c>
      <c r="Q88" s="54">
        <f>+H88*12%</f>
        <v>90822.79311600002</v>
      </c>
      <c r="R88" s="54">
        <f>+H88*0.522%</f>
        <v>3950.7915005460004</v>
      </c>
      <c r="S88" s="54">
        <f>+((P88+Q88+R88)/30*F88)</f>
        <v>482622.73576803965</v>
      </c>
      <c r="T88" s="54">
        <f>+H88*0.04</f>
        <v>30274.264372000005</v>
      </c>
      <c r="U88" s="54">
        <f>+(T88/30)*F88</f>
        <v>91831.93526173335</v>
      </c>
      <c r="V88" s="54">
        <f>+H88*0.03</f>
        <v>22705.698279000004</v>
      </c>
      <c r="W88" s="54">
        <f>+H88*0.02</f>
        <v>15137.132186000003</v>
      </c>
      <c r="X88" s="54">
        <f>+((V88+W88)/30*F88)</f>
        <v>114789.91907716669</v>
      </c>
      <c r="Y88" s="331">
        <f>K88+L88+M88+N88+O88+S88+U88+X88</f>
        <v>3736854.718287235</v>
      </c>
      <c r="Z88" s="54">
        <f>+Y88/12</f>
        <v>311404.5598572696</v>
      </c>
      <c r="AA88" s="232"/>
      <c r="AB88" s="180"/>
      <c r="AC88" s="44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14.25">
      <c r="A89" s="143" t="s">
        <v>238</v>
      </c>
      <c r="B89" s="143" t="s">
        <v>239</v>
      </c>
      <c r="C89" s="52">
        <v>1</v>
      </c>
      <c r="D89" s="105">
        <v>40909</v>
      </c>
      <c r="E89" s="105">
        <v>40999</v>
      </c>
      <c r="F89" s="104">
        <f>DAYS360(D89,E89,0)+1</f>
        <v>91</v>
      </c>
      <c r="G89" s="52"/>
      <c r="H89" s="54">
        <f>566807*(1+$C$8)</f>
        <v>587948.9011</v>
      </c>
      <c r="I89" s="54">
        <f>+E8</f>
        <v>67800</v>
      </c>
      <c r="J89" s="54">
        <f>+I89+H89</f>
        <v>655748.9011</v>
      </c>
      <c r="K89" s="54">
        <f>+J89/30*F89</f>
        <v>1989105.0000033334</v>
      </c>
      <c r="L89" s="366">
        <f t="shared" si="71"/>
        <v>165758.7500002778</v>
      </c>
      <c r="M89" s="54">
        <f t="shared" si="59"/>
        <v>19891.050000033334</v>
      </c>
      <c r="N89" s="54">
        <f t="shared" si="72"/>
        <v>165758.7500002778</v>
      </c>
      <c r="O89" s="366">
        <f t="shared" si="60"/>
        <v>82879.3750001389</v>
      </c>
      <c r="P89" s="54">
        <f>+H89*0.085</f>
        <v>49975.6565935</v>
      </c>
      <c r="Q89" s="54">
        <f>+H89*12%</f>
        <v>70553.868132</v>
      </c>
      <c r="R89" s="54">
        <f>+H89*1.044%</f>
        <v>6138.186527484</v>
      </c>
      <c r="S89" s="54">
        <f>+((P89+Q89+R89)/30*F89)</f>
        <v>384225.3908007181</v>
      </c>
      <c r="T89" s="54">
        <f>+H89*0.04</f>
        <v>23517.956044000002</v>
      </c>
      <c r="U89" s="54">
        <f>+(T89/30)*F89</f>
        <v>71337.80000013334</v>
      </c>
      <c r="V89" s="54">
        <f>+H89*0.03</f>
        <v>17638.467033</v>
      </c>
      <c r="W89" s="54">
        <f>+H89*0.02</f>
        <v>11758.978022000001</v>
      </c>
      <c r="X89" s="54">
        <f>+((V89+W89)/30*F89)</f>
        <v>89172.25000016668</v>
      </c>
      <c r="Y89" s="331">
        <f>K89+L89+M89+N89+O89+S89+U89+X89</f>
        <v>2968128.3658050797</v>
      </c>
      <c r="Z89" s="54">
        <f t="shared" si="70"/>
        <v>247344.03048375665</v>
      </c>
      <c r="AA89" s="232"/>
      <c r="AB89" s="180"/>
      <c r="AC89" s="44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29" ht="14.25">
      <c r="A90" s="162"/>
      <c r="B90" s="161"/>
      <c r="C90" s="166"/>
      <c r="D90" s="167"/>
      <c r="E90" s="167"/>
      <c r="F90" s="168"/>
      <c r="G90" s="166"/>
      <c r="H90" s="167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65"/>
      <c r="Z90" s="160"/>
      <c r="AA90" s="235"/>
      <c r="AB90" s="46"/>
      <c r="AC90" s="42"/>
    </row>
    <row r="91" spans="1:29" ht="13.5" thickBot="1">
      <c r="A91" s="42"/>
      <c r="B91" s="42"/>
      <c r="C91" s="44"/>
      <c r="D91" s="44"/>
      <c r="E91" s="44"/>
      <c r="F91" s="44"/>
      <c r="G91" s="46"/>
      <c r="H91" s="46"/>
      <c r="I91" s="154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64"/>
      <c r="Z91" s="65"/>
      <c r="AA91" s="235"/>
      <c r="AB91" s="81"/>
      <c r="AC91" s="42"/>
    </row>
    <row r="92" spans="1:29" ht="13.5" thickBot="1">
      <c r="A92" s="156" t="s">
        <v>172</v>
      </c>
      <c r="B92" s="157"/>
      <c r="C92" s="158">
        <f>+C80+C63+C54+C27+C12+C73</f>
        <v>78</v>
      </c>
      <c r="D92" s="158"/>
      <c r="E92" s="158"/>
      <c r="F92" s="158"/>
      <c r="G92" s="158"/>
      <c r="H92" s="155">
        <f>+H80+H63+H54+H27+H12+H73</f>
        <v>148249522.94570005</v>
      </c>
      <c r="I92" s="155">
        <f>+I80+I63+I54+I27+I12+I73</f>
        <v>745800</v>
      </c>
      <c r="J92" s="155">
        <f>+J80+J63+J54+J27+J12+J73</f>
        <v>160045972.94570002</v>
      </c>
      <c r="K92" s="155">
        <f>+K80+K63+K54+K27+K12+K73</f>
        <v>474107688.7136567</v>
      </c>
      <c r="L92" s="155">
        <f>+L80+L63+L54+L27+L12+L73</f>
        <v>30381955.726138055</v>
      </c>
      <c r="M92" s="155">
        <f aca="true" t="shared" si="73" ref="M92:X92">+M80+M63+M54+M27+M12+M73</f>
        <v>3645834.687136567</v>
      </c>
      <c r="N92" s="155">
        <f t="shared" si="73"/>
        <v>30381955.726138055</v>
      </c>
      <c r="O92" s="155">
        <f t="shared" si="73"/>
        <v>19539613.279735696</v>
      </c>
      <c r="P92" s="155">
        <f t="shared" si="73"/>
        <v>12527538.450384501</v>
      </c>
      <c r="Q92" s="155">
        <f t="shared" si="73"/>
        <v>17585930.753484</v>
      </c>
      <c r="R92" s="155">
        <f t="shared" si="73"/>
        <v>1075054.440693312</v>
      </c>
      <c r="S92" s="155">
        <f t="shared" si="73"/>
        <v>93366425.00886574</v>
      </c>
      <c r="T92" s="155">
        <f t="shared" si="73"/>
        <v>5861976.917828001</v>
      </c>
      <c r="U92" s="155">
        <f t="shared" si="73"/>
        <v>17417843.348546267</v>
      </c>
      <c r="V92" s="155">
        <f t="shared" si="73"/>
        <v>4396482.688371</v>
      </c>
      <c r="W92" s="155">
        <f t="shared" si="73"/>
        <v>2930988.4589140005</v>
      </c>
      <c r="X92" s="155">
        <f t="shared" si="73"/>
        <v>21772304.185682833</v>
      </c>
      <c r="Y92" s="155">
        <f>+Y80+Y63+Y54+Y27+Y12+Y73</f>
        <v>690613620.6758999</v>
      </c>
      <c r="Z92" s="66"/>
      <c r="AA92" s="235"/>
      <c r="AB92" s="81"/>
      <c r="AC92" s="42"/>
    </row>
    <row r="93" spans="1:29" ht="13.5" thickBot="1">
      <c r="A93" s="42"/>
      <c r="B93" s="42"/>
      <c r="C93" s="42"/>
      <c r="D93" s="42"/>
      <c r="E93" s="42"/>
      <c r="F93" s="42"/>
      <c r="G93" s="42"/>
      <c r="H93" s="13"/>
      <c r="I93" s="86"/>
      <c r="J93" s="13"/>
      <c r="K93" s="13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42"/>
      <c r="AA93" s="235"/>
      <c r="AB93" s="81"/>
      <c r="AC93" s="42"/>
    </row>
    <row r="94" spans="1:29" ht="13.5" thickBot="1">
      <c r="A94" s="119" t="s">
        <v>92</v>
      </c>
      <c r="B94" s="140"/>
      <c r="C94" s="469">
        <f>+Y12+Y27+Y54+Y63+Y80+Y73</f>
        <v>690613620.6758999</v>
      </c>
      <c r="D94" s="469"/>
      <c r="E94" s="469"/>
      <c r="F94" s="469"/>
      <c r="G94" s="469"/>
      <c r="H94" s="470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68"/>
      <c r="Y94" s="68"/>
      <c r="Z94" s="42"/>
      <c r="AA94" s="235"/>
      <c r="AB94" s="81"/>
      <c r="AC94" s="42"/>
    </row>
    <row r="95" spans="1:29" ht="12.75">
      <c r="A95" s="42"/>
      <c r="B95" s="42"/>
      <c r="C95" s="69"/>
      <c r="D95" s="69"/>
      <c r="E95" s="69"/>
      <c r="F95" s="69"/>
      <c r="G95" s="125"/>
      <c r="H95" s="66"/>
      <c r="I95" s="46"/>
      <c r="J95" s="42"/>
      <c r="K95" s="42"/>
      <c r="L95" s="46"/>
      <c r="M95" s="46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235"/>
      <c r="AB95" s="81"/>
      <c r="AC95" s="42"/>
    </row>
    <row r="96" spans="1:29" ht="12.75">
      <c r="A96" s="42"/>
      <c r="B96" s="42"/>
      <c r="C96" s="69"/>
      <c r="D96" s="69"/>
      <c r="E96" s="69"/>
      <c r="F96" s="69"/>
      <c r="G96" s="69"/>
      <c r="I96" s="121"/>
      <c r="J96" s="42"/>
      <c r="K96" s="42"/>
      <c r="L96" s="46"/>
      <c r="M96" s="46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235"/>
      <c r="AB96" s="81"/>
      <c r="AC96" s="42"/>
    </row>
    <row r="97" spans="1:29" ht="12.75">
      <c r="A97" s="42"/>
      <c r="B97" s="42"/>
      <c r="C97" s="69"/>
      <c r="D97" s="69"/>
      <c r="E97" s="69"/>
      <c r="F97" s="69"/>
      <c r="G97" s="69"/>
      <c r="H97" s="120"/>
      <c r="I97" s="42"/>
      <c r="J97" s="42"/>
      <c r="K97" s="42"/>
      <c r="L97" s="46"/>
      <c r="M97" s="46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235"/>
      <c r="AB97" s="81"/>
      <c r="AC97" s="42"/>
    </row>
    <row r="98" spans="1:29" ht="12.75">
      <c r="A98" s="42"/>
      <c r="B98" s="69"/>
      <c r="C98" s="69"/>
      <c r="D98" s="69"/>
      <c r="E98" s="69"/>
      <c r="F98" s="69"/>
      <c r="G98" s="69"/>
      <c r="I98" s="42"/>
      <c r="J98" s="42"/>
      <c r="K98" s="42"/>
      <c r="L98" s="46"/>
      <c r="M98" s="46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235"/>
      <c r="AB98" s="81"/>
      <c r="AC98" s="42"/>
    </row>
    <row r="99" spans="1:29" ht="12.75">
      <c r="A99" s="42"/>
      <c r="B99" s="69"/>
      <c r="C99" s="69"/>
      <c r="D99" s="69"/>
      <c r="E99" s="69"/>
      <c r="F99" s="69"/>
      <c r="G99" s="69"/>
      <c r="H99" s="42"/>
      <c r="I99" s="42"/>
      <c r="J99" s="42"/>
      <c r="K99" s="42"/>
      <c r="L99" s="46"/>
      <c r="M99" s="46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235"/>
      <c r="AB99" s="81"/>
      <c r="AC99" s="42"/>
    </row>
    <row r="100" spans="1:29" ht="13.5" thickBot="1">
      <c r="A100" s="42"/>
      <c r="B100" s="69"/>
      <c r="C100" s="69"/>
      <c r="D100" s="69"/>
      <c r="E100" s="69"/>
      <c r="F100" s="69"/>
      <c r="G100" s="69"/>
      <c r="H100" s="70"/>
      <c r="I100" s="70"/>
      <c r="J100" s="70"/>
      <c r="K100" s="70"/>
      <c r="L100" s="46"/>
      <c r="M100" s="46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235"/>
      <c r="AB100" s="81"/>
      <c r="AC100" s="42"/>
    </row>
    <row r="101" spans="1:29" ht="31.5" customHeight="1" thickBot="1">
      <c r="A101" s="116" t="s">
        <v>173</v>
      </c>
      <c r="B101" s="69"/>
      <c r="C101" s="69"/>
      <c r="D101" s="69"/>
      <c r="E101" s="69"/>
      <c r="F101" s="69"/>
      <c r="G101" s="69"/>
      <c r="H101" s="100" t="s">
        <v>113</v>
      </c>
      <c r="I101" s="71"/>
      <c r="J101" s="100" t="s">
        <v>19</v>
      </c>
      <c r="K101" s="72"/>
      <c r="L101" s="100" t="s">
        <v>20</v>
      </c>
      <c r="M101" s="72"/>
      <c r="N101" s="101" t="s">
        <v>21</v>
      </c>
      <c r="O101" s="44"/>
      <c r="P101" s="100" t="s">
        <v>316</v>
      </c>
      <c r="Q101" s="44"/>
      <c r="R101" s="100" t="s">
        <v>117</v>
      </c>
      <c r="S101" s="44"/>
      <c r="T101" s="42"/>
      <c r="U101" s="42"/>
      <c r="V101" s="42"/>
      <c r="W101" s="42"/>
      <c r="X101" s="42"/>
      <c r="Y101" s="42"/>
      <c r="Z101" s="42"/>
      <c r="AA101" s="235"/>
      <c r="AB101" s="81"/>
      <c r="AC101" s="42"/>
    </row>
    <row r="102" spans="1:29" ht="12.75">
      <c r="A102" s="42"/>
      <c r="B102" s="69"/>
      <c r="C102" s="69"/>
      <c r="D102" s="69"/>
      <c r="E102" s="69"/>
      <c r="F102" s="69"/>
      <c r="G102" s="69"/>
      <c r="H102" s="73"/>
      <c r="I102" s="73"/>
      <c r="J102" s="73"/>
      <c r="K102" s="73"/>
      <c r="L102" s="73"/>
      <c r="M102" s="73"/>
      <c r="N102" s="73"/>
      <c r="O102" s="42"/>
      <c r="P102" s="73"/>
      <c r="Q102" s="42"/>
      <c r="R102" s="73"/>
      <c r="S102" s="42"/>
      <c r="T102" s="42"/>
      <c r="U102" s="42"/>
      <c r="V102" s="42"/>
      <c r="W102" s="42"/>
      <c r="X102" s="42"/>
      <c r="Y102" s="42"/>
      <c r="Z102" s="42"/>
      <c r="AA102" s="235"/>
      <c r="AB102" s="81"/>
      <c r="AC102" s="42"/>
    </row>
    <row r="103" spans="1:29" ht="13.5" thickBot="1">
      <c r="A103" s="42"/>
      <c r="B103" s="69"/>
      <c r="C103" s="69"/>
      <c r="D103" s="69"/>
      <c r="E103" s="69"/>
      <c r="F103" s="69"/>
      <c r="G103" s="69"/>
      <c r="H103" s="74" t="s">
        <v>93</v>
      </c>
      <c r="I103" s="75">
        <v>4</v>
      </c>
      <c r="J103" s="74" t="s">
        <v>93</v>
      </c>
      <c r="K103" s="75">
        <v>2</v>
      </c>
      <c r="L103" s="149" t="s">
        <v>93</v>
      </c>
      <c r="M103" s="75">
        <v>1</v>
      </c>
      <c r="N103" s="74" t="s">
        <v>93</v>
      </c>
      <c r="O103" s="75">
        <v>1</v>
      </c>
      <c r="P103" s="74" t="s">
        <v>93</v>
      </c>
      <c r="Q103" s="75">
        <f>+C76</f>
        <v>1</v>
      </c>
      <c r="R103" s="74" t="s">
        <v>93</v>
      </c>
      <c r="S103" s="75">
        <v>3</v>
      </c>
      <c r="T103" s="103"/>
      <c r="U103" s="42"/>
      <c r="V103" s="42"/>
      <c r="W103" s="42"/>
      <c r="X103" s="42"/>
      <c r="Y103" s="42"/>
      <c r="Z103" s="42"/>
      <c r="AA103" s="235"/>
      <c r="AB103" s="81"/>
      <c r="AC103" s="42"/>
    </row>
    <row r="104" spans="1:29" ht="13.5" thickBot="1">
      <c r="A104" s="42"/>
      <c r="B104" s="69"/>
      <c r="C104" s="69"/>
      <c r="D104" s="69"/>
      <c r="E104" s="69"/>
      <c r="F104" s="69"/>
      <c r="G104" s="69"/>
      <c r="H104" s="76" t="s">
        <v>174</v>
      </c>
      <c r="I104" s="145">
        <v>150000</v>
      </c>
      <c r="J104" s="76" t="s">
        <v>174</v>
      </c>
      <c r="K104" s="145">
        <v>150000</v>
      </c>
      <c r="L104" s="76" t="s">
        <v>174</v>
      </c>
      <c r="M104" s="145">
        <v>150000</v>
      </c>
      <c r="N104" s="76" t="s">
        <v>174</v>
      </c>
      <c r="O104" s="145">
        <v>150000</v>
      </c>
      <c r="P104" s="76" t="s">
        <v>174</v>
      </c>
      <c r="Q104" s="145">
        <v>150000</v>
      </c>
      <c r="R104" s="76" t="s">
        <v>174</v>
      </c>
      <c r="S104" s="145">
        <v>150000</v>
      </c>
      <c r="T104" s="128"/>
      <c r="U104" s="453" t="s">
        <v>121</v>
      </c>
      <c r="V104" s="468"/>
      <c r="W104" s="42"/>
      <c r="X104" s="42"/>
      <c r="Y104" s="42"/>
      <c r="Z104" s="42"/>
      <c r="AA104" s="235"/>
      <c r="AB104" s="81"/>
      <c r="AC104" s="42"/>
    </row>
    <row r="105" spans="1:29" ht="12.75">
      <c r="A105" s="42"/>
      <c r="B105" s="69"/>
      <c r="C105" s="69"/>
      <c r="D105" s="69"/>
      <c r="E105" s="69"/>
      <c r="F105" s="69"/>
      <c r="G105" s="69"/>
      <c r="H105" s="77" t="s">
        <v>94</v>
      </c>
      <c r="I105" s="77">
        <v>3</v>
      </c>
      <c r="J105" s="77" t="s">
        <v>94</v>
      </c>
      <c r="K105" s="77">
        <v>3</v>
      </c>
      <c r="L105" s="77" t="s">
        <v>94</v>
      </c>
      <c r="M105" s="77">
        <v>3</v>
      </c>
      <c r="N105" s="77" t="s">
        <v>94</v>
      </c>
      <c r="O105" s="77">
        <v>3</v>
      </c>
      <c r="P105" s="77" t="s">
        <v>94</v>
      </c>
      <c r="Q105" s="106">
        <v>3</v>
      </c>
      <c r="R105" s="77" t="s">
        <v>94</v>
      </c>
      <c r="S105" s="77">
        <v>3</v>
      </c>
      <c r="T105" s="42"/>
      <c r="U105" s="462">
        <f>+I106+K106+M106+O106+Q106+S106</f>
        <v>0</v>
      </c>
      <c r="V105" s="463"/>
      <c r="W105" s="42"/>
      <c r="X105" s="42"/>
      <c r="Y105" s="42"/>
      <c r="Z105" s="42"/>
      <c r="AA105" s="235"/>
      <c r="AB105" s="81"/>
      <c r="AC105" s="42"/>
    </row>
    <row r="106" spans="1:29" ht="13.5" thickBot="1">
      <c r="A106" s="78"/>
      <c r="B106" s="69"/>
      <c r="C106" s="79"/>
      <c r="D106" s="79"/>
      <c r="E106" s="79"/>
      <c r="F106" s="79"/>
      <c r="G106" s="79"/>
      <c r="H106" s="67" t="s">
        <v>42</v>
      </c>
      <c r="I106" s="80">
        <f>+I103*I104*I105*0</f>
        <v>0</v>
      </c>
      <c r="J106" s="67" t="s">
        <v>42</v>
      </c>
      <c r="K106" s="80">
        <f>+K103*K104*K105*0</f>
        <v>0</v>
      </c>
      <c r="L106" s="67" t="s">
        <v>42</v>
      </c>
      <c r="M106" s="80">
        <f>+M103*M104*M105*0</f>
        <v>0</v>
      </c>
      <c r="N106" s="67" t="s">
        <v>42</v>
      </c>
      <c r="O106" s="80">
        <f>+O103*O104*O105*0</f>
        <v>0</v>
      </c>
      <c r="P106" s="67" t="s">
        <v>42</v>
      </c>
      <c r="Q106" s="107">
        <f>+Q103*Q104*Q105*0</f>
        <v>0</v>
      </c>
      <c r="R106" s="67" t="s">
        <v>42</v>
      </c>
      <c r="S106" s="80">
        <f>+S103*S104*S105*0</f>
        <v>0</v>
      </c>
      <c r="T106" s="128"/>
      <c r="U106" s="464"/>
      <c r="V106" s="465"/>
      <c r="W106" s="42"/>
      <c r="X106" s="42"/>
      <c r="Y106" s="42"/>
      <c r="Z106" s="42"/>
      <c r="AA106" s="235"/>
      <c r="AB106" s="81"/>
      <c r="AC106" s="42"/>
    </row>
    <row r="107" spans="1:29" ht="12.75">
      <c r="A107" s="78"/>
      <c r="B107" s="69"/>
      <c r="C107" s="79"/>
      <c r="D107" s="79"/>
      <c r="E107" s="79"/>
      <c r="F107" s="79"/>
      <c r="G107" s="79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236"/>
      <c r="AB107" s="42"/>
      <c r="AC107" s="42"/>
    </row>
    <row r="108" spans="1:29" ht="12.75">
      <c r="A108" s="78"/>
      <c r="B108" s="69"/>
      <c r="C108" s="79"/>
      <c r="D108" s="79"/>
      <c r="E108" s="79"/>
      <c r="F108" s="79"/>
      <c r="G108" s="79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236"/>
      <c r="AB108" s="42"/>
      <c r="AC108" s="42"/>
    </row>
    <row r="109" spans="1:29" ht="12.75">
      <c r="A109" s="78"/>
      <c r="B109" s="69"/>
      <c r="C109" s="79"/>
      <c r="D109" s="79"/>
      <c r="E109" s="79"/>
      <c r="F109" s="79"/>
      <c r="G109" s="79"/>
      <c r="H109" s="42"/>
      <c r="I109" s="81"/>
      <c r="J109" s="81"/>
      <c r="K109" s="82"/>
      <c r="L109" s="82"/>
      <c r="M109" s="82"/>
      <c r="N109" s="82"/>
      <c r="O109" s="82"/>
      <c r="P109" s="82"/>
      <c r="Q109" s="82"/>
      <c r="R109" s="81"/>
      <c r="S109" s="81"/>
      <c r="T109" s="81"/>
      <c r="U109" s="81"/>
      <c r="V109" s="81"/>
      <c r="W109" s="81"/>
      <c r="X109" s="81"/>
      <c r="Y109" s="81"/>
      <c r="Z109" s="42"/>
      <c r="AA109" s="236"/>
      <c r="AB109" s="42"/>
      <c r="AC109" s="42"/>
    </row>
    <row r="110" spans="1:29" ht="12.75">
      <c r="A110" s="78"/>
      <c r="B110" s="69"/>
      <c r="C110" s="79"/>
      <c r="D110" s="79"/>
      <c r="E110" s="79"/>
      <c r="F110" s="79"/>
      <c r="G110" s="79"/>
      <c r="H110" s="42"/>
      <c r="I110" s="81"/>
      <c r="J110" s="81"/>
      <c r="K110" s="83"/>
      <c r="L110" s="84"/>
      <c r="M110" s="84"/>
      <c r="N110" s="84"/>
      <c r="O110" s="85"/>
      <c r="P110" s="83"/>
      <c r="Q110" s="84"/>
      <c r="R110" s="85"/>
      <c r="S110" s="83"/>
      <c r="T110" s="81"/>
      <c r="U110" s="81"/>
      <c r="V110" s="81"/>
      <c r="W110" s="81"/>
      <c r="X110" s="81"/>
      <c r="Y110" s="81"/>
      <c r="Z110" s="42"/>
      <c r="AA110" s="236"/>
      <c r="AB110" s="42"/>
      <c r="AC110" s="42"/>
    </row>
    <row r="111" spans="1:29" ht="12.75">
      <c r="A111" s="78"/>
      <c r="B111" s="69"/>
      <c r="C111" s="79"/>
      <c r="D111" s="79"/>
      <c r="E111" s="79"/>
      <c r="F111" s="79"/>
      <c r="G111" s="79"/>
      <c r="H111" s="42"/>
      <c r="I111" s="81"/>
      <c r="J111" s="81"/>
      <c r="K111" s="83"/>
      <c r="L111" s="84"/>
      <c r="M111" s="81"/>
      <c r="N111" s="84"/>
      <c r="O111" s="85"/>
      <c r="P111" s="83"/>
      <c r="Q111" s="84"/>
      <c r="R111" s="85"/>
      <c r="S111" s="81"/>
      <c r="T111" s="81"/>
      <c r="U111" s="81"/>
      <c r="V111" s="81"/>
      <c r="W111" s="81"/>
      <c r="X111" s="81"/>
      <c r="Y111" s="81"/>
      <c r="Z111" s="42"/>
      <c r="AA111" s="236"/>
      <c r="AB111" s="42"/>
      <c r="AC111" s="42"/>
    </row>
    <row r="112" spans="1:29" ht="12.75">
      <c r="A112" s="78"/>
      <c r="B112" s="69"/>
      <c r="C112" s="79"/>
      <c r="D112" s="79"/>
      <c r="E112" s="79"/>
      <c r="F112" s="79"/>
      <c r="G112" s="79"/>
      <c r="H112" s="42"/>
      <c r="I112" s="81"/>
      <c r="J112" s="84"/>
      <c r="K112" s="81"/>
      <c r="L112" s="81"/>
      <c r="M112" s="81"/>
      <c r="N112" s="81"/>
      <c r="O112" s="81"/>
      <c r="P112" s="84"/>
      <c r="Q112" s="81"/>
      <c r="R112" s="81"/>
      <c r="S112" s="81"/>
      <c r="T112" s="81"/>
      <c r="U112" s="81"/>
      <c r="V112" s="81"/>
      <c r="W112" s="81"/>
      <c r="X112" s="81"/>
      <c r="Y112" s="81"/>
      <c r="Z112" s="42"/>
      <c r="AA112" s="236"/>
      <c r="AB112" s="42"/>
      <c r="AC112" s="42"/>
    </row>
    <row r="113" spans="1:29" ht="12.75">
      <c r="A113" s="78"/>
      <c r="B113" s="69"/>
      <c r="C113" s="79"/>
      <c r="D113" s="79"/>
      <c r="E113" s="79"/>
      <c r="F113" s="79"/>
      <c r="G113" s="79"/>
      <c r="H113" s="42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42"/>
      <c r="AA113" s="236"/>
      <c r="AB113" s="42"/>
      <c r="AC113" s="42"/>
    </row>
    <row r="114" spans="1:29" ht="12.75">
      <c r="A114" s="102" t="s">
        <v>44</v>
      </c>
      <c r="B114" s="69"/>
      <c r="C114" s="79"/>
      <c r="D114" s="79"/>
      <c r="E114" s="79"/>
      <c r="F114" s="79"/>
      <c r="G114" s="79"/>
      <c r="H114" s="77" t="s">
        <v>96</v>
      </c>
      <c r="I114" s="313">
        <f>(5800000+(5800000*$C$8))*3</f>
        <v>18049020</v>
      </c>
      <c r="J114" s="84"/>
      <c r="K114" s="84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42"/>
      <c r="AA114" s="236"/>
      <c r="AB114" s="42"/>
      <c r="AC114" s="42"/>
    </row>
    <row r="115" spans="1:29" ht="12.75">
      <c r="A115" s="284"/>
      <c r="B115" s="69"/>
      <c r="C115" s="79"/>
      <c r="D115" s="79"/>
      <c r="E115" s="79"/>
      <c r="F115" s="79"/>
      <c r="G115" s="79"/>
      <c r="H115" s="314" t="s">
        <v>322</v>
      </c>
      <c r="I115" s="313">
        <f>20000000/4</f>
        <v>5000000</v>
      </c>
      <c r="J115" s="84"/>
      <c r="K115" s="84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42"/>
      <c r="AA115" s="236"/>
      <c r="AB115" s="42"/>
      <c r="AC115" s="42"/>
    </row>
    <row r="116" spans="1:29" ht="12.75">
      <c r="A116" s="42"/>
      <c r="B116" s="69"/>
      <c r="C116" s="69"/>
      <c r="D116" s="69"/>
      <c r="E116" s="69"/>
      <c r="F116" s="69"/>
      <c r="G116" s="69"/>
      <c r="H116" s="77" t="s">
        <v>157</v>
      </c>
      <c r="I116" s="313">
        <f>4000000/4</f>
        <v>1000000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236"/>
      <c r="AB116" s="42"/>
      <c r="AC116" s="42"/>
    </row>
    <row r="117" spans="1:29" ht="12.75">
      <c r="A117" s="42"/>
      <c r="B117" s="69"/>
      <c r="C117" s="69"/>
      <c r="D117" s="69"/>
      <c r="E117" s="69"/>
      <c r="F117" s="69"/>
      <c r="G117" s="69"/>
      <c r="H117" s="67" t="s">
        <v>42</v>
      </c>
      <c r="I117" s="319">
        <f>SUM(I114:I116)</f>
        <v>24049020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236"/>
      <c r="AB117" s="42"/>
      <c r="AC117" s="42"/>
    </row>
    <row r="118" spans="1:29" ht="12.75">
      <c r="A118" s="42"/>
      <c r="B118" s="69"/>
      <c r="C118" s="69"/>
      <c r="D118" s="69"/>
      <c r="E118" s="69"/>
      <c r="F118" s="69"/>
      <c r="G118" s="69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236"/>
      <c r="AB118" s="42"/>
      <c r="AC118" s="42"/>
    </row>
    <row r="119" spans="1:29" ht="12.75">
      <c r="A119" s="124"/>
      <c r="B119" s="69"/>
      <c r="C119" s="117"/>
      <c r="D119" s="117"/>
      <c r="E119" s="117"/>
      <c r="F119" s="117"/>
      <c r="G119" s="117"/>
      <c r="H119" s="81"/>
      <c r="I119" s="84"/>
      <c r="J119" s="81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236"/>
      <c r="AB119" s="42"/>
      <c r="AC119" s="42"/>
    </row>
    <row r="120" spans="1:29" ht="12.75">
      <c r="A120" s="81"/>
      <c r="B120" s="69"/>
      <c r="C120" s="117"/>
      <c r="D120" s="117"/>
      <c r="E120" s="117"/>
      <c r="F120" s="117"/>
      <c r="G120" s="117"/>
      <c r="H120" s="81"/>
      <c r="I120" s="84"/>
      <c r="J120" s="81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236"/>
      <c r="AB120" s="42"/>
      <c r="AC120" s="42"/>
    </row>
    <row r="121" spans="1:29" ht="12.75">
      <c r="A121" s="81"/>
      <c r="B121" s="69"/>
      <c r="C121" s="117"/>
      <c r="D121" s="117"/>
      <c r="E121" s="117"/>
      <c r="F121" s="117"/>
      <c r="G121" s="117"/>
      <c r="H121" s="12"/>
      <c r="I121" s="118"/>
      <c r="J121" s="81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236"/>
      <c r="AB121" s="42"/>
      <c r="AC121" s="42"/>
    </row>
    <row r="122" spans="1:29" ht="12.75">
      <c r="A122" s="42"/>
      <c r="B122" s="69"/>
      <c r="C122" s="69"/>
      <c r="D122" s="69"/>
      <c r="E122" s="69"/>
      <c r="F122" s="69"/>
      <c r="G122" s="69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236"/>
      <c r="AB122" s="42"/>
      <c r="AC122" s="42"/>
    </row>
    <row r="123" spans="1:29" ht="12.75">
      <c r="A123" s="42"/>
      <c r="B123" s="42"/>
      <c r="C123" s="69"/>
      <c r="D123" s="69"/>
      <c r="E123" s="69"/>
      <c r="F123" s="69"/>
      <c r="G123" s="69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236"/>
      <c r="AB123" s="42"/>
      <c r="AC123" s="42"/>
    </row>
    <row r="124" spans="1:29" ht="12.75">
      <c r="A124" s="42"/>
      <c r="B124" s="42"/>
      <c r="C124" s="69"/>
      <c r="D124" s="69"/>
      <c r="E124" s="69"/>
      <c r="F124" s="69"/>
      <c r="G124" s="69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</row>
    <row r="125" spans="1:29" ht="12.75">
      <c r="A125" s="42"/>
      <c r="B125" s="42"/>
      <c r="C125" s="69"/>
      <c r="D125" s="69"/>
      <c r="E125" s="69"/>
      <c r="F125" s="69"/>
      <c r="G125" s="69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</row>
    <row r="126" spans="1:29" ht="12.75">
      <c r="A126" s="42"/>
      <c r="B126" s="42"/>
      <c r="C126" s="69"/>
      <c r="D126" s="69"/>
      <c r="E126" s="69"/>
      <c r="F126" s="69"/>
      <c r="G126" s="69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</row>
    <row r="127" spans="1:29" ht="12.75">
      <c r="A127" s="42"/>
      <c r="B127" s="42"/>
      <c r="C127" s="69"/>
      <c r="D127" s="69"/>
      <c r="E127" s="69"/>
      <c r="F127" s="69"/>
      <c r="G127" s="69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</row>
    <row r="128" spans="1:29" ht="12.75">
      <c r="A128" s="42"/>
      <c r="B128" s="42"/>
      <c r="C128" s="69"/>
      <c r="D128" s="69"/>
      <c r="E128" s="69"/>
      <c r="F128" s="69"/>
      <c r="G128" s="69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</row>
    <row r="129" spans="1:29" ht="12.75">
      <c r="A129" s="42"/>
      <c r="B129" s="42"/>
      <c r="C129" s="69"/>
      <c r="D129" s="69"/>
      <c r="E129" s="69"/>
      <c r="F129" s="69"/>
      <c r="G129" s="69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</row>
    <row r="130" spans="1:29" ht="12.75">
      <c r="A130" s="42"/>
      <c r="B130" s="42"/>
      <c r="C130" s="69"/>
      <c r="D130" s="69"/>
      <c r="E130" s="69"/>
      <c r="F130" s="69"/>
      <c r="G130" s="69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</row>
    <row r="131" spans="1:25" ht="12.75">
      <c r="A131" s="20"/>
      <c r="B131" s="20"/>
      <c r="C131" s="21"/>
      <c r="D131" s="21"/>
      <c r="E131" s="21"/>
      <c r="F131" s="21"/>
      <c r="G131" s="21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12.75">
      <c r="A132" s="20"/>
      <c r="B132" s="20"/>
      <c r="C132" s="21"/>
      <c r="D132" s="21"/>
      <c r="E132" s="21"/>
      <c r="F132" s="21"/>
      <c r="G132" s="21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12.75">
      <c r="A133" s="20"/>
      <c r="B133" s="20"/>
      <c r="C133" s="21"/>
      <c r="D133" s="21"/>
      <c r="E133" s="21"/>
      <c r="F133" s="21"/>
      <c r="G133" s="21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</sheetData>
  <sheetProtection/>
  <mergeCells count="13">
    <mergeCell ref="P4:Z4"/>
    <mergeCell ref="P5:Z5"/>
    <mergeCell ref="P6:Z6"/>
    <mergeCell ref="C4:O4"/>
    <mergeCell ref="C5:O5"/>
    <mergeCell ref="C6:O6"/>
    <mergeCell ref="U105:V106"/>
    <mergeCell ref="X8:X9"/>
    <mergeCell ref="P8:R8"/>
    <mergeCell ref="C94:H94"/>
    <mergeCell ref="S8:S9"/>
    <mergeCell ref="U8:U9"/>
    <mergeCell ref="U104:V104"/>
  </mergeCells>
  <printOptions horizontalCentered="1" verticalCentered="1"/>
  <pageMargins left="0.2362204724409449" right="0.2755905511811024" top="0.15748031496062992" bottom="0.1968503937007874" header="0" footer="0"/>
  <pageSetup fitToHeight="2" fitToWidth="2" horizontalDpi="300" verticalDpi="300" orientation="landscape" scale="43" r:id="rId1"/>
  <rowBreaks count="1" manualBreakCount="1">
    <brk id="95" max="24" man="1"/>
  </rowBreaks>
  <colBreaks count="1" manualBreakCount="1">
    <brk id="15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 Nal. de la Porcicultura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davidgomez</dc:creator>
  <cp:keywords/>
  <dc:description/>
  <cp:lastModifiedBy>Sandra Gonzalez</cp:lastModifiedBy>
  <cp:lastPrinted>2012-05-22T20:47:43Z</cp:lastPrinted>
  <dcterms:created xsi:type="dcterms:W3CDTF">2004-09-15T00:05:45Z</dcterms:created>
  <dcterms:modified xsi:type="dcterms:W3CDTF">2019-11-18T20:38:29Z</dcterms:modified>
  <cp:category/>
  <cp:version/>
  <cp:contentType/>
  <cp:contentStatus/>
</cp:coreProperties>
</file>