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 yWindow="405" windowWidth="5730" windowHeight="5760" firstSheet="3" activeTab="3"/>
  </bookViews>
  <sheets>
    <sheet name="Anexo 1 Minagricultura" sheetId="1" state="hidden" r:id="rId1"/>
    <sheet name="Presupuesto general" sheetId="2" state="hidden" r:id="rId2"/>
    <sheet name="2004VS2005" sheetId="3" state="hidden" r:id="rId3"/>
    <sheet name="GASTOS" sheetId="4" r:id="rId4"/>
    <sheet name="Funcionamiento" sheetId="5" state="hidden" r:id="rId5"/>
    <sheet name="Nómina y honorarios 2009" sheetId="6" state="hidden" r:id="rId6"/>
    <sheet name="Inversión total en programas" sheetId="7" state="hidden" r:id="rId7"/>
    <sheet name="MODELO CONTRATISTAS" sheetId="8" state="hidden" r:id="rId8"/>
    <sheet name="Servicios personal 2005" sheetId="9" state="hidden" r:id="rId9"/>
    <sheet name="Nómina 2004" sheetId="10" state="hidden" r:id="rId10"/>
  </sheets>
  <externalReferences>
    <externalReference r:id="rId13"/>
    <externalReference r:id="rId14"/>
    <externalReference r:id="rId15"/>
  </externalReferences>
  <definedNames>
    <definedName name="_xlnm._FilterDatabase" hidden="1">'MODELO CONTRATISTAS'!$A$4:$J$40</definedName>
    <definedName name="_xlnm.Print_Area" localSheetId="0">'Anexo 1 Minagricultura'!$A$1:$I$40</definedName>
    <definedName name="_xlnm.Print_Area" localSheetId="3">'GASTOS'!$A$1:$N$183</definedName>
    <definedName name="_xlnm.Print_Area" localSheetId="6">'Inversión total en programas'!$A$6:$D$106</definedName>
    <definedName name="_xlnm.Print_Area" localSheetId="5">'Nómina y honorarios 2009'!$A$1:$Z$93</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_PROYEC">'Anexo 1 Minagricultura'!$C$47</definedName>
    <definedName name="CUOTAPPC2005">'Anexo 1 Minagricultura'!$D$16</definedName>
    <definedName name="DIAG_PPC">'Inversión total en programas'!$B$86</definedName>
    <definedName name="eeeee">#REF!</definedName>
    <definedName name="EPPC">'Anexo 1 Minagricultura'!$C$55</definedName>
    <definedName name="FOMENTO">'Anexo 1 Minagricultura'!$C$54</definedName>
    <definedName name="FOMENTOS">'[2]Anexo 1 Minagricultura'!$C$51</definedName>
    <definedName name="fondo">#REF!</definedName>
    <definedName name="GTOSEPPC">'Inversión total en programas'!$C$35</definedName>
    <definedName name="HONORAUDI_JURIDIC">#REF!</definedName>
    <definedName name="HONTOTAL">#REF!</definedName>
    <definedName name="ojo">#REF!</definedName>
    <definedName name="RESERV_FUTU">#REF!</definedName>
    <definedName name="saldo">#REF!</definedName>
    <definedName name="saldos">#REF!</definedName>
    <definedName name="SUPERA2004">'Anexo 1 Minagricultura'!$B$22</definedName>
    <definedName name="SUPERA2005">'Anexo 1 Minagricultura'!$C$22</definedName>
    <definedName name="SUPERAVIT">#REF!</definedName>
    <definedName name="SUPERAVIT2005_FNP">#REF!</definedName>
    <definedName name="SUPERAVITPPC_2005">#REF!</definedName>
    <definedName name="_xlnm.Print_Titles" localSheetId="4">'Funcionamiento'!$A:$A</definedName>
    <definedName name="_xlnm.Print_Titles" localSheetId="3">'GASTOS'!$1:$6</definedName>
    <definedName name="_xlnm.Print_Titles" localSheetId="6">'Inversión total en programas'!$1:$5</definedName>
    <definedName name="_xlnm.Print_Titles" localSheetId="5">'Nómina y honorarios 2009'!$A:$A</definedName>
    <definedName name="VTAS2005">'Anexo 1 Minagricultura'!$D$33</definedName>
    <definedName name="xx">'[3]Ingresos'!$C$19</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'Anexo 1 Minagricultura'!$A$1:$D$40</definedName>
    <definedName name="Z_4099E833_BB74_4680_85C9_A6CF399D1CE2_.wvu.PrintArea" localSheetId="6" hidden="1">'Inversión total en programas'!$A$6:$D$106</definedName>
    <definedName name="Z_4099E833_BB74_4680_85C9_A6CF399D1CE2_.wvu.PrintArea" localSheetId="1" hidden="1">'Presupuesto general'!$A$1:$F$63</definedName>
    <definedName name="Z_4099E833_BB74_4680_85C9_A6CF399D1CE2_.wvu.PrintTitles" hidden="1">'Inversión total en programas'!$1:$5</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PatriciaMart?nez</author>
    <author>XimenaMahecha</author>
    <author>martinezp</author>
  </authors>
  <commentList>
    <comment ref="D19" authorId="0">
      <text>
        <r>
          <rPr>
            <b/>
            <sz val="8"/>
            <rFont val="Tahoma"/>
            <family val="2"/>
          </rPr>
          <t>promedio de años 2005-2006</t>
        </r>
        <r>
          <rPr>
            <sz val="8"/>
            <rFont val="Tahoma"/>
            <family val="2"/>
          </rPr>
          <t xml:space="preserve">
</t>
        </r>
      </text>
    </comment>
    <comment ref="D29" authorId="0">
      <text>
        <r>
          <rPr>
            <sz val="8"/>
            <rFont val="Tahoma"/>
            <family val="2"/>
          </rPr>
          <t xml:space="preserve">Mantener CDT 300 millones, 11%, 12 meses
</t>
        </r>
      </text>
    </comment>
    <comment ref="D35" authorId="1">
      <text>
        <r>
          <rPr>
            <sz val="9"/>
            <rFont val="Tahoma"/>
            <family val="2"/>
          </rPr>
          <t>Promedio de $30.000.000 en cta ahorros</t>
        </r>
      </text>
    </comment>
    <comment ref="G37" authorId="2">
      <text>
        <r>
          <rPr>
            <sz val="10"/>
            <rFont val="Tahoma"/>
            <family val="2"/>
          </rPr>
          <t>$126,776,933 IAT Y $26,606,324 NOMINA IAT</t>
        </r>
        <r>
          <rPr>
            <sz val="8"/>
            <rFont val="Tahoma"/>
            <family val="2"/>
          </rPr>
          <t xml:space="preserve">
</t>
        </r>
        <r>
          <rPr>
            <sz val="10"/>
            <rFont val="Tahoma"/>
            <family val="2"/>
          </rPr>
          <t xml:space="preserve">$7,060,096 CORPOGUAVIO Y $38,400,000 CAR, </t>
        </r>
      </text>
    </comment>
  </commentList>
</comments>
</file>

<file path=xl/comments4.xml><?xml version="1.0" encoding="utf-8"?>
<comments xmlns="http://schemas.openxmlformats.org/spreadsheetml/2006/main">
  <authors>
    <author>LuisRicardoPaez</author>
    <author>martinezp</author>
  </authors>
  <commentList>
    <comment ref="C131" authorId="0">
      <text>
        <r>
          <rPr>
            <b/>
            <sz val="8"/>
            <rFont val="Tahoma"/>
            <family val="2"/>
          </rPr>
          <t>$ 3.000.000 Honorarios de Laura Batista pagados por Asoporcicultores</t>
        </r>
      </text>
    </comment>
    <comment ref="N154" authorId="1">
      <text>
        <r>
          <rPr>
            <sz val="8"/>
            <rFont val="Tahoma"/>
            <family val="2"/>
          </rPr>
          <t xml:space="preserve">
</t>
        </r>
        <r>
          <rPr>
            <sz val="10"/>
            <rFont val="Tahoma"/>
            <family val="2"/>
          </rPr>
          <t>Fue necesario reprogramar la consultoria del Dr. Miquet para el mes de julio debido a los retrasos en el avance del cronograma de la zona libre por parte del ICA</t>
        </r>
      </text>
    </comment>
    <comment ref="N133" authorId="1">
      <text>
        <r>
          <rPr>
            <sz val="8"/>
            <rFont val="Tahoma"/>
            <family val="2"/>
          </rPr>
          <t xml:space="preserve">
</t>
        </r>
      </text>
    </comment>
    <comment ref="N116" authorId="1">
      <text>
        <r>
          <rPr>
            <sz val="10"/>
            <rFont val="Tahoma"/>
            <family val="2"/>
          </rPr>
          <t xml:space="preserve">
las Universidades no han presentado ejecución superior al 80% para poder realizar el siguiente desembolso</t>
        </r>
      </text>
    </comment>
    <comment ref="N109" authorId="1">
      <text>
        <r>
          <rPr>
            <b/>
            <sz val="8"/>
            <rFont val="Tahoma"/>
            <family val="0"/>
          </rPr>
          <t>martinezp:</t>
        </r>
        <r>
          <rPr>
            <sz val="8"/>
            <rFont val="Tahoma"/>
            <family val="0"/>
          </rPr>
          <t xml:space="preserve">
</t>
        </r>
      </text>
    </comment>
    <comment ref="N90" authorId="1">
      <text>
        <r>
          <rPr>
            <b/>
            <sz val="8"/>
            <rFont val="Tahoma"/>
            <family val="0"/>
          </rPr>
          <t>martinezp:</t>
        </r>
        <r>
          <rPr>
            <sz val="8"/>
            <rFont val="Tahoma"/>
            <family val="0"/>
          </rPr>
          <t xml:space="preserve">
</t>
        </r>
      </text>
    </comment>
    <comment ref="N74" authorId="1">
      <text>
        <r>
          <rPr>
            <b/>
            <sz val="8"/>
            <rFont val="Tahoma"/>
            <family val="0"/>
          </rPr>
          <t>martinezp:</t>
        </r>
        <r>
          <rPr>
            <sz val="8"/>
            <rFont val="Tahoma"/>
            <family val="0"/>
          </rPr>
          <t xml:space="preserve">
</t>
        </r>
      </text>
    </comment>
    <comment ref="N67" authorId="1">
      <text>
        <r>
          <rPr>
            <b/>
            <sz val="8"/>
            <rFont val="Tahoma"/>
            <family val="0"/>
          </rPr>
          <t>martinezp:</t>
        </r>
        <r>
          <rPr>
            <sz val="8"/>
            <rFont val="Tahoma"/>
            <family val="0"/>
          </rPr>
          <t xml:space="preserve">
</t>
        </r>
      </text>
    </comment>
    <comment ref="N51" authorId="1">
      <text>
        <r>
          <rPr>
            <b/>
            <sz val="8"/>
            <rFont val="Tahoma"/>
            <family val="0"/>
          </rPr>
          <t>martinezp:</t>
        </r>
        <r>
          <rPr>
            <sz val="8"/>
            <rFont val="Tahoma"/>
            <family val="0"/>
          </rPr>
          <t xml:space="preserve">
</t>
        </r>
      </text>
    </comment>
    <comment ref="N42" authorId="1">
      <text>
        <r>
          <rPr>
            <b/>
            <sz val="8"/>
            <rFont val="Tahoma"/>
            <family val="0"/>
          </rPr>
          <t>martinezp:</t>
        </r>
        <r>
          <rPr>
            <sz val="8"/>
            <rFont val="Tahoma"/>
            <family val="0"/>
          </rPr>
          <t xml:space="preserve">
</t>
        </r>
      </text>
    </comment>
  </commentList>
</comments>
</file>

<file path=xl/comments5.xml><?xml version="1.0" encoding="utf-8"?>
<comments xmlns="http://schemas.openxmlformats.org/spreadsheetml/2006/main">
  <authors>
    <author>Fondo Nal. de la Porcicultura</author>
    <author>PatriciaMart?nez</author>
  </authors>
  <commentList>
    <comment ref="Q8" authorId="0">
      <text>
        <r>
          <rPr>
            <sz val="8"/>
            <rFont val="Tahoma"/>
            <family val="2"/>
          </rPr>
          <t>$17,600,000 son del área aconómica</t>
        </r>
      </text>
    </comment>
    <comment ref="Q20" authorId="0">
      <text>
        <r>
          <rPr>
            <sz val="8"/>
            <rFont val="Tahoma"/>
            <family val="2"/>
          </rPr>
          <t>ECONÓMICA $42,800,000
MERCADEO $15,600,000</t>
        </r>
        <r>
          <rPr>
            <sz val="8"/>
            <rFont val="Tahoma"/>
            <family val="2"/>
          </rPr>
          <t xml:space="preserve">
PPC $110,000,000
FUNCIONAMIENTO $11,000,000</t>
        </r>
      </text>
    </comment>
    <comment ref="Q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Q24" authorId="0">
      <text>
        <r>
          <rPr>
            <sz val="8"/>
            <rFont val="Tahoma"/>
            <family val="2"/>
          </rPr>
          <t xml:space="preserve">ECONÓMICA $28,000,000
MERCADEO $8,000,000
PPC $28,000,000
FUNCIONAMIENTO $20,000,000
</t>
        </r>
      </text>
    </comment>
    <comment ref="Q32" authorId="0">
      <text>
        <r>
          <rPr>
            <sz val="8"/>
            <rFont val="Tahoma"/>
            <family val="2"/>
          </rPr>
          <t xml:space="preserve">FUNCIONAMIENTO $48,000,000
PPC $45,000,000
</t>
        </r>
      </text>
    </comment>
    <comment ref="A15" authorId="0">
      <text>
        <r>
          <rPr>
            <sz val="8"/>
            <rFont val="Tahoma"/>
            <family val="2"/>
          </rPr>
          <t xml:space="preserve">SE ESTIMA UNA CIFRA DE $14,250,000 POR TRIMESTRE
</t>
        </r>
      </text>
    </comment>
    <comment ref="D8" authorId="1">
      <text>
        <r>
          <rPr>
            <sz val="8"/>
            <rFont val="Tahoma"/>
            <family val="2"/>
          </rPr>
          <t>50 licencias del antivirus a 2 años</t>
        </r>
        <r>
          <rPr>
            <sz val="8"/>
            <rFont val="Tahoma"/>
            <family val="2"/>
          </rPr>
          <t xml:space="preserve">
</t>
        </r>
      </text>
    </comment>
    <comment ref="K28" authorId="1">
      <text>
        <r>
          <rPr>
            <sz val="8"/>
            <rFont val="Tahoma"/>
            <family val="2"/>
          </rPr>
          <t>$</t>
        </r>
        <r>
          <rPr>
            <sz val="10"/>
            <rFont val="Tahoma"/>
            <family val="2"/>
          </rPr>
          <t>4.060.000 polizas e impuesto de timbre sena sac y $1.500.000 publicación diario oficial, car $1.300.000</t>
        </r>
      </text>
    </comment>
    <comment ref="J28" authorId="1">
      <text>
        <r>
          <rPr>
            <sz val="8"/>
            <rFont val="Tahoma"/>
            <family val="2"/>
          </rPr>
          <t xml:space="preserve">poliza proyecto IAT
</t>
        </r>
      </text>
    </comment>
    <comment ref="B22" authorId="1">
      <text>
        <r>
          <rPr>
            <b/>
            <sz val="8"/>
            <rFont val="Tahoma"/>
            <family val="2"/>
          </rPr>
          <t>PatriciaMartínez:</t>
        </r>
        <r>
          <rPr>
            <sz val="8"/>
            <rFont val="Tahoma"/>
            <family val="2"/>
          </rPr>
          <t xml:space="preserve">
$1.000.000 SOFWARE
$1.032.400 CHEQUES BANCO
$1.500.000 VARIOS</t>
        </r>
      </text>
    </comment>
  </commentList>
</comments>
</file>

<file path=xl/comments6.xml><?xml version="1.0" encoding="utf-8"?>
<comments xmlns="http://schemas.openxmlformats.org/spreadsheetml/2006/main">
  <authors>
    <author>Sergio Arturo Paredes Torres</author>
    <author>Fondo Nal. de la Porcicultura</author>
    <author>PatriciaMart?nez</author>
  </authors>
  <commentList>
    <comment ref="H61" authorId="0">
      <text>
        <r>
          <rPr>
            <sz val="10"/>
            <rFont val="Tahoma"/>
            <family val="2"/>
          </rPr>
          <t>$1.294.463</t>
        </r>
        <r>
          <rPr>
            <sz val="8"/>
            <rFont val="Tahoma"/>
            <family val="2"/>
          </rPr>
          <t xml:space="preserve">
</t>
        </r>
      </text>
    </comment>
    <comment ref="H20" authorId="1">
      <text>
        <r>
          <rPr>
            <sz val="10"/>
            <rFont val="Tahoma"/>
            <family val="2"/>
          </rPr>
          <t>cada uno por valor de $ 343,165</t>
        </r>
        <r>
          <rPr>
            <sz val="8"/>
            <rFont val="Tahoma"/>
            <family val="2"/>
          </rPr>
          <t xml:space="preserve">
</t>
        </r>
      </text>
    </comment>
    <comment ref="H32" authorId="2">
      <text>
        <r>
          <rPr>
            <sz val="12"/>
            <rFont val="Tahoma"/>
            <family val="2"/>
          </rPr>
          <t>$1.478.420 cada uno</t>
        </r>
        <r>
          <rPr>
            <sz val="8"/>
            <rFont val="Tahoma"/>
            <family val="2"/>
          </rPr>
          <t xml:space="preserve">
</t>
        </r>
      </text>
    </comment>
    <comment ref="H60" authorId="2">
      <text>
        <r>
          <rPr>
            <sz val="10"/>
            <rFont val="Tahoma"/>
            <family val="2"/>
          </rPr>
          <t>$1.478.420 cada uno</t>
        </r>
        <r>
          <rPr>
            <sz val="8"/>
            <rFont val="Tahoma"/>
            <family val="2"/>
          </rPr>
          <t xml:space="preserve">
</t>
        </r>
      </text>
    </comment>
    <comment ref="A65" authorId="2">
      <text>
        <r>
          <rPr>
            <b/>
            <sz val="8"/>
            <rFont val="Tahoma"/>
            <family val="2"/>
          </rPr>
          <t>dANNY</t>
        </r>
        <r>
          <rPr>
            <sz val="8"/>
            <rFont val="Tahoma"/>
            <family val="2"/>
          </rPr>
          <t xml:space="preserve">
</t>
        </r>
      </text>
    </comment>
    <comment ref="A66" authorId="2">
      <text>
        <r>
          <rPr>
            <b/>
            <sz val="8"/>
            <rFont val="Tahoma"/>
            <family val="2"/>
          </rPr>
          <t>RONALD</t>
        </r>
        <r>
          <rPr>
            <sz val="8"/>
            <rFont val="Tahoma"/>
            <family val="2"/>
          </rPr>
          <t xml:space="preserve">
</t>
        </r>
      </text>
    </comment>
  </commentList>
</comments>
</file>

<file path=xl/comments7.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<sst xmlns="http://schemas.openxmlformats.org/spreadsheetml/2006/main" count="867" uniqueCount="565">
  <si>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</si>
  <si>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</si>
  <si>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</si>
  <si>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</si>
  <si>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</si>
  <si>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</si>
  <si>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</si>
  <si>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</si>
  <si>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</si>
  <si>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</si>
  <si>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</si>
  <si>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</si>
  <si>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</si>
  <si>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</si>
  <si>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</si>
  <si>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</si>
  <si>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</si>
  <si>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</si>
  <si>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</si>
  <si>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</si>
  <si>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</si>
  <si>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</si>
  <si>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</si>
  <si>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</si>
  <si>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</si>
  <si>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</si>
  <si>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</si>
  <si>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</si>
  <si>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</si>
  <si>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</si>
  <si>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</si>
  <si>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</si>
  <si>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</si>
  <si>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</si>
  <si>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</si>
  <si>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</si>
  <si>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</si>
  <si>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</si>
  <si>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</si>
  <si>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</si>
  <si>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</si>
  <si>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</si>
  <si>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</si>
  <si>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</si>
  <si>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</si>
  <si>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</si>
  <si>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</si>
  <si>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</si>
  <si>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</si>
  <si>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</si>
  <si>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</si>
  <si>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</si>
  <si>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</si>
  <si>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</si>
  <si>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</si>
  <si>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</si>
  <si>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</si>
  <si>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</si>
  <si>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</si>
  <si>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</si>
  <si>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</si>
  <si>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</si>
  <si>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</si>
  <si>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</si>
  <si>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</si>
  <si>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</si>
  <si>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</si>
  <si>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</si>
  <si>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</si>
  <si>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</si>
  <si>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</si>
  <si>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</si>
  <si>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</si>
  <si>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</si>
  <si>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</si>
  <si>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</si>
  <si>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</si>
  <si>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</si>
  <si>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</si>
  <si>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</si>
  <si>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</si>
  <si>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</si>
  <si>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</si>
  <si>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</si>
  <si>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</si>
  <si>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</si>
  <si>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</si>
  <si>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</si>
  <si>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</si>
  <si>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</si>
  <si>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</si>
  <si>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</si>
  <si>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</si>
  <si>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</si>
  <si>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</si>
  <si>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</si>
  <si>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</si>
  <si>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</si>
  <si>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</si>
  <si>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</si>
  <si>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</si>
  <si>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</si>
  <si>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</si>
  <si>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</si>
  <si>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</si>
  <si>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</si>
  <si>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</si>
  <si>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</si>
  <si>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</si>
  <si>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</si>
  <si>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</si>
  <si>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</si>
  <si>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</si>
  <si>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</si>
  <si>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</si>
  <si>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</si>
  <si>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</si>
  <si>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</si>
  <si>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</si>
  <si>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</si>
  <si>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</si>
  <si>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</si>
  <si>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</si>
  <si>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</si>
  <si>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</si>
  <si>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</si>
  <si>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</si>
  <si>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</si>
  <si>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</si>
  <si>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</si>
  <si>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</si>
  <si>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</si>
  <si>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</si>
  <si>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</si>
  <si>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</si>
  <si>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</si>
  <si>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</si>
  <si>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</si>
  <si>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</si>
  <si>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</si>
  <si>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</si>
  <si>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</si>
  <si>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</si>
  <si>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</si>
  <si>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</si>
  <si>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</si>
  <si>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</si>
  <si>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</si>
  <si>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</si>
  <si>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</si>
  <si>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</si>
  <si>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</si>
  <si>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</si>
  <si>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</si>
  <si>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</si>
  <si>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</si>
  <si>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</si>
  <si>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</si>
  <si>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</si>
  <si>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</si>
  <si>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</si>
  <si>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</si>
  <si>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</si>
  <si>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</si>
  <si>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</si>
  <si>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</si>
  <si>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</si>
  <si>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Aseo</t>
  </si>
  <si>
    <t>Bodega</t>
  </si>
  <si>
    <t>Viajes</t>
  </si>
  <si>
    <t>Adpostal</t>
  </si>
  <si>
    <t>Servientrega</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</si>
  <si>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</si>
  <si>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</si>
  <si>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</si>
  <si>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</si>
  <si>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</si>
  <si>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</si>
  <si>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</si>
  <si>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</si>
  <si>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</si>
  <si>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</si>
  <si>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</si>
  <si>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</si>
  <si>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</si>
  <si>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CHAPETAS</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</si>
  <si>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</si>
  <si>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</si>
  <si>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</si>
  <si>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</si>
  <si>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</si>
  <si>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</si>
  <si>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</si>
  <si>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</si>
  <si>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</si>
  <si>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</si>
  <si>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</si>
  <si>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No.</t>
  </si>
  <si>
    <t>SALARIO BASE</t>
  </si>
  <si>
    <t xml:space="preserve">SUBSIDIO DE TRANSPORTE </t>
  </si>
  <si>
    <t>VALOR TOTAL A DEVENGAR MENSUAL</t>
  </si>
  <si>
    <t>RIESGOS PROFESIONALES 0,522%</t>
  </si>
  <si>
    <t>ICBF 3%</t>
  </si>
  <si>
    <t>SENA 2%</t>
  </si>
  <si>
    <t>ÁREA DE FUNCIONAMIENTO</t>
  </si>
  <si>
    <t>TESORERÍA</t>
  </si>
  <si>
    <t>ÁREA PPC</t>
  </si>
  <si>
    <t>VALOR TOTAL DE LA NÓMINA</t>
  </si>
  <si>
    <t>Fortalecimiento al recaudo</t>
  </si>
  <si>
    <t>AUDITORIA</t>
  </si>
  <si>
    <t>SALARIO INTEGRAL</t>
  </si>
  <si>
    <t>VALOR MENSUAL</t>
  </si>
  <si>
    <t>VALOR ANUAL 2006</t>
  </si>
  <si>
    <t>RENDIMIENTOS FINANCIEROS</t>
  </si>
  <si>
    <t>Diagnóstico rutinario</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</si>
  <si>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</si>
  <si>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</si>
  <si>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</si>
  <si>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</si>
  <si>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</si>
  <si>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</si>
  <si>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</si>
  <si>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</si>
  <si>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</si>
  <si>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</si>
  <si>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</si>
  <si>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</si>
  <si>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</si>
  <si>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</si>
  <si>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INICIAL</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</si>
  <si>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</si>
  <si>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</si>
  <si>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</si>
  <si>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</si>
  <si>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</si>
  <si>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</si>
  <si>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</si>
  <si>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</si>
  <si>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</si>
  <si>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</si>
  <si>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</si>
  <si>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</si>
  <si>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</si>
  <si>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</si>
  <si>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</si>
  <si>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</si>
  <si>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</si>
  <si>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</si>
  <si>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</si>
  <si>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</si>
  <si>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</si>
  <si>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</si>
  <si>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</si>
  <si>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</si>
  <si>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</si>
  <si>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</si>
  <si>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</si>
  <si>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</si>
  <si>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</si>
  <si>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</si>
  <si>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</si>
  <si>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</si>
  <si>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</si>
  <si>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</si>
  <si>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</si>
  <si>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</si>
  <si>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</si>
  <si>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</si>
  <si>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</si>
  <si>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</si>
  <si>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</si>
  <si>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</si>
  <si>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</si>
  <si>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</si>
  <si>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</si>
  <si>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</si>
  <si>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</si>
  <si>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</si>
  <si>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</si>
  <si>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</si>
  <si>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</si>
  <si>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</si>
  <si>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</si>
  <si>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</si>
  <si>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</si>
  <si>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</si>
  <si>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</si>
  <si>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</si>
  <si>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</si>
  <si>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</si>
  <si>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</si>
  <si>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</si>
  <si>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</si>
  <si>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MODIFICADO</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</si>
  <si>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</si>
  <si>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</si>
  <si>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</si>
  <si>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</si>
  <si>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</si>
  <si>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</si>
  <si>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</si>
  <si>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</si>
  <si>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</si>
  <si>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</si>
  <si>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</si>
  <si>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</si>
  <si>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</si>
  <si>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</si>
  <si>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</si>
  <si>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</si>
  <si>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</si>
  <si>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</si>
  <si>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</si>
  <si>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</si>
  <si>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</si>
  <si>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</si>
  <si>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</si>
  <si>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</si>
  <si>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</si>
  <si>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</si>
  <si>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</si>
  <si>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</si>
  <si>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OPCION 1</t>
  </si>
  <si>
    <t>UNIDADES</t>
  </si>
  <si>
    <t>PRECIO</t>
  </si>
  <si>
    <t>PPC</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</si>
  <si>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</si>
  <si>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</si>
  <si>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</si>
  <si>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</si>
  <si>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</si>
  <si>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</si>
  <si>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</si>
  <si>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</si>
  <si>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</si>
  <si>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</si>
  <si>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</si>
  <si>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</si>
  <si>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</si>
  <si>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</si>
  <si>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</si>
  <si>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</si>
  <si>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SALUD 8,5%</t>
  </si>
  <si>
    <t>Item</t>
  </si>
  <si>
    <t>AÑO 2008</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</si>
  <si>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</si>
  <si>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</si>
  <si>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</si>
  <si>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</si>
  <si>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</si>
  <si>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</si>
  <si>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</si>
  <si>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</si>
  <si>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</si>
  <si>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</si>
  <si>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</si>
  <si>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</si>
  <si>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</si>
  <si>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</si>
  <si>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</si>
  <si>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FINANCIERO</t>
  </si>
  <si>
    <t>COORDINADOR DE SANIDAD</t>
  </si>
  <si>
    <t>AUXILIAR DE BODEGA BOGOTÁ</t>
  </si>
  <si>
    <t>INICIO</t>
  </si>
  <si>
    <t>FINAL</t>
  </si>
  <si>
    <t>DÍAS</t>
  </si>
  <si>
    <t xml:space="preserve">     Talleres de formación PPC</t>
  </si>
  <si>
    <t xml:space="preserve">     Asesoría internacional</t>
  </si>
  <si>
    <t>Construcción de documentos</t>
  </si>
  <si>
    <t>Ciclos de vacunación</t>
  </si>
  <si>
    <t xml:space="preserve">   Contrapartida FNP</t>
  </si>
  <si>
    <t>Gestión Ambiental</t>
  </si>
  <si>
    <t>Centro de servicios técnicos y financieros</t>
  </si>
  <si>
    <t>COMSAC</t>
  </si>
  <si>
    <t>Participación en negociaciones</t>
  </si>
  <si>
    <t>COORDINADOR GESTIÓN EMPRESARIAL</t>
  </si>
  <si>
    <t>EXÁMENES INGRESO-SALIDA</t>
  </si>
  <si>
    <t>PROFESIONAL GRADO 2 ECONÓMICO</t>
  </si>
  <si>
    <t>PROFESIONAL GRADO 1  PPC</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</si>
  <si>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</si>
  <si>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</si>
  <si>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</si>
  <si>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</si>
  <si>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</si>
  <si>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</si>
  <si>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COORDINADOR  DE PUBLICIDAD</t>
  </si>
  <si>
    <t>l</t>
  </si>
  <si>
    <t xml:space="preserve">CUOTA DE FOMENTO PORCÍCOLA </t>
  </si>
  <si>
    <t>JEFE DE CALIDAD E INNOVACIÓN</t>
  </si>
  <si>
    <t>JEFE DE CANALES DE COMERCIALIZACIÓN</t>
  </si>
  <si>
    <t>Programas y proyectos PPC</t>
  </si>
  <si>
    <t>BIOLÓGICO</t>
  </si>
  <si>
    <t>TOTAL VENTAS PPC</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</si>
  <si>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</si>
  <si>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</si>
  <si>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</si>
  <si>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</si>
  <si>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</si>
  <si>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</si>
  <si>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</si>
  <si>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Integra Seguridad</t>
  </si>
  <si>
    <t>Nuevo contrato (2)</t>
  </si>
  <si>
    <t>JEFE DE GESTIÓN AMBIENTAL</t>
  </si>
  <si>
    <t>TOTAL NÓMINA DE PROGRAMAS</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</si>
  <si>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</si>
  <si>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</si>
  <si>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</si>
  <si>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</si>
  <si>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</si>
  <si>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</si>
  <si>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</si>
  <si>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</si>
  <si>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</si>
  <si>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</si>
  <si>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</si>
  <si>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</si>
  <si>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</si>
  <si>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AUXILIAR 2</t>
  </si>
  <si>
    <t>PROFESIONAL GRADO 1  PRESUPUESTO</t>
  </si>
  <si>
    <t xml:space="preserve">   Proyectos aprobados 2007</t>
  </si>
  <si>
    <t xml:space="preserve">   Proyectos aprobados 2008</t>
  </si>
  <si>
    <t xml:space="preserve">   Red nacional de investigación</t>
  </si>
  <si>
    <t>PENSIÓN 12%</t>
  </si>
  <si>
    <t xml:space="preserve">     Brigadas</t>
  </si>
  <si>
    <t xml:space="preserve">     Compra de biológico, chapetas y tenazas</t>
  </si>
  <si>
    <t xml:space="preserve">TOTAL GASTOS </t>
  </si>
  <si>
    <t>AÑO 2009</t>
  </si>
  <si>
    <t>CABEZAS ESTIMADAS AÑO 2008</t>
  </si>
  <si>
    <t>TOTAL CABEZAS MAS INCREMENTO PARA 2009</t>
  </si>
  <si>
    <t>SALARIO MÍNIMO MENSUAL LEGAL VIGENTE AÑO 2008</t>
  </si>
  <si>
    <t>CUOTA FOMENTO PORCICOLA ESTIMADA AÑO 2009</t>
  </si>
  <si>
    <t>CUOTA EPPC ESTIMADA AÑO 2009</t>
  </si>
  <si>
    <t>Salario diario legal vigente estimado año 2009</t>
  </si>
  <si>
    <t>% 09/08</t>
  </si>
  <si>
    <t>TOTAL 2009</t>
  </si>
  <si>
    <t>AÑO 2.009</t>
  </si>
  <si>
    <t>JEFE DE CONTROL DE PROYECTOS</t>
  </si>
  <si>
    <t>IPC APROX.</t>
  </si>
  <si>
    <t>Licencias</t>
  </si>
  <si>
    <t>Cuota Auditaje</t>
  </si>
  <si>
    <t>Alquiler de equipos visita</t>
  </si>
  <si>
    <t>fotocopias</t>
  </si>
  <si>
    <t>INGRESOS EXTRAORDINARIOS FNP</t>
  </si>
  <si>
    <t>% VARIACIÓN</t>
  </si>
  <si>
    <t>Impuestos</t>
  </si>
  <si>
    <t>Impuestos ind. Y ccio.</t>
  </si>
  <si>
    <t>Apoteosys</t>
  </si>
  <si>
    <t>BPN Conexión remota</t>
  </si>
  <si>
    <t>Crecimiento Salario mínimo</t>
  </si>
  <si>
    <t>Incremento General</t>
  </si>
  <si>
    <t>Salario mínimo</t>
  </si>
  <si>
    <t xml:space="preserve">ASISTENTE DE CONTABILIDAD </t>
  </si>
  <si>
    <t>ASISTENTE DE PEDIDOS Y DESPACHOS</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</si>
  <si>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</si>
  <si>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</si>
  <si>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</si>
  <si>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</si>
  <si>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</si>
  <si>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</si>
  <si>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</si>
  <si>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</si>
  <si>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INGRESOS FNP</t>
  </si>
  <si>
    <t>INGRESOS PPC</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</si>
  <si>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</si>
  <si>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</si>
  <si>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</si>
  <si>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</si>
  <si>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</si>
  <si>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</si>
  <si>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</si>
  <si>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</si>
  <si>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</si>
  <si>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</si>
  <si>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</si>
  <si>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</si>
  <si>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</si>
  <si>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</si>
  <si>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</si>
  <si>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</si>
  <si>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</si>
  <si>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</si>
  <si>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</si>
  <si>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</si>
  <si>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</si>
  <si>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</si>
  <si>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</si>
  <si>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</si>
  <si>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</si>
  <si>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</si>
  <si>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</si>
  <si>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</si>
  <si>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</si>
  <si>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</si>
  <si>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Identificación de canales (venta de precintos)</t>
  </si>
  <si>
    <t>DIGITADOR-CODIFICADOR</t>
  </si>
  <si>
    <t>DIGITADOR -CODIFICADOR</t>
  </si>
  <si>
    <t>Seguimiento a planes de accion CAR's</t>
  </si>
  <si>
    <t>PROFESIONAL GRADO 2 PROYECTO IAT</t>
  </si>
  <si>
    <t>ASISTENTE ADMINISTRATIVO PROYECTO IAT</t>
  </si>
  <si>
    <t>SUPERVISOR PROYECTO IAT</t>
  </si>
  <si>
    <t>SUPERVISOR</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</si>
  <si>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</si>
  <si>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</si>
  <si>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</si>
  <si>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</si>
  <si>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</si>
  <si>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</si>
  <si>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</si>
  <si>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</si>
  <si>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</si>
  <si>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</si>
  <si>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</si>
  <si>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</si>
  <si>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</si>
  <si>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</si>
  <si>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</si>
  <si>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VARIABLES DE INGRESOS VIGENCIA 2009</t>
  </si>
  <si>
    <t>ANEXO 2</t>
  </si>
  <si>
    <t>BACTERIOLOGA ICA</t>
  </si>
  <si>
    <t xml:space="preserve">BACTERIÓLOGA </t>
  </si>
  <si>
    <t>PROYECTO IAT</t>
  </si>
  <si>
    <t>ÁREA ECONÓMICA</t>
  </si>
  <si>
    <t>Convenio Uniandes</t>
  </si>
  <si>
    <t>Aux. Transporte</t>
  </si>
  <si>
    <t>Continuación Investigación sistemas de trazabilidad Convenio MADR</t>
  </si>
  <si>
    <t xml:space="preserve">AUXILIAR DE DESPACHOS </t>
  </si>
  <si>
    <t>Continuación Asesorías Consolidación Empresarial</t>
  </si>
  <si>
    <t>Arrendamientos de equipos e instalaciones</t>
  </si>
  <si>
    <t>VALOR TRIMESTRE</t>
  </si>
  <si>
    <t>CAJA DE COMPENSACIÓN TRIMESTRAL</t>
  </si>
  <si>
    <t>ICBF Y SENA TRIMESTRAL</t>
  </si>
  <si>
    <t>SEGUROS Y/O FONDOS PRIVADOS TRIMESTRAL</t>
  </si>
  <si>
    <t>VAC. TRIMESTRALES</t>
  </si>
  <si>
    <t>PRIMA LEGAL TRIMESTRAL</t>
  </si>
  <si>
    <t>INT./CES. TRIMESTRE (12%)</t>
  </si>
  <si>
    <t>CESANTÍAS TRIMESTRE1SMMLV</t>
  </si>
  <si>
    <t>SUELDO TRIMESTRAL</t>
  </si>
  <si>
    <t xml:space="preserve">  ASA</t>
  </si>
  <si>
    <t>SOLICITADO</t>
  </si>
  <si>
    <t>TRIMESTRE ABRIL- JUNIO DE 2009</t>
  </si>
  <si>
    <t>TRIMESTRE ABRIL -JUNIO DE 2009</t>
  </si>
  <si>
    <t>ABR-JUN/09</t>
  </si>
  <si>
    <t>Contrato 1018</t>
  </si>
  <si>
    <t xml:space="preserve">       Contrapartida MADR</t>
  </si>
  <si>
    <t xml:space="preserve">  Visitas de auditoría</t>
  </si>
  <si>
    <t xml:space="preserve">  Registro sello de respaldo</t>
  </si>
  <si>
    <t xml:space="preserve">  Asesoria SGS</t>
  </si>
  <si>
    <t>Certificación ISO 9001</t>
  </si>
  <si>
    <t xml:space="preserve">   Campaña reactivación del consumo</t>
  </si>
  <si>
    <t xml:space="preserve">   Contrapartida SENA</t>
  </si>
  <si>
    <t xml:space="preserve">Convenio SENA </t>
  </si>
  <si>
    <t>EJECUCIÓN DE INGRESOS</t>
  </si>
  <si>
    <t>EJECUCIÓN</t>
  </si>
  <si>
    <t>ACUERDO</t>
  </si>
  <si>
    <t>EJECUCIÓN DE GASTOS DE FUNCIONAMIENTO E INVERSIÓN 2.009</t>
  </si>
  <si>
    <t>ACUERDO No. 09/09</t>
  </si>
  <si>
    <t>PRESUPUESTO DEFINITIVO</t>
  </si>
  <si>
    <t>ACUERDO No. 10/09</t>
  </si>
  <si>
    <t>No. 10/09</t>
  </si>
  <si>
    <t>% EJECUCIÓN</t>
  </si>
  <si>
    <t>AIT</t>
  </si>
  <si>
    <t>INGRESOS FONDO</t>
  </si>
  <si>
    <t xml:space="preserve">       Contrapartida FNP- productores</t>
  </si>
  <si>
    <t>Talleres de formación técnica</t>
  </si>
  <si>
    <t>TRASLADO No.2</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</si>
</sst>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0.00\ _€_-;\-* #,##0.00\ _€_-;_-* &quot;-&quot;??\ _€_-;_-@_-"/>
    <numFmt numFmtId="187" formatCode="_ * #,##0_ ;_ * \-#,##0_ ;_ * &quot;-&quot;??_ ;_ @_ "/>
    <numFmt numFmtId="188" formatCode="0.0%"/>
    <numFmt numFmtId="189" formatCode="_(* #,##0_);_(* \(#,##0\);_(* &quot;-&quot;??_);_(@_)"/>
    <numFmt numFmtId="190" formatCode="_(* #,##0.000_);_(* \(#,##0.000\);_(* &quot;-&quot;??_);_(@_)"/>
    <numFmt numFmtId="191" formatCode="#,##0;[Red]#,##0"/>
    <numFmt numFmtId="192" formatCode="0.000%"/>
    <numFmt numFmtId="193" formatCode="&quot;$&quot;\ #,##0"/>
    <numFmt numFmtId="194" formatCode="_-* #,##0\ _€_-;\-* #,##0\ _€_-;_-* &quot;-&quot;??\ _€_-;_-@_-"/>
    <numFmt numFmtId="195" formatCode="_ &quot;$&quot;\ * #,##0_ ;_ &quot;$&quot;\ * \-#,##0_ ;_ &quot;$&quot;\ * &quot;-&quot;??_ ;_ @_ "/>
    <numFmt numFmtId="196" formatCode="[$$-240A]\ #,##0.00"/>
    <numFmt numFmtId="197" formatCode="&quot;$&quot;\ #,##0.00"/>
    <numFmt numFmtId="198" formatCode="0.0"/>
    <numFmt numFmtId="199" formatCode="[$$-240A]\ #,##0.0"/>
    <numFmt numFmtId="200" formatCode="[$$-240A]\ #,##0"/>
    <numFmt numFmtId="201" formatCode="[$$-240A]\ #,##0.000"/>
    <numFmt numFmtId="202" formatCode="[$$-240A]\ #,##0.0000"/>
    <numFmt numFmtId="203" formatCode="[$$-240A]\ #,##0.00000"/>
    <numFmt numFmtId="204" formatCode="[$$-240A]\ #,##0.000000"/>
    <numFmt numFmtId="205" formatCode="_ * #,##0.0_ ;_ * \-#,##0.0_ ;_ * &quot;-&quot;??_ ;_ @_ "/>
    <numFmt numFmtId="206" formatCode="_ * #,##0.000_ ;_ * \-#,##0.000_ ;_ * &quot;-&quot;??_ ;_ @_ "/>
    <numFmt numFmtId="207" formatCode="_ * #,##0.0000_ ;_ * \-#,##0.0000_ ;_ * &quot;-&quot;??_ ;_ @_ "/>
    <numFmt numFmtId="208" formatCode="#,##0.0"/>
    <numFmt numFmtId="209" formatCode="0.000"/>
    <numFmt numFmtId="210" formatCode="0.0000"/>
    <numFmt numFmtId="211" formatCode="#,##0.00000"/>
    <numFmt numFmtId="212" formatCode="#,##0.000000"/>
    <numFmt numFmtId="213" formatCode="0.0000%"/>
  </numFmts>
  <fonts count="72">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b/>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sz val="10"/>
      <color indexed="9"/>
      <name val="Comic Sans MS"/>
      <family val="4"/>
    </font>
    <font>
      <sz val="10"/>
      <color indexed="9"/>
      <name val="Arial"/>
      <family val="2"/>
    </font>
    <font>
      <sz val="10"/>
      <color indexed="14"/>
      <name val="Arial"/>
      <family val="2"/>
    </font>
    <font>
      <b/>
      <sz val="11"/>
      <name val="Arial"/>
      <family val="2"/>
    </font>
    <font>
      <sz val="11"/>
      <color indexed="10"/>
      <name val="Arial"/>
      <family val="2"/>
    </font>
    <font>
      <sz val="11"/>
      <color indexed="9"/>
      <name val="Arial"/>
      <family val="2"/>
    </font>
    <font>
      <b/>
      <sz val="11"/>
      <color indexed="9"/>
      <name val="Arial"/>
      <family val="2"/>
    </font>
    <font>
      <b/>
      <sz val="14"/>
      <name val="Arial"/>
      <family val="2"/>
    </font>
    <font>
      <b/>
      <sz val="12"/>
      <name val="Arial"/>
      <family val="2"/>
    </font>
    <font>
      <sz val="10"/>
      <name val="Tahoma"/>
      <family val="2"/>
    </font>
    <font>
      <sz val="10"/>
      <color indexed="10"/>
      <name val="Arial"/>
      <family val="2"/>
    </font>
    <font>
      <sz val="9"/>
      <name val="Tahoma"/>
      <family val="2"/>
    </font>
    <font>
      <sz val="10"/>
      <color indexed="10"/>
      <name val="Comic Sans MS"/>
      <family val="4"/>
    </font>
    <font>
      <b/>
      <sz val="11"/>
      <color indexed="8"/>
      <name val="Arial"/>
      <family val="2"/>
    </font>
    <font>
      <b/>
      <sz val="11"/>
      <color indexed="10"/>
      <name val="Arial"/>
      <family val="2"/>
    </font>
    <font>
      <sz val="12"/>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style="thin"/>
      <top style="medium"/>
      <bottom style="medium"/>
    </border>
    <border>
      <left style="hair"/>
      <right style="hair"/>
      <top style="hair"/>
      <bottom style="hair"/>
    </border>
    <border>
      <left style="double"/>
      <right style="hair"/>
      <top style="hair"/>
      <bottom style="hair"/>
    </border>
    <border>
      <left>
        <color indexed="63"/>
      </left>
      <right style="double"/>
      <top style="hair"/>
      <bottom style="hair"/>
    </border>
    <border>
      <left style="double"/>
      <right style="hair"/>
      <top style="double"/>
      <bottom style="hair"/>
    </border>
    <border>
      <left style="hair"/>
      <right style="hair"/>
      <top style="double"/>
      <bottom style="hair"/>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color indexed="63"/>
      </right>
      <top style="thin">
        <color indexed="55"/>
      </top>
      <bottom style="thin">
        <color indexed="55"/>
      </bottom>
    </border>
    <border>
      <left style="medium"/>
      <right style="medium"/>
      <top style="thin">
        <color indexed="55"/>
      </top>
      <bottom style="thin">
        <color indexed="55"/>
      </bottom>
    </border>
    <border>
      <left style="thin"/>
      <right>
        <color indexed="63"/>
      </right>
      <top>
        <color indexed="63"/>
      </top>
      <bottom style="thin">
        <color indexed="55"/>
      </bottom>
    </border>
    <border>
      <left style="medium"/>
      <right style="medium"/>
      <top>
        <color indexed="63"/>
      </top>
      <bottom style="thin">
        <color indexed="55"/>
      </bottom>
    </border>
    <border>
      <left style="thin"/>
      <right>
        <color indexed="63"/>
      </right>
      <top style="thin">
        <color indexed="55"/>
      </top>
      <bottom>
        <color indexed="63"/>
      </bottom>
    </border>
    <border>
      <left style="medium"/>
      <right style="medium"/>
      <top style="thin">
        <color indexed="55"/>
      </top>
      <bottom>
        <color indexed="63"/>
      </bottom>
    </border>
    <border>
      <left style="thin"/>
      <right>
        <color indexed="63"/>
      </right>
      <top style="medium"/>
      <bottom style="medium"/>
    </border>
    <border>
      <left>
        <color indexed="63"/>
      </left>
      <right>
        <color indexed="63"/>
      </right>
      <top style="double"/>
      <bottom style="hair"/>
    </border>
    <border>
      <left>
        <color indexed="63"/>
      </left>
      <right>
        <color indexed="63"/>
      </right>
      <top style="hair"/>
      <bottom style="hair"/>
    </border>
    <border>
      <left style="hair"/>
      <right>
        <color indexed="63"/>
      </right>
      <top style="double"/>
      <bottom style="hair"/>
    </border>
    <border>
      <left style="hair"/>
      <right>
        <color indexed="63"/>
      </right>
      <top style="hair"/>
      <bottom style="hair"/>
    </border>
    <border>
      <left>
        <color indexed="63"/>
      </left>
      <right style="double"/>
      <top style="double"/>
      <bottom style="hair"/>
    </border>
    <border>
      <left style="double"/>
      <right>
        <color indexed="63"/>
      </right>
      <top style="hair"/>
      <bottom style="hair"/>
    </border>
    <border>
      <left style="double"/>
      <right style="hair"/>
      <top style="hair"/>
      <bottom style="double"/>
    </border>
    <border>
      <left style="hair"/>
      <right style="hair"/>
      <top style="hair"/>
      <bottom style="double"/>
    </border>
    <border>
      <left>
        <color indexed="63"/>
      </left>
      <right>
        <color indexed="63"/>
      </right>
      <top style="hair"/>
      <bottom style="double"/>
    </border>
    <border>
      <left>
        <color indexed="63"/>
      </left>
      <right style="double"/>
      <top style="hair"/>
      <bottom style="double"/>
    </border>
    <border>
      <left style="hair"/>
      <right>
        <color indexed="63"/>
      </right>
      <top style="hair"/>
      <bottom style="double"/>
    </border>
    <border>
      <left>
        <color indexed="63"/>
      </left>
      <right>
        <color indexed="63"/>
      </right>
      <top>
        <color indexed="63"/>
      </top>
      <bottom style="double"/>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3"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4"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20"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2" fillId="0" borderId="8" applyNumberFormat="0" applyFill="0" applyAlignment="0" applyProtection="0"/>
    <xf numFmtId="0" fontId="71" fillId="0" borderId="9" applyNumberFormat="0" applyFill="0" applyAlignment="0" applyProtection="0"/>
  </cellStyleXfs>
  <cellXfs count="790">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8" fontId="6" fillId="0" borderId="10" xfId="65"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7" fontId="6" fillId="0" borderId="10" xfId="49"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7" fontId="6" fillId="0" borderId="10" xfId="49"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9" fontId="13" fillId="0" borderId="0" xfId="58" applyNumberFormat="1" applyFont="1" applyAlignment="1">
      <alignment/>
    </xf>
    <xf numFmtId="15" fontId="13" fillId="0" borderId="0" xfId="58" applyNumberFormat="1" applyFont="1" applyAlignment="1">
      <alignment/>
    </xf>
    <xf numFmtId="189" fontId="12" fillId="0" borderId="0" xfId="58" applyNumberFormat="1" applyFont="1" applyAlignment="1">
      <alignment/>
    </xf>
    <xf numFmtId="185" fontId="13" fillId="0" borderId="0" xfId="58" applyFont="1" applyAlignment="1">
      <alignment/>
    </xf>
    <xf numFmtId="185" fontId="13" fillId="0" borderId="0" xfId="0" applyNumberFormat="1" applyFont="1" applyAlignment="1">
      <alignment/>
    </xf>
    <xf numFmtId="190" fontId="13" fillId="0" borderId="0" xfId="0" applyNumberFormat="1" applyFont="1" applyAlignment="1">
      <alignment/>
    </xf>
    <xf numFmtId="189"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9" fontId="6" fillId="32" borderId="26" xfId="0" applyNumberFormat="1" applyFont="1" applyFill="1" applyBorder="1" applyAlignment="1">
      <alignment/>
    </xf>
    <xf numFmtId="189" fontId="6" fillId="32" borderId="27" xfId="0" applyNumberFormat="1" applyFont="1" applyFill="1" applyBorder="1" applyAlignment="1">
      <alignment horizontal="center"/>
    </xf>
    <xf numFmtId="189" fontId="6" fillId="32" borderId="25" xfId="0" applyNumberFormat="1" applyFont="1" applyFill="1" applyBorder="1" applyAlignment="1">
      <alignment horizontal="center"/>
    </xf>
    <xf numFmtId="189" fontId="6" fillId="32" borderId="19" xfId="0" applyNumberFormat="1" applyFont="1" applyFill="1" applyBorder="1" applyAlignment="1">
      <alignment/>
    </xf>
    <xf numFmtId="189" fontId="12" fillId="0" borderId="0" xfId="0" applyNumberFormat="1" applyFont="1" applyAlignment="1">
      <alignment/>
    </xf>
    <xf numFmtId="189" fontId="6" fillId="0" borderId="28" xfId="0" applyNumberFormat="1" applyFont="1" applyBorder="1" applyAlignment="1">
      <alignment/>
    </xf>
    <xf numFmtId="189" fontId="6" fillId="0" borderId="28" xfId="58" applyNumberFormat="1" applyFont="1" applyBorder="1" applyAlignment="1">
      <alignment/>
    </xf>
    <xf numFmtId="189" fontId="6" fillId="0" borderId="29" xfId="0" applyNumberFormat="1" applyFont="1" applyBorder="1" applyAlignment="1">
      <alignment/>
    </xf>
    <xf numFmtId="189" fontId="6" fillId="0" borderId="19" xfId="58" applyNumberFormat="1" applyFont="1" applyBorder="1" applyAlignment="1">
      <alignment/>
    </xf>
    <xf numFmtId="189" fontId="6" fillId="0" borderId="20" xfId="58" applyNumberFormat="1" applyFont="1" applyBorder="1" applyAlignment="1">
      <alignment/>
    </xf>
    <xf numFmtId="0" fontId="13" fillId="0" borderId="0" xfId="0" applyFont="1" applyAlignment="1">
      <alignment/>
    </xf>
    <xf numFmtId="189" fontId="5" fillId="32" borderId="25" xfId="58" applyNumberFormat="1" applyFont="1" applyFill="1" applyBorder="1" applyAlignment="1">
      <alignment horizontal="center"/>
    </xf>
    <xf numFmtId="189" fontId="6" fillId="32" borderId="27" xfId="58" applyNumberFormat="1" applyFont="1" applyFill="1" applyBorder="1" applyAlignment="1">
      <alignment horizontal="center"/>
    </xf>
    <xf numFmtId="189" fontId="6" fillId="32" borderId="25" xfId="58" applyNumberFormat="1" applyFont="1" applyFill="1" applyBorder="1" applyAlignment="1">
      <alignment horizontal="center"/>
    </xf>
    <xf numFmtId="189" fontId="6" fillId="0" borderId="26" xfId="58" applyNumberFormat="1" applyFont="1" applyBorder="1" applyAlignment="1">
      <alignment/>
    </xf>
    <xf numFmtId="189" fontId="6" fillId="0" borderId="26" xfId="0" applyNumberFormat="1" applyFont="1" applyBorder="1" applyAlignment="1">
      <alignment/>
    </xf>
    <xf numFmtId="189" fontId="6" fillId="0" borderId="25" xfId="0" applyNumberFormat="1" applyFont="1" applyBorder="1" applyAlignment="1">
      <alignment/>
    </xf>
    <xf numFmtId="189" fontId="6" fillId="0" borderId="19" xfId="0" applyNumberFormat="1" applyFont="1" applyBorder="1" applyAlignment="1">
      <alignment/>
    </xf>
    <xf numFmtId="189" fontId="6" fillId="0" borderId="30" xfId="0" applyNumberFormat="1" applyFont="1" applyBorder="1" applyAlignment="1">
      <alignment/>
    </xf>
    <xf numFmtId="189" fontId="6" fillId="0" borderId="20" xfId="0" applyNumberFormat="1" applyFont="1" applyBorder="1" applyAlignment="1">
      <alignment/>
    </xf>
    <xf numFmtId="189" fontId="6" fillId="0" borderId="23" xfId="0" applyNumberFormat="1" applyFont="1" applyBorder="1" applyAlignment="1">
      <alignment/>
    </xf>
    <xf numFmtId="189" fontId="5" fillId="32" borderId="31" xfId="58" applyNumberFormat="1" applyFont="1" applyFill="1" applyBorder="1" applyAlignment="1">
      <alignment horizontal="left"/>
    </xf>
    <xf numFmtId="189" fontId="5" fillId="32" borderId="32" xfId="58" applyNumberFormat="1" applyFont="1" applyFill="1" applyBorder="1" applyAlignment="1">
      <alignment/>
    </xf>
    <xf numFmtId="189" fontId="5" fillId="32" borderId="26" xfId="0" applyNumberFormat="1" applyFont="1" applyFill="1" applyBorder="1" applyAlignment="1">
      <alignment/>
    </xf>
    <xf numFmtId="189" fontId="5" fillId="32" borderId="25" xfId="0" applyNumberFormat="1" applyFont="1" applyFill="1" applyBorder="1" applyAlignment="1">
      <alignment/>
    </xf>
    <xf numFmtId="189" fontId="13" fillId="0" borderId="0" xfId="58" applyNumberFormat="1" applyFont="1" applyAlignment="1">
      <alignment/>
    </xf>
    <xf numFmtId="189" fontId="13" fillId="0" borderId="0" xfId="0" applyNumberFormat="1" applyFont="1" applyAlignment="1">
      <alignment/>
    </xf>
    <xf numFmtId="0" fontId="5" fillId="0" borderId="19" xfId="0" applyFont="1" applyBorder="1" applyAlignment="1">
      <alignment/>
    </xf>
    <xf numFmtId="189"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85" fontId="6" fillId="0" borderId="0" xfId="58"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85" fontId="5" fillId="0" borderId="22" xfId="58"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9" fontId="6" fillId="0" borderId="0" xfId="0" applyNumberFormat="1" applyFont="1" applyAlignment="1">
      <alignment/>
    </xf>
    <xf numFmtId="189" fontId="6" fillId="0" borderId="41" xfId="58" applyNumberFormat="1" applyFont="1" applyBorder="1" applyAlignment="1">
      <alignment horizontal="left"/>
    </xf>
    <xf numFmtId="189" fontId="6" fillId="0" borderId="42" xfId="58" applyNumberFormat="1" applyFont="1" applyBorder="1" applyAlignment="1">
      <alignment/>
    </xf>
    <xf numFmtId="9" fontId="6" fillId="0" borderId="43" xfId="58" applyNumberFormat="1" applyFont="1" applyBorder="1" applyAlignment="1">
      <alignment/>
    </xf>
    <xf numFmtId="15" fontId="5" fillId="0" borderId="10" xfId="58" applyNumberFormat="1" applyFont="1" applyBorder="1" applyAlignment="1">
      <alignment/>
    </xf>
    <xf numFmtId="189" fontId="6" fillId="0" borderId="10" xfId="58" applyNumberFormat="1" applyFont="1" applyBorder="1" applyAlignment="1">
      <alignment/>
    </xf>
    <xf numFmtId="189" fontId="6" fillId="0" borderId="41" xfId="0" applyNumberFormat="1" applyFont="1" applyBorder="1" applyAlignment="1">
      <alignment/>
    </xf>
    <xf numFmtId="189" fontId="6" fillId="0" borderId="43" xfId="0" applyNumberFormat="1" applyFont="1" applyBorder="1" applyAlignment="1">
      <alignment/>
    </xf>
    <xf numFmtId="189" fontId="6" fillId="0" borderId="10" xfId="0" applyNumberFormat="1" applyFont="1" applyBorder="1" applyAlignment="1">
      <alignment/>
    </xf>
    <xf numFmtId="189" fontId="6" fillId="0" borderId="44" xfId="0" applyNumberFormat="1" applyFont="1" applyBorder="1" applyAlignment="1">
      <alignment/>
    </xf>
    <xf numFmtId="189" fontId="5" fillId="0" borderId="45" xfId="58" applyNumberFormat="1" applyFont="1" applyBorder="1" applyAlignment="1">
      <alignment horizontal="left"/>
    </xf>
    <xf numFmtId="189" fontId="5" fillId="0" borderId="46" xfId="58" applyNumberFormat="1" applyFont="1" applyBorder="1" applyAlignment="1">
      <alignment/>
    </xf>
    <xf numFmtId="9" fontId="5" fillId="0" borderId="47" xfId="58" applyNumberFormat="1" applyFont="1" applyBorder="1" applyAlignment="1">
      <alignment/>
    </xf>
    <xf numFmtId="15" fontId="6" fillId="0" borderId="48" xfId="58" applyNumberFormat="1" applyFont="1" applyBorder="1" applyAlignment="1">
      <alignment/>
    </xf>
    <xf numFmtId="189" fontId="5" fillId="0" borderId="48" xfId="58" applyNumberFormat="1" applyFont="1" applyBorder="1" applyAlignment="1">
      <alignment/>
    </xf>
    <xf numFmtId="189" fontId="5" fillId="0" borderId="49" xfId="58" applyNumberFormat="1" applyFont="1" applyBorder="1" applyAlignment="1">
      <alignment/>
    </xf>
    <xf numFmtId="189" fontId="5" fillId="0" borderId="20" xfId="58" applyNumberFormat="1" applyFont="1" applyBorder="1" applyAlignment="1">
      <alignment/>
    </xf>
    <xf numFmtId="189" fontId="5" fillId="0" borderId="20" xfId="0" applyNumberFormat="1" applyFont="1" applyBorder="1" applyAlignment="1">
      <alignment/>
    </xf>
    <xf numFmtId="189" fontId="5" fillId="0" borderId="0" xfId="0" applyNumberFormat="1" applyFont="1" applyAlignment="1">
      <alignment/>
    </xf>
    <xf numFmtId="189" fontId="5" fillId="0" borderId="28" xfId="58" applyNumberFormat="1" applyFont="1" applyBorder="1" applyAlignment="1">
      <alignment horizontal="left"/>
    </xf>
    <xf numFmtId="189" fontId="6" fillId="0" borderId="50" xfId="58" applyNumberFormat="1" applyFont="1" applyBorder="1" applyAlignment="1">
      <alignment/>
    </xf>
    <xf numFmtId="9" fontId="6" fillId="0" borderId="51" xfId="58" applyNumberFormat="1" applyFont="1" applyBorder="1" applyAlignment="1">
      <alignment/>
    </xf>
    <xf numFmtId="15" fontId="6" fillId="0" borderId="17" xfId="58" applyNumberFormat="1" applyFont="1" applyBorder="1" applyAlignment="1">
      <alignment/>
    </xf>
    <xf numFmtId="189" fontId="6" fillId="0" borderId="17" xfId="58" applyNumberFormat="1" applyFont="1" applyBorder="1" applyAlignment="1">
      <alignment/>
    </xf>
    <xf numFmtId="189" fontId="6" fillId="0" borderId="52" xfId="58" applyNumberFormat="1" applyFont="1" applyBorder="1" applyAlignment="1">
      <alignment/>
    </xf>
    <xf numFmtId="189" fontId="6" fillId="0" borderId="44" xfId="58" applyNumberFormat="1" applyFont="1" applyBorder="1" applyAlignment="1">
      <alignment/>
    </xf>
    <xf numFmtId="189" fontId="5" fillId="0" borderId="53" xfId="58" applyNumberFormat="1" applyFont="1" applyBorder="1" applyAlignment="1">
      <alignment horizontal="left"/>
    </xf>
    <xf numFmtId="189" fontId="5" fillId="0" borderId="54" xfId="58" applyNumberFormat="1" applyFont="1" applyBorder="1" applyAlignment="1">
      <alignment/>
    </xf>
    <xf numFmtId="9" fontId="5" fillId="0" borderId="55" xfId="58" applyNumberFormat="1" applyFont="1" applyBorder="1" applyAlignment="1">
      <alignment/>
    </xf>
    <xf numFmtId="15" fontId="6" fillId="0" borderId="56" xfId="58" applyNumberFormat="1" applyFont="1" applyBorder="1" applyAlignment="1">
      <alignment/>
    </xf>
    <xf numFmtId="189" fontId="5" fillId="0" borderId="56" xfId="58" applyNumberFormat="1" applyFont="1" applyBorder="1" applyAlignment="1">
      <alignment/>
    </xf>
    <xf numFmtId="189" fontId="5" fillId="0" borderId="57" xfId="58" applyNumberFormat="1" applyFont="1" applyBorder="1" applyAlignment="1">
      <alignment/>
    </xf>
    <xf numFmtId="189" fontId="5" fillId="0" borderId="23" xfId="58" applyNumberFormat="1" applyFont="1" applyBorder="1" applyAlignment="1">
      <alignment/>
    </xf>
    <xf numFmtId="189" fontId="5" fillId="0" borderId="0" xfId="0" applyNumberFormat="1" applyFont="1" applyBorder="1" applyAlignment="1">
      <alignment/>
    </xf>
    <xf numFmtId="189" fontId="5" fillId="0" borderId="58" xfId="58" applyNumberFormat="1" applyFont="1" applyBorder="1" applyAlignment="1">
      <alignment horizontal="left"/>
    </xf>
    <xf numFmtId="189" fontId="6" fillId="0" borderId="59" xfId="58" applyNumberFormat="1" applyFont="1" applyBorder="1" applyAlignment="1">
      <alignment/>
    </xf>
    <xf numFmtId="9" fontId="6" fillId="0" borderId="60" xfId="58" applyNumberFormat="1" applyFont="1" applyBorder="1" applyAlignment="1">
      <alignment/>
    </xf>
    <xf numFmtId="15" fontId="6" fillId="0" borderId="61" xfId="58" applyNumberFormat="1" applyFont="1" applyBorder="1" applyAlignment="1">
      <alignment/>
    </xf>
    <xf numFmtId="189" fontId="6" fillId="0" borderId="61" xfId="58" applyNumberFormat="1" applyFont="1" applyBorder="1" applyAlignment="1">
      <alignment/>
    </xf>
    <xf numFmtId="189" fontId="6" fillId="0" borderId="62" xfId="58" applyNumberFormat="1" applyFont="1" applyBorder="1" applyAlignment="1">
      <alignment/>
    </xf>
    <xf numFmtId="15" fontId="6" fillId="0" borderId="10" xfId="58" applyNumberFormat="1" applyFont="1" applyBorder="1" applyAlignment="1">
      <alignment/>
    </xf>
    <xf numFmtId="189" fontId="6" fillId="0" borderId="53" xfId="58" applyNumberFormat="1" applyFont="1" applyBorder="1" applyAlignment="1">
      <alignment horizontal="left"/>
    </xf>
    <xf numFmtId="189" fontId="6" fillId="0" borderId="54" xfId="58" applyNumberFormat="1" applyFont="1" applyBorder="1" applyAlignment="1">
      <alignment/>
    </xf>
    <xf numFmtId="9" fontId="6" fillId="0" borderId="55" xfId="58" applyNumberFormat="1" applyFont="1" applyBorder="1" applyAlignment="1">
      <alignment/>
    </xf>
    <xf numFmtId="15" fontId="5" fillId="0" borderId="56" xfId="58" applyNumberFormat="1" applyFont="1" applyBorder="1" applyAlignment="1">
      <alignment/>
    </xf>
    <xf numFmtId="189" fontId="6" fillId="0" borderId="56" xfId="58" applyNumberFormat="1" applyFont="1" applyBorder="1" applyAlignment="1">
      <alignment/>
    </xf>
    <xf numFmtId="189" fontId="6" fillId="0" borderId="57" xfId="58" applyNumberFormat="1" applyFont="1" applyBorder="1" applyAlignment="1">
      <alignment/>
    </xf>
    <xf numFmtId="189" fontId="6" fillId="0" borderId="45" xfId="58" applyNumberFormat="1" applyFont="1" applyBorder="1" applyAlignment="1">
      <alignment horizontal="left"/>
    </xf>
    <xf numFmtId="189" fontId="6" fillId="0" borderId="46" xfId="58" applyNumberFormat="1" applyFont="1" applyBorder="1" applyAlignment="1">
      <alignment/>
    </xf>
    <xf numFmtId="9" fontId="6" fillId="0" borderId="47" xfId="58" applyNumberFormat="1" applyFont="1" applyBorder="1" applyAlignment="1">
      <alignment/>
    </xf>
    <xf numFmtId="15" fontId="5" fillId="0" borderId="48" xfId="58" applyNumberFormat="1" applyFont="1" applyBorder="1" applyAlignment="1">
      <alignment/>
    </xf>
    <xf numFmtId="189" fontId="6" fillId="0" borderId="48" xfId="58" applyNumberFormat="1" applyFont="1" applyBorder="1" applyAlignment="1">
      <alignment/>
    </xf>
    <xf numFmtId="189" fontId="6" fillId="0" borderId="49" xfId="58" applyNumberFormat="1" applyFont="1" applyBorder="1" applyAlignment="1">
      <alignment/>
    </xf>
    <xf numFmtId="189" fontId="6" fillId="0" borderId="45" xfId="0" applyNumberFormat="1" applyFont="1" applyBorder="1" applyAlignment="1">
      <alignment/>
    </xf>
    <xf numFmtId="189" fontId="5" fillId="0" borderId="20" xfId="58" applyNumberFormat="1" applyFont="1" applyBorder="1" applyAlignment="1">
      <alignment horizontal="left"/>
    </xf>
    <xf numFmtId="189" fontId="5" fillId="0" borderId="0" xfId="58" applyNumberFormat="1" applyFont="1" applyBorder="1" applyAlignment="1">
      <alignment/>
    </xf>
    <xf numFmtId="189" fontId="5" fillId="0" borderId="39" xfId="58" applyNumberFormat="1" applyFont="1" applyBorder="1" applyAlignment="1">
      <alignment/>
    </xf>
    <xf numFmtId="15" fontId="6" fillId="0" borderId="40" xfId="58" applyNumberFormat="1" applyFont="1" applyBorder="1" applyAlignment="1">
      <alignment/>
    </xf>
    <xf numFmtId="189" fontId="5" fillId="0" borderId="40" xfId="58" applyNumberFormat="1" applyFont="1" applyBorder="1" applyAlignment="1">
      <alignment/>
    </xf>
    <xf numFmtId="189" fontId="5" fillId="0" borderId="63" xfId="58" applyNumberFormat="1" applyFont="1" applyBorder="1" applyAlignment="1">
      <alignment/>
    </xf>
    <xf numFmtId="189" fontId="5" fillId="0" borderId="26" xfId="58" applyNumberFormat="1" applyFont="1" applyBorder="1" applyAlignment="1">
      <alignment/>
    </xf>
    <xf numFmtId="189" fontId="5" fillId="0" borderId="32" xfId="58" applyNumberFormat="1" applyFont="1" applyBorder="1" applyAlignment="1">
      <alignment/>
    </xf>
    <xf numFmtId="0" fontId="5" fillId="0" borderId="24" xfId="0" applyFont="1" applyBorder="1" applyAlignment="1">
      <alignment/>
    </xf>
    <xf numFmtId="189" fontId="5" fillId="0" borderId="25" xfId="58" applyNumberFormat="1" applyFont="1" applyBorder="1" applyAlignment="1">
      <alignment/>
    </xf>
    <xf numFmtId="189" fontId="5" fillId="0" borderId="27" xfId="58" applyNumberFormat="1" applyFont="1" applyBorder="1" applyAlignment="1">
      <alignment/>
    </xf>
    <xf numFmtId="15" fontId="5" fillId="0" borderId="27" xfId="58" applyNumberFormat="1" applyFont="1" applyBorder="1" applyAlignment="1">
      <alignment/>
    </xf>
    <xf numFmtId="189" fontId="5" fillId="0" borderId="64" xfId="58" applyNumberFormat="1" applyFont="1" applyBorder="1" applyAlignment="1">
      <alignment/>
    </xf>
    <xf numFmtId="189" fontId="5" fillId="0" borderId="26" xfId="0" applyNumberFormat="1" applyFont="1" applyBorder="1" applyAlignment="1">
      <alignment/>
    </xf>
    <xf numFmtId="0" fontId="15" fillId="0" borderId="0" xfId="0" applyFont="1" applyAlignment="1">
      <alignment/>
    </xf>
    <xf numFmtId="189" fontId="15" fillId="0" borderId="0" xfId="59" applyNumberFormat="1" applyFont="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9" fontId="6" fillId="0" borderId="23" xfId="58" applyNumberFormat="1" applyFont="1" applyFill="1" applyBorder="1" applyAlignment="1">
      <alignment horizontal="left"/>
    </xf>
    <xf numFmtId="189" fontId="6" fillId="0" borderId="24" xfId="58"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9" fontId="6" fillId="0" borderId="66" xfId="58" applyNumberFormat="1" applyFont="1" applyFill="1" applyBorder="1" applyAlignment="1">
      <alignment/>
    </xf>
    <xf numFmtId="189" fontId="6" fillId="0" borderId="36" xfId="58" applyNumberFormat="1" applyFont="1" applyFill="1" applyBorder="1" applyAlignment="1">
      <alignment/>
    </xf>
    <xf numFmtId="189" fontId="6" fillId="0" borderId="38" xfId="58" applyNumberFormat="1" applyFont="1" applyFill="1" applyBorder="1" applyAlignment="1">
      <alignment/>
    </xf>
    <xf numFmtId="189" fontId="6" fillId="0" borderId="64" xfId="58" applyNumberFormat="1" applyFont="1" applyFill="1" applyBorder="1" applyAlignment="1">
      <alignment/>
    </xf>
    <xf numFmtId="189" fontId="6" fillId="0" borderId="0" xfId="58" applyNumberFormat="1" applyFont="1" applyFill="1" applyBorder="1" applyAlignment="1">
      <alignment/>
    </xf>
    <xf numFmtId="189" fontId="5" fillId="32" borderId="64" xfId="58" applyNumberFormat="1" applyFont="1" applyFill="1" applyBorder="1" applyAlignment="1">
      <alignment/>
    </xf>
    <xf numFmtId="3" fontId="6" fillId="0" borderId="66" xfId="0" applyNumberFormat="1" applyFont="1" applyFill="1" applyBorder="1" applyAlignment="1">
      <alignment horizontal="right"/>
    </xf>
    <xf numFmtId="3" fontId="6" fillId="0" borderId="66" xfId="58" applyNumberFormat="1" applyFont="1" applyFill="1" applyBorder="1" applyAlignment="1">
      <alignment horizontal="right"/>
    </xf>
    <xf numFmtId="3" fontId="6" fillId="0" borderId="66" xfId="49" applyNumberFormat="1" applyFont="1" applyFill="1" applyBorder="1" applyAlignment="1">
      <alignment horizontal="right"/>
    </xf>
    <xf numFmtId="189" fontId="6" fillId="32" borderId="27" xfId="0" applyNumberFormat="1" applyFont="1" applyFill="1" applyBorder="1" applyAlignment="1">
      <alignment/>
    </xf>
    <xf numFmtId="189" fontId="6" fillId="0" borderId="19" xfId="58" applyNumberFormat="1" applyFont="1" applyFill="1" applyBorder="1" applyAlignment="1">
      <alignment/>
    </xf>
    <xf numFmtId="189" fontId="6" fillId="0" borderId="20" xfId="58" applyNumberFormat="1" applyFont="1" applyFill="1" applyBorder="1" applyAlignment="1">
      <alignment/>
    </xf>
    <xf numFmtId="189" fontId="6" fillId="0" borderId="67" xfId="58"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9" fontId="6" fillId="0" borderId="70" xfId="58" applyNumberFormat="1" applyFont="1" applyFill="1" applyBorder="1" applyAlignment="1">
      <alignment horizontal="left"/>
    </xf>
    <xf numFmtId="189" fontId="6" fillId="0" borderId="69" xfId="58" applyNumberFormat="1" applyFont="1" applyFill="1" applyBorder="1" applyAlignment="1">
      <alignment horizontal="left"/>
    </xf>
    <xf numFmtId="189" fontId="6" fillId="0" borderId="68" xfId="58" applyNumberFormat="1" applyFont="1" applyFill="1" applyBorder="1" applyAlignment="1">
      <alignment horizontal="left"/>
    </xf>
    <xf numFmtId="189" fontId="6" fillId="0" borderId="71" xfId="58" applyNumberFormat="1" applyFont="1" applyFill="1" applyBorder="1" applyAlignment="1">
      <alignment horizontal="left"/>
    </xf>
    <xf numFmtId="189" fontId="6" fillId="0" borderId="25" xfId="58"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9" fontId="6" fillId="0" borderId="41" xfId="58" applyNumberFormat="1" applyFont="1" applyFill="1" applyBorder="1" applyAlignment="1">
      <alignment/>
    </xf>
    <xf numFmtId="189" fontId="6" fillId="0" borderId="72" xfId="58" applyNumberFormat="1" applyFont="1" applyFill="1" applyBorder="1" applyAlignment="1">
      <alignment/>
    </xf>
    <xf numFmtId="189" fontId="6" fillId="0" borderId="53" xfId="58" applyNumberFormat="1" applyFont="1" applyFill="1" applyBorder="1" applyAlignment="1">
      <alignment/>
    </xf>
    <xf numFmtId="189" fontId="6" fillId="0" borderId="58" xfId="58" applyNumberFormat="1" applyFont="1" applyFill="1" applyBorder="1" applyAlignment="1">
      <alignment/>
    </xf>
    <xf numFmtId="189" fontId="6" fillId="0" borderId="45" xfId="58" applyNumberFormat="1" applyFont="1" applyFill="1" applyBorder="1" applyAlignment="1">
      <alignment/>
    </xf>
    <xf numFmtId="189" fontId="6" fillId="0" borderId="26" xfId="58" applyNumberFormat="1" applyFont="1" applyFill="1" applyBorder="1" applyAlignment="1">
      <alignment/>
    </xf>
    <xf numFmtId="3" fontId="6" fillId="32" borderId="26" xfId="0" applyNumberFormat="1" applyFont="1" applyFill="1" applyBorder="1" applyAlignment="1">
      <alignment/>
    </xf>
    <xf numFmtId="189" fontId="6" fillId="32" borderId="64" xfId="0" applyNumberFormat="1" applyFont="1" applyFill="1" applyBorder="1" applyAlignment="1">
      <alignment/>
    </xf>
    <xf numFmtId="3" fontId="6" fillId="0" borderId="29" xfId="0" applyNumberFormat="1" applyFont="1" applyBorder="1" applyAlignment="1">
      <alignment/>
    </xf>
    <xf numFmtId="192" fontId="5" fillId="0" borderId="20" xfId="0" applyNumberFormat="1" applyFont="1" applyBorder="1" applyAlignment="1">
      <alignment horizontal="center"/>
    </xf>
    <xf numFmtId="189" fontId="6" fillId="0" borderId="30" xfId="58" applyNumberFormat="1" applyFont="1" applyBorder="1" applyAlignment="1">
      <alignment/>
    </xf>
    <xf numFmtId="189" fontId="6" fillId="0" borderId="29" xfId="58" applyNumberFormat="1" applyFont="1" applyBorder="1" applyAlignment="1">
      <alignment/>
    </xf>
    <xf numFmtId="189" fontId="6" fillId="0" borderId="23" xfId="58" applyNumberFormat="1" applyFont="1" applyBorder="1" applyAlignment="1">
      <alignment/>
    </xf>
    <xf numFmtId="189" fontId="12" fillId="0" borderId="0" xfId="58" applyNumberFormat="1" applyFont="1" applyAlignment="1">
      <alignment/>
    </xf>
    <xf numFmtId="0" fontId="20" fillId="0" borderId="73" xfId="0" applyFont="1" applyBorder="1" applyAlignment="1">
      <alignment/>
    </xf>
    <xf numFmtId="0" fontId="20"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49"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7" fontId="6" fillId="0" borderId="10" xfId="49" applyNumberFormat="1" applyFont="1" applyFill="1" applyBorder="1" applyAlignment="1" applyProtection="1">
      <alignment/>
      <protection locked="0"/>
    </xf>
    <xf numFmtId="187" fontId="5" fillId="0" borderId="10" xfId="49"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20" fillId="0" borderId="0" xfId="0" applyNumberFormat="1" applyFont="1" applyAlignment="1" applyProtection="1">
      <alignment horizontal="centerContinuous"/>
      <protection/>
    </xf>
    <xf numFmtId="0" fontId="20"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20" fillId="0" borderId="0" xfId="0" applyNumberFormat="1" applyFont="1" applyAlignment="1" applyProtection="1">
      <alignment horizontal="centerContinuous" vertical="top"/>
      <protection/>
    </xf>
    <xf numFmtId="0" fontId="20"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20"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8" fontId="20" fillId="0" borderId="77" xfId="65"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7" fontId="6" fillId="0" borderId="10" xfId="49" applyNumberFormat="1" applyFont="1" applyFill="1" applyBorder="1" applyAlignment="1" applyProtection="1">
      <alignment/>
      <protection/>
    </xf>
    <xf numFmtId="187" fontId="5" fillId="0" borderId="10" xfId="49"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7" fontId="6" fillId="0" borderId="10" xfId="49" applyNumberFormat="1" applyFont="1" applyFill="1" applyBorder="1" applyAlignment="1" applyProtection="1">
      <alignment horizontal="left"/>
      <protection/>
    </xf>
    <xf numFmtId="187" fontId="6" fillId="0" borderId="0" xfId="49"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49"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49"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8" fontId="6" fillId="0" borderId="10" xfId="65" applyNumberFormat="1" applyFont="1" applyFill="1" applyBorder="1" applyAlignment="1">
      <alignment/>
    </xf>
    <xf numFmtId="188" fontId="5" fillId="0" borderId="10" xfId="65"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0"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8" fontId="7" fillId="0" borderId="83" xfId="65" applyNumberFormat="1" applyFont="1" applyBorder="1" applyAlignment="1" applyProtection="1">
      <alignment/>
      <protection/>
    </xf>
    <xf numFmtId="3" fontId="11" fillId="0" borderId="0" xfId="0" applyNumberFormat="1" applyFont="1" applyAlignment="1" applyProtection="1">
      <alignment/>
      <protection/>
    </xf>
    <xf numFmtId="0" fontId="20" fillId="0" borderId="73" xfId="0" applyFont="1" applyBorder="1" applyAlignment="1" applyProtection="1">
      <alignment/>
      <protection/>
    </xf>
    <xf numFmtId="3" fontId="20" fillId="0" borderId="84" xfId="0" applyNumberFormat="1" applyFont="1" applyBorder="1" applyAlignment="1" applyProtection="1">
      <alignment/>
      <protection/>
    </xf>
    <xf numFmtId="188" fontId="20" fillId="0" borderId="77" xfId="65" applyNumberFormat="1" applyFont="1" applyBorder="1" applyAlignment="1" applyProtection="1">
      <alignment/>
      <protection/>
    </xf>
    <xf numFmtId="0" fontId="20"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8" fontId="7" fillId="0" borderId="77" xfId="65"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49" applyNumberFormat="1" applyFont="1" applyBorder="1" applyAlignment="1" applyProtection="1">
      <alignment/>
      <protection/>
    </xf>
    <xf numFmtId="37" fontId="20" fillId="0" borderId="73" xfId="0" applyNumberFormat="1" applyFont="1" applyBorder="1" applyAlignment="1" applyProtection="1">
      <alignment/>
      <protection/>
    </xf>
    <xf numFmtId="37" fontId="20" fillId="0" borderId="84" xfId="49" applyNumberFormat="1" applyFont="1" applyFill="1" applyBorder="1" applyAlignment="1" applyProtection="1">
      <alignment/>
      <protection/>
    </xf>
    <xf numFmtId="37" fontId="7" fillId="0" borderId="84" xfId="49" applyNumberFormat="1" applyFont="1" applyFill="1" applyBorder="1" applyAlignment="1" applyProtection="1">
      <alignment/>
      <protection/>
    </xf>
    <xf numFmtId="37" fontId="20" fillId="0" borderId="84" xfId="49" applyNumberFormat="1" applyFont="1" applyBorder="1" applyAlignment="1" applyProtection="1">
      <alignment/>
      <protection/>
    </xf>
    <xf numFmtId="3" fontId="20" fillId="0" borderId="84" xfId="0" applyNumberFormat="1" applyFont="1" applyFill="1" applyBorder="1" applyAlignment="1" applyProtection="1">
      <alignment/>
      <protection/>
    </xf>
    <xf numFmtId="188" fontId="20" fillId="0" borderId="77" xfId="65" applyNumberFormat="1" applyFont="1" applyFill="1" applyBorder="1" applyAlignment="1" applyProtection="1">
      <alignment/>
      <protection/>
    </xf>
    <xf numFmtId="0" fontId="20" fillId="0" borderId="85" xfId="0" applyFont="1" applyBorder="1" applyAlignment="1" applyProtection="1">
      <alignment/>
      <protection/>
    </xf>
    <xf numFmtId="3" fontId="20" fillId="0" borderId="21" xfId="0" applyNumberFormat="1" applyFont="1" applyBorder="1" applyAlignment="1" applyProtection="1">
      <alignment/>
      <protection/>
    </xf>
    <xf numFmtId="0" fontId="20"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8" fontId="7" fillId="33" borderId="86" xfId="65" applyNumberFormat="1" applyFont="1" applyFill="1" applyBorder="1" applyAlignment="1" applyProtection="1">
      <alignment/>
      <protection/>
    </xf>
    <xf numFmtId="0" fontId="20" fillId="0" borderId="87" xfId="0" applyFont="1" applyBorder="1" applyAlignment="1" applyProtection="1">
      <alignment/>
      <protection/>
    </xf>
    <xf numFmtId="3" fontId="20" fillId="0" borderId="56" xfId="0" applyNumberFormat="1" applyFont="1" applyBorder="1" applyAlignment="1" applyProtection="1">
      <alignment/>
      <protection/>
    </xf>
    <xf numFmtId="0" fontId="20" fillId="0" borderId="88" xfId="0" applyFont="1" applyBorder="1" applyAlignment="1" applyProtection="1">
      <alignment/>
      <protection/>
    </xf>
    <xf numFmtId="0" fontId="20" fillId="0" borderId="74" xfId="0" applyFont="1" applyBorder="1" applyAlignment="1" applyProtection="1">
      <alignment/>
      <protection/>
    </xf>
    <xf numFmtId="3" fontId="20" fillId="0" borderId="40" xfId="0" applyNumberFormat="1" applyFont="1" applyBorder="1" applyAlignment="1" applyProtection="1">
      <alignment/>
      <protection/>
    </xf>
    <xf numFmtId="37" fontId="20" fillId="0" borderId="40" xfId="49" applyNumberFormat="1" applyFont="1" applyBorder="1" applyAlignment="1" applyProtection="1">
      <alignment/>
      <protection/>
    </xf>
    <xf numFmtId="188" fontId="20" fillId="0" borderId="89" xfId="65"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8" fontId="7" fillId="33" borderId="32" xfId="65"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9" fillId="0" borderId="0" xfId="0" applyFont="1" applyAlignment="1" applyProtection="1">
      <alignment/>
      <protection/>
    </xf>
    <xf numFmtId="3" fontId="19"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20" fillId="0" borderId="91" xfId="0" applyFont="1" applyBorder="1" applyAlignment="1" applyProtection="1">
      <alignment/>
      <protection/>
    </xf>
    <xf numFmtId="3" fontId="20" fillId="0" borderId="92" xfId="0" applyNumberFormat="1" applyFont="1" applyBorder="1" applyAlignment="1" applyProtection="1">
      <alignment/>
      <protection/>
    </xf>
    <xf numFmtId="37" fontId="20" fillId="0" borderId="92" xfId="49" applyNumberFormat="1" applyFont="1" applyBorder="1" applyAlignment="1" applyProtection="1">
      <alignment/>
      <protection/>
    </xf>
    <xf numFmtId="188" fontId="20" fillId="0" borderId="93" xfId="65" applyNumberFormat="1" applyFont="1" applyBorder="1" applyAlignment="1" applyProtection="1">
      <alignment/>
      <protection/>
    </xf>
    <xf numFmtId="0" fontId="20" fillId="0" borderId="94" xfId="0" applyFont="1" applyBorder="1" applyAlignment="1" applyProtection="1">
      <alignment/>
      <protection/>
    </xf>
    <xf numFmtId="3" fontId="20" fillId="0" borderId="95" xfId="0" applyNumberFormat="1" applyFont="1" applyBorder="1" applyAlignment="1" applyProtection="1">
      <alignment/>
      <protection/>
    </xf>
    <xf numFmtId="0" fontId="20" fillId="0" borderId="96" xfId="0" applyFont="1" applyBorder="1" applyAlignment="1" applyProtection="1">
      <alignment/>
      <protection/>
    </xf>
    <xf numFmtId="9" fontId="5" fillId="0" borderId="20" xfId="0" applyNumberFormat="1" applyFont="1" applyBorder="1" applyAlignment="1">
      <alignment horizontal="center"/>
    </xf>
    <xf numFmtId="37" fontId="20" fillId="0" borderId="10" xfId="0" applyNumberFormat="1" applyFont="1" applyFill="1" applyBorder="1" applyAlignment="1">
      <alignment vertical="top" wrapText="1"/>
    </xf>
    <xf numFmtId="0" fontId="3" fillId="0" borderId="0" xfId="0" applyFont="1" applyAlignment="1">
      <alignment/>
    </xf>
    <xf numFmtId="0" fontId="0" fillId="0" borderId="0" xfId="0" applyFont="1" applyAlignment="1">
      <alignment/>
    </xf>
    <xf numFmtId="0" fontId="0" fillId="0" borderId="0" xfId="0" applyFill="1" applyAlignment="1">
      <alignment/>
    </xf>
    <xf numFmtId="0" fontId="21" fillId="0" borderId="0" xfId="0" applyFont="1" applyAlignment="1">
      <alignment/>
    </xf>
    <xf numFmtId="187" fontId="15" fillId="0" borderId="0" xfId="0" applyNumberFormat="1" applyFont="1" applyAlignment="1">
      <alignment/>
    </xf>
    <xf numFmtId="0" fontId="21" fillId="0" borderId="0" xfId="0" applyFont="1" applyFill="1" applyAlignment="1">
      <alignment/>
    </xf>
    <xf numFmtId="0" fontId="24" fillId="0" borderId="0" xfId="0" applyFont="1" applyAlignment="1">
      <alignment/>
    </xf>
    <xf numFmtId="0" fontId="22" fillId="0" borderId="0" xfId="0" applyFont="1" applyAlignment="1">
      <alignment/>
    </xf>
    <xf numFmtId="0" fontId="23" fillId="0" borderId="0" xfId="0" applyFont="1" applyAlignment="1">
      <alignment/>
    </xf>
    <xf numFmtId="0" fontId="21" fillId="0" borderId="0" xfId="0"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189" fontId="4" fillId="0" borderId="0" xfId="59" applyNumberFormat="1" applyFont="1" applyFill="1" applyAlignment="1">
      <alignment/>
    </xf>
    <xf numFmtId="4" fontId="4" fillId="0" borderId="0" xfId="0" applyNumberFormat="1" applyFont="1" applyFill="1" applyAlignment="1">
      <alignment/>
    </xf>
    <xf numFmtId="0" fontId="25" fillId="0" borderId="0" xfId="0" applyFont="1" applyFill="1" applyAlignment="1">
      <alignment/>
    </xf>
    <xf numFmtId="187" fontId="4" fillId="0" borderId="0" xfId="0" applyNumberFormat="1" applyFont="1" applyFill="1" applyAlignment="1">
      <alignment/>
    </xf>
    <xf numFmtId="188" fontId="4" fillId="0" borderId="0" xfId="65" applyNumberFormat="1" applyFont="1" applyFill="1" applyAlignment="1">
      <alignment/>
    </xf>
    <xf numFmtId="0" fontId="4" fillId="0" borderId="0" xfId="0" applyFont="1" applyFill="1" applyAlignment="1" quotePrefix="1">
      <alignment horizontal="left"/>
    </xf>
    <xf numFmtId="185" fontId="26" fillId="0" borderId="0" xfId="0" applyNumberFormat="1" applyFont="1" applyFill="1" applyAlignment="1">
      <alignment/>
    </xf>
    <xf numFmtId="189" fontId="25" fillId="0" borderId="0" xfId="0" applyNumberFormat="1" applyFont="1" applyFill="1" applyAlignment="1">
      <alignment/>
    </xf>
    <xf numFmtId="191" fontId="25" fillId="0" borderId="0" xfId="0" applyNumberFormat="1" applyFont="1" applyFill="1" applyAlignment="1">
      <alignment/>
    </xf>
    <xf numFmtId="170" fontId="4" fillId="0" borderId="0" xfId="60" applyFont="1" applyFill="1" applyAlignment="1">
      <alignment/>
    </xf>
    <xf numFmtId="189" fontId="27" fillId="0" borderId="0" xfId="59" applyNumberFormat="1" applyFont="1" applyFill="1" applyAlignment="1">
      <alignment/>
    </xf>
    <xf numFmtId="0" fontId="27" fillId="0" borderId="0" xfId="0" applyFont="1" applyFill="1" applyAlignment="1">
      <alignment/>
    </xf>
    <xf numFmtId="0" fontId="28" fillId="0" borderId="0" xfId="0" applyFont="1" applyFill="1" applyAlignment="1">
      <alignment horizontal="right"/>
    </xf>
    <xf numFmtId="0" fontId="28" fillId="0" borderId="0" xfId="0" applyFont="1" applyAlignment="1">
      <alignment horizontal="right"/>
    </xf>
    <xf numFmtId="171" fontId="4" fillId="0" borderId="0" xfId="49" applyFont="1" applyFill="1" applyAlignment="1">
      <alignment/>
    </xf>
    <xf numFmtId="0" fontId="20" fillId="0" borderId="0" xfId="0" applyFont="1" applyAlignment="1">
      <alignment/>
    </xf>
    <xf numFmtId="15" fontId="20" fillId="0" borderId="0" xfId="0" applyNumberFormat="1" applyFont="1" applyAlignment="1">
      <alignment/>
    </xf>
    <xf numFmtId="0" fontId="0" fillId="0" borderId="0" xfId="0" applyFill="1" applyBorder="1" applyAlignment="1">
      <alignment/>
    </xf>
    <xf numFmtId="0" fontId="0" fillId="0" borderId="0" xfId="0" applyAlignment="1">
      <alignment horizontal="center"/>
    </xf>
    <xf numFmtId="170" fontId="25" fillId="0" borderId="0" xfId="60" applyFont="1" applyFill="1" applyAlignment="1">
      <alignment/>
    </xf>
    <xf numFmtId="187" fontId="21" fillId="0" borderId="0" xfId="49" applyNumberFormat="1" applyFont="1" applyFill="1" applyBorder="1" applyAlignment="1">
      <alignment/>
    </xf>
    <xf numFmtId="3" fontId="4" fillId="0" borderId="0" xfId="0" applyNumberFormat="1" applyFont="1" applyFill="1" applyBorder="1" applyAlignment="1">
      <alignment/>
    </xf>
    <xf numFmtId="10" fontId="0" fillId="0" borderId="0" xfId="65" applyNumberFormat="1" applyFont="1" applyAlignment="1">
      <alignment/>
    </xf>
    <xf numFmtId="0" fontId="0" fillId="0" borderId="0" xfId="0" applyFont="1" applyAlignment="1">
      <alignment/>
    </xf>
    <xf numFmtId="0" fontId="29"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32" borderId="39" xfId="0" applyFont="1" applyFill="1" applyBorder="1" applyAlignment="1">
      <alignment horizontal="center" wrapText="1"/>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0" xfId="0" applyFont="1" applyFill="1" applyBorder="1" applyAlignment="1">
      <alignment horizontal="left"/>
    </xf>
    <xf numFmtId="0" fontId="0"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87" fontId="0" fillId="0" borderId="10" xfId="49" applyNumberFormat="1" applyFont="1" applyFill="1" applyBorder="1" applyAlignment="1">
      <alignment horizontal="right"/>
    </xf>
    <xf numFmtId="187" fontId="0" fillId="0" borderId="0" xfId="0" applyNumberFormat="1" applyFont="1" applyFill="1" applyBorder="1" applyAlignment="1">
      <alignment/>
    </xf>
    <xf numFmtId="3" fontId="0" fillId="0" borderId="0" xfId="0" applyNumberFormat="1" applyFont="1" applyFill="1" applyBorder="1" applyAlignment="1">
      <alignment/>
    </xf>
    <xf numFmtId="3" fontId="3" fillId="32" borderId="10" xfId="0" applyNumberFormat="1" applyFont="1" applyFill="1" applyBorder="1" applyAlignment="1">
      <alignment horizontal="right"/>
    </xf>
    <xf numFmtId="187" fontId="0" fillId="0" borderId="0" xfId="0" applyNumberFormat="1" applyFont="1" applyFill="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87" fontId="0" fillId="0" borderId="0" xfId="49" applyNumberFormat="1" applyFont="1" applyFill="1" applyBorder="1" applyAlignment="1">
      <alignment horizontal="right"/>
    </xf>
    <xf numFmtId="187" fontId="3" fillId="32" borderId="10" xfId="49"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3" fontId="0" fillId="0" borderId="10" xfId="0" applyNumberFormat="1" applyFont="1" applyFill="1" applyBorder="1" applyAlignment="1" applyProtection="1">
      <alignment horizontal="right"/>
      <protection locked="0"/>
    </xf>
    <xf numFmtId="0" fontId="23" fillId="0" borderId="0" xfId="0" applyFont="1" applyFill="1" applyBorder="1" applyAlignment="1">
      <alignment/>
    </xf>
    <xf numFmtId="15" fontId="23"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187" fontId="0" fillId="0" borderId="0" xfId="0" applyNumberFormat="1" applyFont="1" applyBorder="1" applyAlignment="1">
      <alignment/>
    </xf>
    <xf numFmtId="171" fontId="0" fillId="0" borderId="0" xfId="49" applyFont="1" applyBorder="1" applyAlignment="1">
      <alignment/>
    </xf>
    <xf numFmtId="171" fontId="0" fillId="0" borderId="0" xfId="0" applyNumberFormat="1" applyFont="1" applyBorder="1" applyAlignment="1">
      <alignment/>
    </xf>
    <xf numFmtId="0" fontId="0" fillId="0" borderId="10" xfId="0" applyFont="1" applyBorder="1" applyAlignment="1">
      <alignment/>
    </xf>
    <xf numFmtId="3" fontId="0" fillId="0" borderId="0" xfId="0" applyNumberFormat="1" applyFont="1" applyFill="1" applyAlignment="1">
      <alignment horizontal="right"/>
    </xf>
    <xf numFmtId="0" fontId="30"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7"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7"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7" fontId="3" fillId="0" borderId="10" xfId="0" applyNumberFormat="1" applyFont="1" applyFill="1" applyBorder="1" applyAlignment="1" applyProtection="1">
      <alignment horizontal="center"/>
      <protection locked="0"/>
    </xf>
    <xf numFmtId="187" fontId="3" fillId="0" borderId="10" xfId="49" applyNumberFormat="1" applyFont="1" applyFill="1" applyBorder="1" applyAlignment="1">
      <alignment horizontal="right"/>
    </xf>
    <xf numFmtId="0" fontId="3" fillId="32" borderId="10" xfId="0" applyFont="1" applyFill="1" applyBorder="1" applyAlignment="1">
      <alignment/>
    </xf>
    <xf numFmtId="171" fontId="15" fillId="0" borderId="0" xfId="49" applyFont="1" applyAlignment="1">
      <alignment/>
    </xf>
    <xf numFmtId="187" fontId="21" fillId="0" borderId="0" xfId="0" applyNumberFormat="1" applyFont="1" applyFill="1" applyBorder="1" applyAlignment="1">
      <alignment/>
    </xf>
    <xf numFmtId="0" fontId="4" fillId="0" borderId="10" xfId="0" applyNumberFormat="1" applyFont="1" applyFill="1" applyBorder="1" applyAlignment="1">
      <alignment horizontal="center"/>
    </xf>
    <xf numFmtId="15" fontId="4" fillId="0" borderId="10" xfId="0" applyNumberFormat="1" applyFont="1" applyFill="1" applyBorder="1" applyAlignment="1">
      <alignment horizontal="center"/>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15" fontId="0" fillId="0" borderId="0" xfId="0" applyNumberFormat="1" applyFont="1" applyBorder="1" applyAlignment="1">
      <alignment/>
    </xf>
    <xf numFmtId="186" fontId="3" fillId="0" borderId="0" xfId="0" applyNumberFormat="1" applyFont="1" applyBorder="1" applyAlignment="1">
      <alignment/>
    </xf>
    <xf numFmtId="0" fontId="3" fillId="0" borderId="31" xfId="0" applyFont="1" applyBorder="1" applyAlignment="1">
      <alignment/>
    </xf>
    <xf numFmtId="195" fontId="4" fillId="0" borderId="0" xfId="60" applyNumberFormat="1" applyFont="1" applyFill="1" applyAlignment="1">
      <alignment/>
    </xf>
    <xf numFmtId="170" fontId="15" fillId="0" borderId="0" xfId="0" applyNumberFormat="1" applyFont="1" applyAlignment="1">
      <alignment/>
    </xf>
    <xf numFmtId="188" fontId="21" fillId="0" borderId="0" xfId="65" applyNumberFormat="1" applyFont="1" applyAlignment="1">
      <alignment/>
    </xf>
    <xf numFmtId="187" fontId="21" fillId="0" borderId="0" xfId="0" applyNumberFormat="1" applyFont="1" applyAlignment="1">
      <alignment/>
    </xf>
    <xf numFmtId="187" fontId="21" fillId="0" borderId="0" xfId="65" applyNumberFormat="1" applyFont="1" applyAlignment="1">
      <alignment/>
    </xf>
    <xf numFmtId="10" fontId="21" fillId="0" borderId="0" xfId="65" applyNumberFormat="1" applyFont="1" applyAlignment="1">
      <alignment/>
    </xf>
    <xf numFmtId="9" fontId="0" fillId="0" borderId="0" xfId="65" applyFont="1" applyAlignment="1">
      <alignment/>
    </xf>
    <xf numFmtId="0" fontId="32" fillId="0" borderId="0" xfId="0" applyFont="1" applyAlignment="1">
      <alignment/>
    </xf>
    <xf numFmtId="0" fontId="25" fillId="0" borderId="0" xfId="0" applyFont="1" applyFill="1" applyBorder="1" applyAlignment="1">
      <alignment horizontal="center"/>
    </xf>
    <xf numFmtId="0" fontId="25" fillId="32" borderId="0" xfId="0" applyFont="1" applyFill="1" applyAlignment="1">
      <alignment/>
    </xf>
    <xf numFmtId="0" fontId="25" fillId="32" borderId="0" xfId="0" applyFont="1" applyFill="1" applyAlignment="1">
      <alignment horizontal="left"/>
    </xf>
    <xf numFmtId="189" fontId="4" fillId="32" borderId="0" xfId="59" applyNumberFormat="1" applyFont="1" applyFill="1" applyAlignment="1">
      <alignment/>
    </xf>
    <xf numFmtId="189" fontId="25" fillId="32" borderId="0" xfId="59" applyNumberFormat="1" applyFont="1" applyFill="1" applyAlignment="1">
      <alignment/>
    </xf>
    <xf numFmtId="0" fontId="3" fillId="0" borderId="0" xfId="0" applyFont="1" applyFill="1" applyBorder="1" applyAlignment="1">
      <alignment/>
    </xf>
    <xf numFmtId="15" fontId="0" fillId="0" borderId="0" xfId="0" applyNumberFormat="1" applyFont="1" applyFill="1" applyBorder="1" applyAlignment="1">
      <alignment/>
    </xf>
    <xf numFmtId="171" fontId="0" fillId="0" borderId="0" xfId="49" applyFont="1" applyFill="1" applyAlignment="1">
      <alignment/>
    </xf>
    <xf numFmtId="171" fontId="0" fillId="0" borderId="0" xfId="49" applyFont="1" applyFill="1" applyBorder="1" applyAlignment="1">
      <alignment/>
    </xf>
    <xf numFmtId="0" fontId="25" fillId="0" borderId="25" xfId="0" applyFont="1" applyFill="1" applyBorder="1" applyAlignment="1">
      <alignment horizontal="center"/>
    </xf>
    <xf numFmtId="0" fontId="25" fillId="0" borderId="26" xfId="0" applyFont="1" applyFill="1" applyBorder="1" applyAlignment="1">
      <alignment horizontal="center"/>
    </xf>
    <xf numFmtId="0" fontId="25" fillId="0" borderId="19" xfId="0" applyFont="1" applyFill="1" applyBorder="1" applyAlignment="1">
      <alignment horizontal="center"/>
    </xf>
    <xf numFmtId="187" fontId="4" fillId="0" borderId="20" xfId="0" applyNumberFormat="1" applyFont="1" applyFill="1" applyBorder="1" applyAlignment="1">
      <alignment/>
    </xf>
    <xf numFmtId="10" fontId="4" fillId="0" borderId="20" xfId="65" applyNumberFormat="1" applyFont="1" applyFill="1" applyBorder="1" applyAlignment="1">
      <alignment/>
    </xf>
    <xf numFmtId="9" fontId="4" fillId="0" borderId="19" xfId="65" applyNumberFormat="1" applyFont="1" applyFill="1" applyBorder="1" applyAlignment="1">
      <alignment/>
    </xf>
    <xf numFmtId="187" fontId="4" fillId="0" borderId="20" xfId="49" applyNumberFormat="1" applyFont="1" applyFill="1" applyBorder="1" applyAlignment="1">
      <alignment/>
    </xf>
    <xf numFmtId="171" fontId="4" fillId="0" borderId="20" xfId="0" applyNumberFormat="1" applyFont="1" applyFill="1" applyBorder="1" applyAlignment="1">
      <alignment/>
    </xf>
    <xf numFmtId="170" fontId="3" fillId="0" borderId="64" xfId="60" applyFont="1" applyFill="1" applyBorder="1" applyAlignment="1">
      <alignment/>
    </xf>
    <xf numFmtId="10" fontId="25" fillId="0" borderId="26" xfId="65" applyNumberFormat="1" applyFont="1" applyFill="1" applyBorder="1" applyAlignment="1">
      <alignment/>
    </xf>
    <xf numFmtId="171" fontId="0" fillId="0" borderId="0" xfId="49" applyFont="1" applyFill="1" applyAlignment="1">
      <alignment/>
    </xf>
    <xf numFmtId="0" fontId="3" fillId="0" borderId="97" xfId="0" applyFont="1" applyBorder="1" applyAlignment="1">
      <alignment/>
    </xf>
    <xf numFmtId="171" fontId="0" fillId="0" borderId="0" xfId="0" applyNumberFormat="1" applyFill="1" applyBorder="1" applyAlignment="1">
      <alignment/>
    </xf>
    <xf numFmtId="187" fontId="0" fillId="0" borderId="0" xfId="49" applyNumberFormat="1" applyFont="1" applyFill="1" applyAlignment="1">
      <alignment/>
    </xf>
    <xf numFmtId="185" fontId="0" fillId="0" borderId="0" xfId="0" applyNumberFormat="1" applyFill="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7" fontId="0" fillId="0" borderId="10" xfId="49" applyNumberFormat="1" applyFont="1" applyFill="1" applyBorder="1" applyAlignment="1">
      <alignment horizontal="right"/>
    </xf>
    <xf numFmtId="43" fontId="15" fillId="0" borderId="0" xfId="0" applyNumberFormat="1" applyFont="1" applyAlignment="1">
      <alignment/>
    </xf>
    <xf numFmtId="0" fontId="34" fillId="0" borderId="0" xfId="0" applyFont="1" applyAlignment="1">
      <alignment/>
    </xf>
    <xf numFmtId="187" fontId="0" fillId="34" borderId="10" xfId="49" applyNumberFormat="1" applyFont="1" applyFill="1" applyBorder="1" applyAlignment="1">
      <alignment horizontal="right"/>
    </xf>
    <xf numFmtId="187" fontId="0" fillId="34" borderId="10" xfId="49" applyNumberFormat="1" applyFont="1" applyFill="1" applyBorder="1" applyAlignment="1">
      <alignment horizontal="right"/>
    </xf>
    <xf numFmtId="3" fontId="0" fillId="34" borderId="10" xfId="0" applyNumberFormat="1" applyFont="1" applyFill="1" applyBorder="1" applyAlignment="1" applyProtection="1">
      <alignment horizontal="right"/>
      <protection locked="0"/>
    </xf>
    <xf numFmtId="0" fontId="0" fillId="0" borderId="10" xfId="0" applyFont="1" applyFill="1" applyBorder="1" applyAlignment="1" applyProtection="1">
      <alignment horizontal="center"/>
      <protection locked="0"/>
    </xf>
    <xf numFmtId="0" fontId="4" fillId="0" borderId="10" xfId="0" applyNumberFormat="1" applyFont="1" applyFill="1" applyBorder="1" applyAlignment="1">
      <alignment horizontal="center"/>
    </xf>
    <xf numFmtId="189" fontId="4" fillId="0" borderId="0" xfId="0" applyNumberFormat="1" applyFont="1" applyFill="1" applyAlignment="1">
      <alignment/>
    </xf>
    <xf numFmtId="187" fontId="0" fillId="0" borderId="0" xfId="49" applyNumberFormat="1" applyFont="1" applyAlignment="1">
      <alignment/>
    </xf>
    <xf numFmtId="170" fontId="36" fillId="0" borderId="0" xfId="0" applyNumberFormat="1" applyFont="1" applyAlignment="1">
      <alignment horizontal="right"/>
    </xf>
    <xf numFmtId="170" fontId="3" fillId="0" borderId="26" xfId="60" applyFont="1" applyFill="1" applyBorder="1" applyAlignment="1">
      <alignment/>
    </xf>
    <xf numFmtId="0" fontId="23" fillId="0" borderId="0" xfId="0" applyFont="1" applyFill="1" applyAlignment="1">
      <alignment/>
    </xf>
    <xf numFmtId="0" fontId="0" fillId="0" borderId="0" xfId="0" applyFont="1" applyFill="1" applyBorder="1" applyAlignment="1">
      <alignment horizontal="righ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0" fontId="0" fillId="34" borderId="10" xfId="0" applyFont="1" applyFill="1" applyBorder="1" applyAlignment="1">
      <alignment horizontal="left"/>
    </xf>
    <xf numFmtId="3" fontId="4" fillId="34" borderId="98" xfId="0" applyNumberFormat="1" applyFont="1" applyFill="1" applyBorder="1" applyAlignment="1">
      <alignment/>
    </xf>
    <xf numFmtId="3" fontId="25" fillId="34" borderId="98" xfId="0" applyNumberFormat="1" applyFont="1" applyFill="1" applyBorder="1" applyAlignment="1">
      <alignment/>
    </xf>
    <xf numFmtId="187" fontId="0" fillId="0" borderId="0" xfId="49" applyNumberFormat="1" applyFont="1" applyFill="1" applyBorder="1" applyAlignment="1">
      <alignment horizontal="right"/>
    </xf>
    <xf numFmtId="0" fontId="0" fillId="0" borderId="0" xfId="0" applyFont="1" applyFill="1" applyBorder="1" applyAlignment="1">
      <alignment horizontal="left"/>
    </xf>
    <xf numFmtId="171" fontId="0" fillId="0" borderId="10" xfId="49" applyFont="1" applyBorder="1" applyAlignment="1">
      <alignment/>
    </xf>
    <xf numFmtId="171" fontId="0" fillId="0" borderId="0" xfId="49" applyFont="1" applyBorder="1" applyAlignment="1">
      <alignment/>
    </xf>
    <xf numFmtId="0" fontId="0" fillId="34" borderId="10" xfId="0" applyFont="1" applyFill="1" applyBorder="1" applyAlignment="1">
      <alignment horizontal="left"/>
    </xf>
    <xf numFmtId="0" fontId="0" fillId="34" borderId="17" xfId="0" applyFont="1" applyFill="1" applyBorder="1" applyAlignment="1">
      <alignment horizontal="left"/>
    </xf>
    <xf numFmtId="0" fontId="4" fillId="34" borderId="98" xfId="0" applyFont="1" applyFill="1" applyBorder="1" applyAlignment="1">
      <alignmen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16" fillId="0" borderId="0" xfId="0" applyFont="1" applyAlignment="1">
      <alignment/>
    </xf>
    <xf numFmtId="187" fontId="15" fillId="0" borderId="0" xfId="49" applyNumberFormat="1" applyFont="1" applyAlignment="1">
      <alignment/>
    </xf>
    <xf numFmtId="3" fontId="3" fillId="32" borderId="10" xfId="0" applyNumberFormat="1" applyFont="1" applyFill="1" applyBorder="1" applyAlignment="1">
      <alignment horizontal="left"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0" fontId="3" fillId="32" borderId="10" xfId="0" applyFont="1" applyFill="1" applyBorder="1" applyAlignment="1">
      <alignment horizontal="center" vertical="center"/>
    </xf>
    <xf numFmtId="187"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0" fontId="3" fillId="32" borderId="10" xfId="0" applyFont="1" applyFill="1" applyBorder="1" applyAlignment="1">
      <alignment horizontal="left"/>
    </xf>
    <xf numFmtId="10" fontId="4" fillId="0" borderId="0" xfId="65" applyNumberFormat="1" applyFont="1" applyFill="1" applyAlignment="1">
      <alignment/>
    </xf>
    <xf numFmtId="10" fontId="0" fillId="0" borderId="0" xfId="0" applyNumberFormat="1" applyFont="1" applyAlignment="1">
      <alignment horizontal="center"/>
    </xf>
    <xf numFmtId="10" fontId="0" fillId="0" borderId="0" xfId="0" applyNumberFormat="1" applyFont="1" applyAlignment="1">
      <alignment/>
    </xf>
    <xf numFmtId="3" fontId="25" fillId="34" borderId="99" xfId="0" applyNumberFormat="1" applyFont="1" applyFill="1" applyBorder="1" applyAlignment="1">
      <alignment/>
    </xf>
    <xf numFmtId="0" fontId="4" fillId="34" borderId="100" xfId="0" applyFont="1" applyFill="1" applyBorder="1" applyAlignment="1">
      <alignment/>
    </xf>
    <xf numFmtId="3" fontId="25" fillId="34" borderId="98" xfId="0" applyNumberFormat="1" applyFont="1" applyFill="1" applyBorder="1" applyAlignment="1">
      <alignment/>
    </xf>
    <xf numFmtId="3" fontId="4" fillId="34" borderId="99" xfId="0" applyNumberFormat="1" applyFont="1" applyFill="1" applyBorder="1" applyAlignment="1">
      <alignment/>
    </xf>
    <xf numFmtId="3" fontId="4" fillId="34" borderId="98" xfId="0" applyNumberFormat="1" applyFont="1" applyFill="1" applyBorder="1" applyAlignment="1">
      <alignment/>
    </xf>
    <xf numFmtId="0" fontId="25" fillId="34" borderId="99" xfId="0" applyFont="1" applyFill="1" applyBorder="1" applyAlignment="1">
      <alignment/>
    </xf>
    <xf numFmtId="0" fontId="4" fillId="34" borderId="99" xfId="0" applyFont="1" applyFill="1" applyBorder="1" applyAlignment="1">
      <alignment/>
    </xf>
    <xf numFmtId="187" fontId="4" fillId="34" borderId="98" xfId="49" applyNumberFormat="1" applyFont="1" applyFill="1" applyBorder="1" applyAlignment="1">
      <alignment/>
    </xf>
    <xf numFmtId="15" fontId="4" fillId="0" borderId="10" xfId="0" applyNumberFormat="1" applyFont="1" applyFill="1" applyBorder="1" applyAlignment="1">
      <alignment horizontal="center"/>
    </xf>
    <xf numFmtId="186" fontId="3" fillId="0" borderId="10" xfId="0" applyNumberFormat="1" applyFont="1" applyBorder="1" applyAlignment="1">
      <alignment horizontal="right"/>
    </xf>
    <xf numFmtId="187" fontId="0" fillId="0" borderId="10" xfId="49" applyNumberFormat="1" applyFont="1" applyBorder="1" applyAlignment="1">
      <alignment horizontal="right"/>
    </xf>
    <xf numFmtId="0" fontId="25" fillId="34" borderId="101" xfId="0" applyFont="1" applyFill="1" applyBorder="1" applyAlignment="1">
      <alignment horizontal="center" vertical="center"/>
    </xf>
    <xf numFmtId="0" fontId="25" fillId="34" borderId="102" xfId="0" applyFont="1" applyFill="1" applyBorder="1" applyAlignment="1">
      <alignment horizontal="center" vertical="center" wrapText="1"/>
    </xf>
    <xf numFmtId="3" fontId="25" fillId="34" borderId="99" xfId="0" applyNumberFormat="1" applyFont="1" applyFill="1" applyBorder="1" applyAlignment="1">
      <alignment/>
    </xf>
    <xf numFmtId="189" fontId="25" fillId="34" borderId="22" xfId="59" applyNumberFormat="1" applyFont="1" applyFill="1" applyBorder="1" applyAlignment="1">
      <alignment horizontal="center"/>
    </xf>
    <xf numFmtId="189" fontId="25" fillId="34" borderId="35" xfId="59" applyNumberFormat="1" applyFont="1" applyFill="1" applyBorder="1" applyAlignment="1">
      <alignment horizontal="center"/>
    </xf>
    <xf numFmtId="0" fontId="25" fillId="34" borderId="19" xfId="0" applyFont="1" applyFill="1" applyBorder="1" applyAlignment="1">
      <alignment horizontal="center"/>
    </xf>
    <xf numFmtId="0" fontId="15" fillId="34" borderId="19" xfId="0" applyFont="1" applyFill="1" applyBorder="1" applyAlignment="1">
      <alignment/>
    </xf>
    <xf numFmtId="189" fontId="25" fillId="34" borderId="40" xfId="59" applyNumberFormat="1" applyFont="1" applyFill="1" applyBorder="1" applyAlignment="1">
      <alignment horizontal="center"/>
    </xf>
    <xf numFmtId="189" fontId="25" fillId="34" borderId="63" xfId="59" applyNumberFormat="1" applyFont="1" applyFill="1" applyBorder="1" applyAlignment="1">
      <alignment horizontal="center"/>
    </xf>
    <xf numFmtId="0" fontId="25" fillId="34" borderId="28" xfId="0" applyFont="1" applyFill="1" applyBorder="1" applyAlignment="1">
      <alignment horizontal="center"/>
    </xf>
    <xf numFmtId="0" fontId="16" fillId="34" borderId="28" xfId="0" applyFont="1" applyFill="1" applyBorder="1" applyAlignment="1">
      <alignment horizontal="center"/>
    </xf>
    <xf numFmtId="189" fontId="25" fillId="34" borderId="21" xfId="59" applyNumberFormat="1" applyFont="1" applyFill="1" applyBorder="1" applyAlignment="1">
      <alignment horizontal="center"/>
    </xf>
    <xf numFmtId="189" fontId="25" fillId="34" borderId="103" xfId="59" applyNumberFormat="1" applyFont="1" applyFill="1" applyBorder="1" applyAlignment="1">
      <alignment horizontal="center"/>
    </xf>
    <xf numFmtId="0" fontId="25" fillId="34" borderId="20" xfId="0" applyFont="1" applyFill="1" applyBorder="1" applyAlignment="1">
      <alignment horizontal="center"/>
    </xf>
    <xf numFmtId="171" fontId="15" fillId="34" borderId="20" xfId="0" applyNumberFormat="1" applyFont="1" applyFill="1" applyBorder="1" applyAlignment="1">
      <alignment/>
    </xf>
    <xf numFmtId="0" fontId="25" fillId="34" borderId="104" xfId="0" applyFont="1" applyFill="1" applyBorder="1" applyAlignment="1">
      <alignment horizontal="left"/>
    </xf>
    <xf numFmtId="189" fontId="25" fillId="34" borderId="105" xfId="59" applyNumberFormat="1" applyFont="1" applyFill="1" applyBorder="1" applyAlignment="1">
      <alignment horizontal="center"/>
    </xf>
    <xf numFmtId="189" fontId="25" fillId="34" borderId="19" xfId="59" applyNumberFormat="1" applyFont="1" applyFill="1" applyBorder="1" applyAlignment="1">
      <alignment horizontal="center"/>
    </xf>
    <xf numFmtId="10" fontId="25" fillId="34" borderId="77" xfId="65" applyNumberFormat="1" applyFont="1" applyFill="1" applyBorder="1" applyAlignment="1">
      <alignment/>
    </xf>
    <xf numFmtId="0" fontId="4" fillId="34" borderId="73" xfId="0" applyFont="1" applyFill="1" applyBorder="1" applyAlignment="1">
      <alignment/>
    </xf>
    <xf numFmtId="187" fontId="4" fillId="34" borderId="77" xfId="57" applyNumberFormat="1" applyFont="1" applyFill="1" applyBorder="1" applyAlignment="1">
      <alignment/>
    </xf>
    <xf numFmtId="189" fontId="4" fillId="34" borderId="106" xfId="59" applyNumberFormat="1" applyFont="1" applyFill="1" applyBorder="1" applyAlignment="1">
      <alignment/>
    </xf>
    <xf numFmtId="187" fontId="4" fillId="34" borderId="107" xfId="57" applyNumberFormat="1" applyFont="1" applyFill="1" applyBorder="1" applyAlignment="1">
      <alignment/>
    </xf>
    <xf numFmtId="187" fontId="4" fillId="34" borderId="107" xfId="57" applyNumberFormat="1" applyFont="1" applyFill="1" applyBorder="1" applyAlignment="1">
      <alignment/>
    </xf>
    <xf numFmtId="0" fontId="25" fillId="34" borderId="94" xfId="0" applyFont="1" applyFill="1" applyBorder="1" applyAlignment="1">
      <alignment/>
    </xf>
    <xf numFmtId="189" fontId="25" fillId="34" borderId="96" xfId="59" applyNumberFormat="1" applyFont="1" applyFill="1" applyBorder="1" applyAlignment="1">
      <alignment/>
    </xf>
    <xf numFmtId="189" fontId="25" fillId="34" borderId="108" xfId="59" applyNumberFormat="1" applyFont="1" applyFill="1" applyBorder="1" applyAlignment="1">
      <alignment/>
    </xf>
    <xf numFmtId="189" fontId="25" fillId="34" borderId="109" xfId="59" applyNumberFormat="1" applyFont="1" applyFill="1" applyBorder="1" applyAlignment="1">
      <alignment/>
    </xf>
    <xf numFmtId="187" fontId="4" fillId="34" borderId="106" xfId="57" applyNumberFormat="1" applyFont="1" applyFill="1" applyBorder="1" applyAlignment="1">
      <alignment/>
    </xf>
    <xf numFmtId="10" fontId="4" fillId="34" borderId="77" xfId="65" applyNumberFormat="1" applyFont="1" applyFill="1" applyBorder="1" applyAlignment="1">
      <alignment/>
    </xf>
    <xf numFmtId="0" fontId="25" fillId="34" borderId="73" xfId="0" applyFont="1" applyFill="1" applyBorder="1" applyAlignment="1">
      <alignment/>
    </xf>
    <xf numFmtId="187" fontId="25" fillId="34" borderId="77" xfId="57" applyNumberFormat="1" applyFont="1" applyFill="1" applyBorder="1" applyAlignment="1">
      <alignment/>
    </xf>
    <xf numFmtId="187" fontId="25" fillId="34" borderId="106" xfId="57" applyNumberFormat="1" applyFont="1" applyFill="1" applyBorder="1" applyAlignment="1">
      <alignment/>
    </xf>
    <xf numFmtId="187" fontId="25" fillId="34" borderId="107" xfId="57" applyNumberFormat="1" applyFont="1" applyFill="1" applyBorder="1" applyAlignment="1">
      <alignment/>
    </xf>
    <xf numFmtId="187" fontId="4" fillId="34" borderId="77" xfId="65" applyNumberFormat="1" applyFont="1" applyFill="1" applyBorder="1" applyAlignment="1">
      <alignment/>
    </xf>
    <xf numFmtId="187" fontId="4" fillId="34" borderId="107" xfId="67" applyNumberFormat="1" applyFont="1" applyFill="1" applyBorder="1" applyAlignment="1">
      <alignment/>
    </xf>
    <xf numFmtId="0" fontId="4" fillId="34" borderId="91" xfId="0" applyFont="1" applyFill="1" applyBorder="1" applyAlignment="1">
      <alignment/>
    </xf>
    <xf numFmtId="187" fontId="4" fillId="34" borderId="93" xfId="57" applyNumberFormat="1" applyFont="1" applyFill="1" applyBorder="1" applyAlignment="1">
      <alignment/>
    </xf>
    <xf numFmtId="189" fontId="4" fillId="34" borderId="110" xfId="59" applyNumberFormat="1" applyFont="1" applyFill="1" applyBorder="1" applyAlignment="1">
      <alignment/>
    </xf>
    <xf numFmtId="187" fontId="4" fillId="34" borderId="111" xfId="57" applyNumberFormat="1" applyFont="1" applyFill="1" applyBorder="1" applyAlignment="1">
      <alignment/>
    </xf>
    <xf numFmtId="187" fontId="4" fillId="34" borderId="111" xfId="57" applyNumberFormat="1" applyFont="1" applyFill="1" applyBorder="1" applyAlignment="1">
      <alignment/>
    </xf>
    <xf numFmtId="0" fontId="25" fillId="34" borderId="31" xfId="0" applyFont="1" applyFill="1" applyBorder="1" applyAlignment="1">
      <alignment/>
    </xf>
    <xf numFmtId="187" fontId="25" fillId="34" borderId="32" xfId="0" applyNumberFormat="1" applyFont="1" applyFill="1" applyBorder="1" applyAlignment="1">
      <alignment/>
    </xf>
    <xf numFmtId="187" fontId="25" fillId="34" borderId="112" xfId="0" applyNumberFormat="1" applyFont="1" applyFill="1" applyBorder="1" applyAlignment="1">
      <alignment/>
    </xf>
    <xf numFmtId="187" fontId="25" fillId="34" borderId="26" xfId="0" applyNumberFormat="1" applyFont="1" applyFill="1" applyBorder="1" applyAlignment="1">
      <alignment/>
    </xf>
    <xf numFmtId="10" fontId="16" fillId="34" borderId="26" xfId="65" applyNumberFormat="1" applyFont="1" applyFill="1" applyBorder="1" applyAlignment="1">
      <alignment/>
    </xf>
    <xf numFmtId="3" fontId="4" fillId="0" borderId="98" xfId="0" applyNumberFormat="1" applyFont="1" applyFill="1" applyBorder="1" applyAlignment="1">
      <alignment/>
    </xf>
    <xf numFmtId="187" fontId="1" fillId="0" borderId="0" xfId="49" applyNumberFormat="1" applyFont="1" applyAlignment="1">
      <alignment/>
    </xf>
    <xf numFmtId="187" fontId="25" fillId="0" borderId="107" xfId="57" applyNumberFormat="1" applyFont="1" applyFill="1" applyBorder="1" applyAlignment="1">
      <alignment/>
    </xf>
    <xf numFmtId="187" fontId="4" fillId="0" borderId="107" xfId="65" applyNumberFormat="1" applyFont="1" applyFill="1" applyBorder="1" applyAlignment="1">
      <alignment/>
    </xf>
    <xf numFmtId="187" fontId="4" fillId="0" borderId="107" xfId="57" applyNumberFormat="1" applyFont="1" applyFill="1" applyBorder="1" applyAlignment="1">
      <alignment/>
    </xf>
    <xf numFmtId="210" fontId="25" fillId="0" borderId="0" xfId="0" applyNumberFormat="1" applyFont="1" applyFill="1" applyAlignment="1">
      <alignment horizontal="center"/>
    </xf>
    <xf numFmtId="0" fontId="25" fillId="0" borderId="36" xfId="0" applyFont="1" applyFill="1" applyBorder="1" applyAlignment="1">
      <alignment horizontal="center"/>
    </xf>
    <xf numFmtId="187" fontId="25" fillId="0" borderId="38" xfId="0" applyNumberFormat="1" applyFont="1" applyFill="1" applyBorder="1" applyAlignment="1">
      <alignment horizontal="center"/>
    </xf>
    <xf numFmtId="0" fontId="25" fillId="0" borderId="64" xfId="0" applyFont="1" applyFill="1" applyBorder="1" applyAlignment="1">
      <alignment horizontal="center"/>
    </xf>
    <xf numFmtId="0" fontId="4" fillId="0" borderId="19" xfId="0" applyFont="1" applyFill="1" applyBorder="1" applyAlignment="1">
      <alignment/>
    </xf>
    <xf numFmtId="0" fontId="25" fillId="0" borderId="30" xfId="0" applyFont="1" applyFill="1" applyBorder="1" applyAlignment="1">
      <alignment horizontal="center"/>
    </xf>
    <xf numFmtId="0" fontId="25" fillId="0" borderId="28" xfId="0" applyFont="1" applyFill="1" applyBorder="1" applyAlignment="1">
      <alignment horizontal="center"/>
    </xf>
    <xf numFmtId="0" fontId="4" fillId="0" borderId="20" xfId="0" applyFont="1" applyFill="1" applyBorder="1" applyAlignment="1">
      <alignment/>
    </xf>
    <xf numFmtId="187" fontId="4" fillId="0" borderId="20" xfId="49" applyNumberFormat="1" applyFont="1" applyFill="1" applyBorder="1" applyAlignment="1">
      <alignment horizontal="center"/>
    </xf>
    <xf numFmtId="187" fontId="4" fillId="0" borderId="19" xfId="49" applyNumberFormat="1" applyFont="1" applyFill="1" applyBorder="1" applyAlignment="1">
      <alignment/>
    </xf>
    <xf numFmtId="0" fontId="4" fillId="0" borderId="23" xfId="0" applyFont="1" applyFill="1" applyBorder="1" applyAlignment="1">
      <alignment/>
    </xf>
    <xf numFmtId="0" fontId="4" fillId="0" borderId="30" xfId="0" applyFont="1" applyFill="1" applyBorder="1" applyAlignment="1">
      <alignment/>
    </xf>
    <xf numFmtId="187" fontId="25" fillId="0" borderId="19" xfId="49" applyNumberFormat="1" applyFont="1" applyFill="1" applyBorder="1" applyAlignment="1">
      <alignment horizontal="center"/>
    </xf>
    <xf numFmtId="0" fontId="25" fillId="0" borderId="33" xfId="0" applyFont="1" applyFill="1" applyBorder="1" applyAlignment="1">
      <alignment horizontal="center"/>
    </xf>
    <xf numFmtId="0" fontId="25" fillId="0" borderId="19" xfId="0" applyFont="1" applyFill="1" applyBorder="1" applyAlignment="1">
      <alignment/>
    </xf>
    <xf numFmtId="0" fontId="25" fillId="0" borderId="33" xfId="0" applyFont="1" applyFill="1" applyBorder="1" applyAlignment="1">
      <alignment/>
    </xf>
    <xf numFmtId="187" fontId="4" fillId="0" borderId="24" xfId="49" applyNumberFormat="1" applyFont="1" applyFill="1" applyBorder="1" applyAlignment="1">
      <alignment/>
    </xf>
    <xf numFmtId="0" fontId="4" fillId="0" borderId="24" xfId="0" applyFont="1" applyFill="1" applyBorder="1" applyAlignment="1">
      <alignment/>
    </xf>
    <xf numFmtId="187" fontId="4" fillId="0" borderId="28" xfId="49" applyNumberFormat="1" applyFont="1" applyFill="1" applyBorder="1" applyAlignment="1">
      <alignment/>
    </xf>
    <xf numFmtId="187" fontId="0" fillId="0" borderId="0" xfId="0" applyNumberFormat="1" applyFill="1" applyAlignment="1">
      <alignment/>
    </xf>
    <xf numFmtId="0" fontId="4" fillId="0" borderId="33" xfId="0" applyFont="1" applyFill="1" applyBorder="1" applyAlignment="1">
      <alignment/>
    </xf>
    <xf numFmtId="3" fontId="4" fillId="0" borderId="20" xfId="0" applyNumberFormat="1" applyFont="1" applyFill="1" applyBorder="1" applyAlignment="1">
      <alignment/>
    </xf>
    <xf numFmtId="0" fontId="35" fillId="0" borderId="19" xfId="0" applyFont="1" applyFill="1" applyBorder="1" applyAlignment="1">
      <alignment horizontal="center"/>
    </xf>
    <xf numFmtId="187" fontId="4" fillId="0" borderId="24" xfId="49" applyNumberFormat="1" applyFont="1" applyFill="1" applyBorder="1" applyAlignment="1">
      <alignment horizontal="center"/>
    </xf>
    <xf numFmtId="187" fontId="4" fillId="0" borderId="23" xfId="49" applyNumberFormat="1" applyFont="1" applyFill="1" applyBorder="1" applyAlignment="1">
      <alignment/>
    </xf>
    <xf numFmtId="0" fontId="0" fillId="0" borderId="27" xfId="0" applyFont="1" applyFill="1" applyBorder="1" applyAlignment="1">
      <alignment/>
    </xf>
    <xf numFmtId="187" fontId="3" fillId="0" borderId="26" xfId="0" applyNumberFormat="1" applyFont="1" applyFill="1" applyBorder="1" applyAlignment="1">
      <alignment/>
    </xf>
    <xf numFmtId="16" fontId="25" fillId="34" borderId="28" xfId="0" applyNumberFormat="1" applyFont="1" applyFill="1" applyBorder="1" applyAlignment="1">
      <alignment horizontal="center"/>
    </xf>
    <xf numFmtId="0" fontId="25" fillId="34" borderId="113" xfId="0" applyFont="1" applyFill="1" applyBorder="1" applyAlignment="1">
      <alignment horizontal="center" vertical="center" wrapText="1"/>
    </xf>
    <xf numFmtId="0" fontId="4" fillId="34" borderId="114" xfId="0" applyFont="1" applyFill="1" applyBorder="1" applyAlignment="1">
      <alignment/>
    </xf>
    <xf numFmtId="3" fontId="25" fillId="34" borderId="114" xfId="0" applyNumberFormat="1" applyFont="1" applyFill="1" applyBorder="1" applyAlignment="1">
      <alignment/>
    </xf>
    <xf numFmtId="3" fontId="4" fillId="34" borderId="114" xfId="0" applyNumberFormat="1" applyFont="1" applyFill="1" applyBorder="1" applyAlignment="1">
      <alignment/>
    </xf>
    <xf numFmtId="3" fontId="25" fillId="34" borderId="114" xfId="0" applyNumberFormat="1" applyFont="1" applyFill="1" applyBorder="1" applyAlignment="1">
      <alignment/>
    </xf>
    <xf numFmtId="0" fontId="25" fillId="34" borderId="115" xfId="0" applyFont="1" applyFill="1" applyBorder="1" applyAlignment="1">
      <alignment horizontal="center" vertical="center" wrapText="1"/>
    </xf>
    <xf numFmtId="0" fontId="4" fillId="34" borderId="116" xfId="0" applyFont="1" applyFill="1" applyBorder="1" applyAlignment="1">
      <alignment/>
    </xf>
    <xf numFmtId="3" fontId="25" fillId="34" borderId="116" xfId="0" applyNumberFormat="1" applyFont="1" applyFill="1" applyBorder="1" applyAlignment="1">
      <alignment/>
    </xf>
    <xf numFmtId="3" fontId="4" fillId="34" borderId="116" xfId="0" applyNumberFormat="1" applyFont="1" applyFill="1" applyBorder="1" applyAlignment="1">
      <alignment/>
    </xf>
    <xf numFmtId="3" fontId="25" fillId="34" borderId="116" xfId="0" applyNumberFormat="1" applyFont="1" applyFill="1" applyBorder="1" applyAlignment="1">
      <alignment/>
    </xf>
    <xf numFmtId="0" fontId="25" fillId="34" borderId="117" xfId="0" applyFont="1" applyFill="1" applyBorder="1" applyAlignment="1">
      <alignment horizontal="center" vertical="center" wrapText="1"/>
    </xf>
    <xf numFmtId="9" fontId="4" fillId="34" borderId="100" xfId="65" applyFont="1" applyFill="1" applyBorder="1" applyAlignment="1">
      <alignment/>
    </xf>
    <xf numFmtId="10" fontId="4" fillId="34" borderId="100" xfId="65" applyNumberFormat="1" applyFont="1" applyFill="1" applyBorder="1" applyAlignment="1">
      <alignment/>
    </xf>
    <xf numFmtId="9" fontId="4" fillId="34" borderId="107" xfId="65" applyFont="1" applyFill="1" applyBorder="1" applyAlignment="1">
      <alignment/>
    </xf>
    <xf numFmtId="10" fontId="4" fillId="34" borderId="107" xfId="65" applyNumberFormat="1" applyFont="1" applyFill="1" applyBorder="1" applyAlignment="1">
      <alignment/>
    </xf>
    <xf numFmtId="9" fontId="25" fillId="34" borderId="107" xfId="65" applyFont="1" applyFill="1" applyBorder="1" applyAlignment="1">
      <alignment/>
    </xf>
    <xf numFmtId="9" fontId="25" fillId="0" borderId="107" xfId="65" applyFont="1" applyFill="1" applyBorder="1" applyAlignment="1">
      <alignment/>
    </xf>
    <xf numFmtId="9" fontId="4" fillId="0" borderId="107" xfId="65" applyFont="1" applyFill="1" applyBorder="1" applyAlignment="1">
      <alignment/>
    </xf>
    <xf numFmtId="9" fontId="4" fillId="34" borderId="111" xfId="65" applyFont="1" applyFill="1" applyBorder="1" applyAlignment="1">
      <alignment/>
    </xf>
    <xf numFmtId="9" fontId="25" fillId="34" borderId="26" xfId="65" applyFont="1" applyFill="1" applyBorder="1" applyAlignment="1">
      <alignment/>
    </xf>
    <xf numFmtId="10" fontId="4" fillId="34" borderId="111" xfId="65" applyNumberFormat="1" applyFont="1" applyFill="1" applyBorder="1" applyAlignment="1">
      <alignment/>
    </xf>
    <xf numFmtId="10" fontId="4" fillId="34" borderId="111" xfId="65" applyNumberFormat="1" applyFont="1" applyFill="1" applyBorder="1" applyAlignment="1">
      <alignment/>
    </xf>
    <xf numFmtId="3" fontId="15" fillId="0" borderId="0" xfId="0" applyNumberFormat="1" applyFont="1" applyAlignment="1">
      <alignment/>
    </xf>
    <xf numFmtId="10" fontId="25" fillId="34" borderId="19" xfId="65" applyNumberFormat="1" applyFont="1" applyFill="1" applyBorder="1" applyAlignment="1">
      <alignment horizontal="right"/>
    </xf>
    <xf numFmtId="10" fontId="25" fillId="34" borderId="109" xfId="65" applyNumberFormat="1" applyFont="1" applyFill="1" applyBorder="1" applyAlignment="1">
      <alignment/>
    </xf>
    <xf numFmtId="187" fontId="25" fillId="0" borderId="98" xfId="49" applyNumberFormat="1" applyFont="1" applyFill="1" applyBorder="1" applyAlignment="1">
      <alignment/>
    </xf>
    <xf numFmtId="3" fontId="25" fillId="0" borderId="98" xfId="0" applyNumberFormat="1" applyFont="1" applyFill="1" applyBorder="1" applyAlignment="1">
      <alignment/>
    </xf>
    <xf numFmtId="0" fontId="25" fillId="0" borderId="98" xfId="0" applyFont="1" applyFill="1" applyBorder="1" applyAlignment="1">
      <alignment/>
    </xf>
    <xf numFmtId="3" fontId="25" fillId="0" borderId="114" xfId="0" applyNumberFormat="1" applyFont="1" applyFill="1" applyBorder="1" applyAlignment="1">
      <alignment/>
    </xf>
    <xf numFmtId="3" fontId="25" fillId="0" borderId="116" xfId="0" applyNumberFormat="1" applyFont="1" applyFill="1" applyBorder="1" applyAlignment="1">
      <alignment/>
    </xf>
    <xf numFmtId="37" fontId="25" fillId="0" borderId="99" xfId="0" applyNumberFormat="1" applyFont="1" applyFill="1" applyBorder="1" applyAlignment="1">
      <alignment/>
    </xf>
    <xf numFmtId="37" fontId="4" fillId="0" borderId="99" xfId="0" applyNumberFormat="1" applyFont="1" applyFill="1" applyBorder="1" applyAlignment="1">
      <alignment/>
    </xf>
    <xf numFmtId="3" fontId="25" fillId="0" borderId="98" xfId="0" applyNumberFormat="1" applyFont="1" applyFill="1" applyBorder="1" applyAlignment="1">
      <alignment/>
    </xf>
    <xf numFmtId="187" fontId="25" fillId="0" borderId="98" xfId="49" applyNumberFormat="1" applyFont="1" applyFill="1" applyBorder="1" applyAlignment="1">
      <alignment/>
    </xf>
    <xf numFmtId="3" fontId="25" fillId="0" borderId="114" xfId="0" applyNumberFormat="1" applyFont="1" applyFill="1" applyBorder="1" applyAlignment="1">
      <alignment/>
    </xf>
    <xf numFmtId="3" fontId="25" fillId="0" borderId="116" xfId="0" applyNumberFormat="1" applyFont="1" applyFill="1" applyBorder="1" applyAlignment="1">
      <alignment/>
    </xf>
    <xf numFmtId="3" fontId="4" fillId="0" borderId="98" xfId="0" applyNumberFormat="1" applyFont="1" applyFill="1" applyBorder="1" applyAlignment="1">
      <alignment/>
    </xf>
    <xf numFmtId="187" fontId="4" fillId="0" borderId="98" xfId="49" applyNumberFormat="1" applyFont="1" applyFill="1" applyBorder="1" applyAlignment="1">
      <alignment/>
    </xf>
    <xf numFmtId="3" fontId="4" fillId="0" borderId="114" xfId="0" applyNumberFormat="1" applyFont="1" applyFill="1" applyBorder="1" applyAlignment="1">
      <alignment/>
    </xf>
    <xf numFmtId="3" fontId="4" fillId="0" borderId="116" xfId="0" applyNumberFormat="1" applyFont="1" applyFill="1" applyBorder="1" applyAlignment="1">
      <alignment/>
    </xf>
    <xf numFmtId="0" fontId="4" fillId="0" borderId="99" xfId="0" applyFont="1" applyFill="1" applyBorder="1" applyAlignment="1">
      <alignment horizontal="left" indent="1"/>
    </xf>
    <xf numFmtId="3" fontId="4" fillId="0" borderId="98" xfId="0" applyNumberFormat="1" applyFont="1" applyFill="1" applyBorder="1" applyAlignment="1">
      <alignment/>
    </xf>
    <xf numFmtId="0" fontId="4" fillId="0" borderId="99" xfId="0" applyFont="1" applyFill="1" applyBorder="1" applyAlignment="1">
      <alignment horizontal="left" indent="1"/>
    </xf>
    <xf numFmtId="0" fontId="25" fillId="0" borderId="98" xfId="0" applyFont="1" applyFill="1" applyBorder="1" applyAlignment="1">
      <alignment/>
    </xf>
    <xf numFmtId="0" fontId="4" fillId="0" borderId="99" xfId="0" applyFont="1" applyFill="1" applyBorder="1" applyAlignment="1">
      <alignment horizontal="left" indent="1"/>
    </xf>
    <xf numFmtId="0" fontId="4" fillId="0" borderId="98" xfId="0" applyFont="1" applyFill="1" applyBorder="1" applyAlignment="1">
      <alignment/>
    </xf>
    <xf numFmtId="0" fontId="4" fillId="0" borderId="98" xfId="0" applyFont="1" applyFill="1" applyBorder="1" applyAlignment="1">
      <alignment/>
    </xf>
    <xf numFmtId="0" fontId="4" fillId="0" borderId="118" xfId="0" applyFont="1" applyFill="1" applyBorder="1" applyAlignment="1">
      <alignment horizontal="left" indent="1"/>
    </xf>
    <xf numFmtId="0" fontId="4" fillId="0" borderId="118" xfId="0" applyFont="1" applyFill="1" applyBorder="1" applyAlignment="1">
      <alignment horizontal="left" indent="1"/>
    </xf>
    <xf numFmtId="187" fontId="25" fillId="0" borderId="98" xfId="0" applyNumberFormat="1" applyFont="1" applyFill="1" applyBorder="1" applyAlignment="1">
      <alignment/>
    </xf>
    <xf numFmtId="37" fontId="4" fillId="0" borderId="99" xfId="0" applyNumberFormat="1" applyFont="1" applyFill="1" applyBorder="1" applyAlignment="1">
      <alignment horizontal="left"/>
    </xf>
    <xf numFmtId="3" fontId="4" fillId="0" borderId="116" xfId="0" applyNumberFormat="1" applyFont="1" applyFill="1" applyBorder="1" applyAlignment="1">
      <alignment/>
    </xf>
    <xf numFmtId="37" fontId="4" fillId="0" borderId="99" xfId="0" applyNumberFormat="1" applyFont="1" applyFill="1" applyBorder="1" applyAlignment="1">
      <alignment horizontal="left" wrapText="1"/>
    </xf>
    <xf numFmtId="37" fontId="25" fillId="0" borderId="99" xfId="0" applyNumberFormat="1" applyFont="1" applyFill="1" applyBorder="1" applyAlignment="1">
      <alignment horizontal="left"/>
    </xf>
    <xf numFmtId="37" fontId="25" fillId="0" borderId="99" xfId="0" applyNumberFormat="1" applyFont="1" applyFill="1" applyBorder="1" applyAlignment="1">
      <alignment horizontal="left" wrapText="1"/>
    </xf>
    <xf numFmtId="37" fontId="4" fillId="0" borderId="99" xfId="0" applyNumberFormat="1" applyFont="1" applyFill="1" applyBorder="1" applyAlignment="1">
      <alignment horizontal="left"/>
    </xf>
    <xf numFmtId="0" fontId="4" fillId="0" borderId="99" xfId="0" applyFont="1" applyFill="1" applyBorder="1" applyAlignment="1">
      <alignment/>
    </xf>
    <xf numFmtId="0" fontId="4" fillId="0" borderId="99" xfId="0" applyFont="1" applyFill="1" applyBorder="1" applyAlignment="1">
      <alignment/>
    </xf>
    <xf numFmtId="0" fontId="0" fillId="0" borderId="99" xfId="0" applyFont="1" applyFill="1" applyBorder="1" applyAlignment="1">
      <alignment horizontal="left" indent="1"/>
    </xf>
    <xf numFmtId="0" fontId="25" fillId="0" borderId="99" xfId="0" applyFont="1" applyFill="1" applyBorder="1" applyAlignment="1">
      <alignment/>
    </xf>
    <xf numFmtId="3" fontId="4" fillId="0" borderId="0" xfId="0" applyNumberFormat="1" applyFont="1" applyFill="1" applyBorder="1" applyAlignment="1">
      <alignment/>
    </xf>
    <xf numFmtId="0" fontId="25" fillId="0" borderId="99" xfId="0" applyFont="1" applyFill="1" applyBorder="1" applyAlignment="1">
      <alignment/>
    </xf>
    <xf numFmtId="0" fontId="4" fillId="0" borderId="119" xfId="0" applyFont="1" applyFill="1" applyBorder="1" applyAlignment="1">
      <alignment/>
    </xf>
    <xf numFmtId="3" fontId="25" fillId="0" borderId="120" xfId="0" applyNumberFormat="1" applyFont="1" applyFill="1" applyBorder="1" applyAlignment="1">
      <alignment/>
    </xf>
    <xf numFmtId="0" fontId="4" fillId="0" borderId="120" xfId="0" applyFont="1" applyFill="1" applyBorder="1" applyAlignment="1">
      <alignment/>
    </xf>
    <xf numFmtId="0" fontId="4" fillId="0" borderId="121" xfId="0" applyFont="1" applyFill="1" applyBorder="1" applyAlignment="1">
      <alignment/>
    </xf>
    <xf numFmtId="10" fontId="25" fillId="34" borderId="100" xfId="65" applyNumberFormat="1" applyFont="1" applyFill="1" applyBorder="1" applyAlignment="1">
      <alignment horizontal="right"/>
    </xf>
    <xf numFmtId="3" fontId="4" fillId="34" borderId="100" xfId="0" applyNumberFormat="1" applyFont="1" applyFill="1" applyBorder="1" applyAlignment="1">
      <alignment horizontal="right"/>
    </xf>
    <xf numFmtId="10" fontId="4" fillId="34" borderId="100" xfId="65" applyNumberFormat="1" applyFont="1" applyFill="1" applyBorder="1" applyAlignment="1">
      <alignment horizontal="right"/>
    </xf>
    <xf numFmtId="10" fontId="25" fillId="34" borderId="100" xfId="65" applyNumberFormat="1" applyFont="1" applyFill="1" applyBorder="1" applyAlignment="1">
      <alignment horizontal="right"/>
    </xf>
    <xf numFmtId="0" fontId="4" fillId="34" borderId="100" xfId="0" applyFont="1" applyFill="1" applyBorder="1" applyAlignment="1">
      <alignment horizontal="right"/>
    </xf>
    <xf numFmtId="10" fontId="25" fillId="0" borderId="100" xfId="65" applyNumberFormat="1" applyFont="1" applyFill="1" applyBorder="1" applyAlignment="1">
      <alignment horizontal="right"/>
    </xf>
    <xf numFmtId="3" fontId="4" fillId="0" borderId="100" xfId="0" applyNumberFormat="1" applyFont="1" applyFill="1" applyBorder="1" applyAlignment="1">
      <alignment horizontal="right"/>
    </xf>
    <xf numFmtId="3" fontId="25" fillId="0" borderId="100" xfId="0" applyNumberFormat="1" applyFont="1" applyFill="1" applyBorder="1" applyAlignment="1">
      <alignment horizontal="right"/>
    </xf>
    <xf numFmtId="10" fontId="25" fillId="0" borderId="100" xfId="65" applyNumberFormat="1" applyFont="1" applyFill="1" applyBorder="1" applyAlignment="1">
      <alignment horizontal="right"/>
    </xf>
    <xf numFmtId="9" fontId="25" fillId="0" borderId="100" xfId="65" applyFont="1" applyFill="1" applyBorder="1" applyAlignment="1">
      <alignment horizontal="right"/>
    </xf>
    <xf numFmtId="9" fontId="25" fillId="0" borderId="100" xfId="65" applyFont="1" applyFill="1" applyBorder="1" applyAlignment="1">
      <alignment horizontal="right"/>
    </xf>
    <xf numFmtId="0" fontId="4" fillId="0" borderId="122" xfId="0" applyFont="1" applyFill="1" applyBorder="1" applyAlignment="1">
      <alignment horizontal="right"/>
    </xf>
    <xf numFmtId="187" fontId="4" fillId="0" borderId="107" xfId="57" applyNumberFormat="1" applyFont="1" applyFill="1" applyBorder="1" applyAlignment="1">
      <alignment/>
    </xf>
    <xf numFmtId="187" fontId="4" fillId="0" borderId="111" xfId="57" applyNumberFormat="1" applyFont="1" applyFill="1" applyBorder="1" applyAlignment="1">
      <alignment/>
    </xf>
    <xf numFmtId="9" fontId="25" fillId="34" borderId="100" xfId="65" applyNumberFormat="1" applyFont="1" applyFill="1" applyBorder="1" applyAlignment="1">
      <alignment horizontal="right"/>
    </xf>
    <xf numFmtId="9" fontId="4" fillId="34" borderId="100" xfId="65" applyNumberFormat="1" applyFont="1" applyFill="1" applyBorder="1" applyAlignment="1">
      <alignment horizontal="right"/>
    </xf>
    <xf numFmtId="3" fontId="25" fillId="0" borderId="99" xfId="0" applyNumberFormat="1" applyFont="1" applyFill="1" applyBorder="1" applyAlignment="1">
      <alignment/>
    </xf>
    <xf numFmtId="0" fontId="4" fillId="0" borderId="98" xfId="0" applyFont="1" applyFill="1" applyBorder="1" applyAlignment="1">
      <alignment/>
    </xf>
    <xf numFmtId="3" fontId="4" fillId="0" borderId="114" xfId="0" applyNumberFormat="1" applyFont="1" applyFill="1" applyBorder="1" applyAlignment="1">
      <alignment/>
    </xf>
    <xf numFmtId="10" fontId="4" fillId="0" borderId="100" xfId="65" applyNumberFormat="1" applyFont="1" applyFill="1" applyBorder="1" applyAlignment="1">
      <alignment horizontal="right"/>
    </xf>
    <xf numFmtId="187" fontId="4" fillId="0" borderId="98" xfId="49" applyNumberFormat="1" applyFont="1" applyFill="1" applyBorder="1" applyAlignment="1">
      <alignment/>
    </xf>
    <xf numFmtId="187" fontId="4" fillId="0" borderId="98" xfId="0" applyNumberFormat="1" applyFont="1" applyFill="1" applyBorder="1" applyAlignment="1">
      <alignment/>
    </xf>
    <xf numFmtId="0" fontId="4" fillId="0" borderId="99" xfId="0" applyFont="1" applyFill="1" applyBorder="1" applyAlignment="1">
      <alignment horizontal="left" wrapText="1" indent="1"/>
    </xf>
    <xf numFmtId="187" fontId="4" fillId="0" borderId="114" xfId="49" applyNumberFormat="1" applyFont="1" applyFill="1" applyBorder="1" applyAlignment="1">
      <alignment/>
    </xf>
    <xf numFmtId="187" fontId="4" fillId="0" borderId="116" xfId="49" applyNumberFormat="1" applyFont="1" applyFill="1" applyBorder="1" applyAlignment="1">
      <alignment/>
    </xf>
    <xf numFmtId="3" fontId="4" fillId="0" borderId="100" xfId="0" applyNumberFormat="1" applyFont="1" applyFill="1" applyBorder="1" applyAlignment="1">
      <alignment horizontal="right"/>
    </xf>
    <xf numFmtId="4" fontId="25" fillId="0" borderId="98" xfId="49" applyNumberFormat="1" applyFont="1" applyFill="1" applyBorder="1" applyAlignment="1">
      <alignment/>
    </xf>
    <xf numFmtId="187" fontId="4" fillId="0" borderId="123" xfId="49" applyNumberFormat="1" applyFont="1" applyFill="1" applyBorder="1" applyAlignment="1">
      <alignment/>
    </xf>
    <xf numFmtId="3" fontId="25" fillId="34" borderId="120" xfId="0" applyNumberFormat="1" applyFont="1" applyFill="1" applyBorder="1" applyAlignment="1">
      <alignment/>
    </xf>
    <xf numFmtId="0" fontId="25" fillId="34" borderId="0" xfId="0" applyFont="1" applyFill="1" applyAlignment="1">
      <alignment horizontal="center"/>
    </xf>
    <xf numFmtId="0" fontId="25" fillId="34" borderId="104" xfId="0" applyFont="1" applyFill="1" applyBorder="1" applyAlignment="1">
      <alignment horizontal="center"/>
    </xf>
    <xf numFmtId="0" fontId="25" fillId="34" borderId="74" xfId="0" applyFont="1" applyFill="1" applyBorder="1" applyAlignment="1">
      <alignment horizontal="center"/>
    </xf>
    <xf numFmtId="0" fontId="25" fillId="34" borderId="85" xfId="0" applyFont="1" applyFill="1" applyBorder="1" applyAlignment="1">
      <alignment horizontal="center"/>
    </xf>
    <xf numFmtId="0" fontId="25" fillId="34" borderId="0" xfId="0" applyFont="1" applyFill="1" applyBorder="1" applyAlignment="1">
      <alignment horizontal="center"/>
    </xf>
    <xf numFmtId="0" fontId="25" fillId="34" borderId="24" xfId="0" applyFont="1" applyFill="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124" xfId="0" applyFont="1" applyBorder="1" applyAlignment="1">
      <alignment horizontal="center"/>
    </xf>
    <xf numFmtId="0" fontId="25" fillId="0" borderId="124" xfId="0" applyFont="1" applyBorder="1" applyAlignment="1">
      <alignment horizontal="center"/>
    </xf>
    <xf numFmtId="0" fontId="25" fillId="0" borderId="0" xfId="0" applyFont="1" applyAlignment="1">
      <alignment horizontal="center" vertical="center"/>
    </xf>
    <xf numFmtId="0" fontId="25" fillId="0" borderId="0" xfId="0" applyFont="1" applyAlignment="1">
      <alignment horizontal="center"/>
    </xf>
    <xf numFmtId="0" fontId="25" fillId="0" borderId="19" xfId="0" applyFont="1" applyFill="1" applyBorder="1" applyAlignment="1">
      <alignment horizontal="center"/>
    </xf>
    <xf numFmtId="0" fontId="25" fillId="0" borderId="20"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30" fillId="0" borderId="0" xfId="0" applyFont="1" applyFill="1" applyAlignment="1">
      <alignment horizontal="center"/>
    </xf>
    <xf numFmtId="0" fontId="25" fillId="0" borderId="0" xfId="0" applyFont="1" applyFill="1" applyBorder="1" applyAlignment="1">
      <alignment horizontal="center"/>
    </xf>
    <xf numFmtId="0" fontId="25" fillId="0" borderId="30" xfId="0" applyFont="1" applyFill="1" applyBorder="1" applyAlignment="1">
      <alignment horizontal="center"/>
    </xf>
    <xf numFmtId="0" fontId="25" fillId="0" borderId="33" xfId="0" applyFont="1" applyFill="1" applyBorder="1" applyAlignment="1">
      <alignment horizontal="center"/>
    </xf>
    <xf numFmtId="0" fontId="25" fillId="0" borderId="36" xfId="0" applyFont="1" applyFill="1" applyBorder="1" applyAlignment="1">
      <alignment horizontal="center"/>
    </xf>
    <xf numFmtId="0" fontId="25" fillId="0" borderId="23" xfId="0" applyFont="1" applyFill="1" applyBorder="1" applyAlignment="1">
      <alignment horizontal="center"/>
    </xf>
    <xf numFmtId="0" fontId="25" fillId="0" borderId="24" xfId="0" applyFont="1" applyFill="1" applyBorder="1" applyAlignment="1">
      <alignment horizontal="center"/>
    </xf>
    <xf numFmtId="0" fontId="25" fillId="0" borderId="38" xfId="0" applyFont="1" applyFill="1" applyBorder="1" applyAlignment="1">
      <alignment horizontal="center"/>
    </xf>
    <xf numFmtId="0" fontId="25" fillId="0" borderId="19" xfId="0" applyFont="1" applyFill="1" applyBorder="1" applyAlignment="1">
      <alignment horizontal="center" wrapText="1"/>
    </xf>
    <xf numFmtId="0" fontId="25" fillId="0" borderId="20" xfId="0" applyFont="1" applyFill="1" applyBorder="1" applyAlignment="1">
      <alignment horizontal="center" wrapText="1"/>
    </xf>
    <xf numFmtId="0" fontId="29" fillId="0" borderId="0" xfId="0" applyFont="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0" fontId="3" fillId="32" borderId="25" xfId="0" applyFont="1" applyFill="1" applyBorder="1" applyAlignment="1">
      <alignment horizontal="center"/>
    </xf>
    <xf numFmtId="0" fontId="3" fillId="32" borderId="27" xfId="0" applyFont="1" applyFill="1" applyBorder="1" applyAlignment="1">
      <alignment horizontal="center"/>
    </xf>
    <xf numFmtId="0" fontId="3" fillId="32" borderId="64" xfId="0" applyFont="1" applyFill="1" applyBorder="1" applyAlignment="1">
      <alignment horizontal="center"/>
    </xf>
    <xf numFmtId="187" fontId="3" fillId="0" borderId="90" xfId="0" applyNumberFormat="1" applyFont="1" applyBorder="1" applyAlignment="1">
      <alignment horizontal="center"/>
    </xf>
    <xf numFmtId="0" fontId="3" fillId="0" borderId="32" xfId="0" applyFont="1" applyBorder="1" applyAlignment="1">
      <alignment horizontal="center"/>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24"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 6 2" xfId="56"/>
    <cellStyle name="Millares_Formato Presupuesto Minagricultura" xfId="57"/>
    <cellStyle name="Millares_Gastos de personal" xfId="58"/>
    <cellStyle name="Millares_INGRESOS 2005" xfId="59"/>
    <cellStyle name="Currency" xfId="60"/>
    <cellStyle name="Currency [0]" xfId="61"/>
    <cellStyle name="Neutral" xfId="62"/>
    <cellStyle name="Normal 2" xfId="63"/>
    <cellStyle name="Notas" xfId="64"/>
    <cellStyle name="Percent" xfId="65"/>
    <cellStyle name="Porcentual 2" xfId="66"/>
    <cellStyle name="Porcentual 3" xfId="67"/>
    <cellStyle name="Porcentual 4" xfId="68"/>
    <cellStyle name="Salida" xfId="69"/>
    <cellStyle name="Texto de advertencia" xfId="70"/>
    <cellStyle name="Texto explicativo" xfId="71"/>
    <cellStyle name="Título" xfId="72"/>
    <cellStyle name="Título 2" xfId="73"/>
    <cellStyle name="Título 3" xfId="74"/>
    <cellStyle name="Total" xfId="75"/>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541"/>
  <sheetViews>
    <sheetView view="pageBreakPreview" zoomScale="60" zoomScaleNormal="75" zoomScalePageLayoutView="0" workbookViewId="0" topLeftCell="A1">
      <selection activeCell="H12" sqref="H12"/>
    </sheetView>
  </sheetViews>
  <sheetFormatPr defaultColWidth="11.421875" defaultRowHeight="12.75" outlineLevelRow="1"/>
  <cols>
    <col min="1" max="1" width="47.8515625" style="182" customWidth="1"/>
    <col min="2" max="2" width="21.00390625" style="183" hidden="1" customWidth="1"/>
    <col min="3" max="3" width="25.140625" style="183" hidden="1" customWidth="1"/>
    <col min="4" max="4" width="25.7109375" style="182" hidden="1" customWidth="1"/>
    <col min="5" max="5" width="17.140625" style="182" hidden="1" customWidth="1"/>
    <col min="6" max="6" width="24.140625" style="182" customWidth="1"/>
    <col min="7" max="7" width="22.00390625" style="182" customWidth="1"/>
    <col min="8" max="8" width="20.140625" style="182" customWidth="1"/>
    <col min="9" max="9" width="16.00390625" style="182" customWidth="1"/>
    <col min="10" max="10" width="12.00390625" style="182" bestFit="1" customWidth="1"/>
    <col min="11" max="11" width="14.7109375" style="182" bestFit="1" customWidth="1"/>
    <col min="12" max="12" width="12.00390625" style="182" bestFit="1" customWidth="1"/>
    <col min="13" max="16384" width="11.421875" style="182" customWidth="1"/>
  </cols>
  <sheetData>
    <row r="1" spans="1:9" ht="15.75" customHeight="1">
      <c r="A1" s="745" t="s">
        <v>65</v>
      </c>
      <c r="B1" s="745"/>
      <c r="C1" s="745"/>
      <c r="D1" s="745"/>
      <c r="E1" s="745"/>
      <c r="F1" s="745"/>
      <c r="G1" s="745"/>
      <c r="H1" s="745"/>
      <c r="I1" s="745"/>
    </row>
    <row r="2" spans="1:9" ht="15.75" customHeight="1">
      <c r="A2" s="745"/>
      <c r="B2" s="745"/>
      <c r="C2" s="745"/>
      <c r="D2" s="745"/>
      <c r="E2" s="745"/>
      <c r="F2" s="745"/>
      <c r="G2" s="745"/>
      <c r="H2" s="745"/>
      <c r="I2" s="745"/>
    </row>
    <row r="3" spans="1:9" ht="15">
      <c r="A3" s="745" t="s">
        <v>61</v>
      </c>
      <c r="B3" s="745"/>
      <c r="C3" s="745"/>
      <c r="D3" s="745"/>
      <c r="E3" s="745"/>
      <c r="F3" s="745"/>
      <c r="G3" s="745"/>
      <c r="H3" s="745"/>
      <c r="I3" s="745"/>
    </row>
    <row r="4" spans="1:9" ht="15">
      <c r="A4" s="745" t="s">
        <v>551</v>
      </c>
      <c r="B4" s="745"/>
      <c r="C4" s="745"/>
      <c r="D4" s="745"/>
      <c r="E4" s="745"/>
      <c r="F4" s="745"/>
      <c r="G4" s="745"/>
      <c r="H4" s="745"/>
      <c r="I4" s="745"/>
    </row>
    <row r="5" spans="1:9" ht="15">
      <c r="A5" s="745" t="s">
        <v>540</v>
      </c>
      <c r="B5" s="745"/>
      <c r="C5" s="745"/>
      <c r="D5" s="745"/>
      <c r="E5" s="745"/>
      <c r="F5" s="745"/>
      <c r="G5" s="745"/>
      <c r="H5" s="745"/>
      <c r="I5" s="745"/>
    </row>
    <row r="6" spans="1:9" ht="15.75" customHeight="1">
      <c r="A6" s="749" t="s">
        <v>22</v>
      </c>
      <c r="B6" s="749"/>
      <c r="C6" s="749"/>
      <c r="D6" s="749"/>
      <c r="E6" s="749"/>
      <c r="F6" s="749"/>
      <c r="G6" s="749"/>
      <c r="H6" s="749"/>
      <c r="I6" s="749"/>
    </row>
    <row r="7" spans="1:9" ht="15.75" customHeight="1">
      <c r="A7" s="749"/>
      <c r="B7" s="749"/>
      <c r="C7" s="749"/>
      <c r="D7" s="749"/>
      <c r="E7" s="749"/>
      <c r="F7" s="749"/>
      <c r="G7" s="749"/>
      <c r="H7" s="749"/>
      <c r="I7" s="749"/>
    </row>
    <row r="8" spans="1:9" ht="16.5" customHeight="1" thickBot="1">
      <c r="A8" s="750"/>
      <c r="B8" s="750"/>
      <c r="C8" s="750"/>
      <c r="D8" s="750"/>
      <c r="E8" s="750"/>
      <c r="F8" s="750"/>
      <c r="G8" s="750"/>
      <c r="H8" s="750"/>
      <c r="I8" s="750"/>
    </row>
    <row r="9" spans="1:9" ht="15">
      <c r="A9" s="746" t="s">
        <v>39</v>
      </c>
      <c r="B9" s="574" t="s">
        <v>222</v>
      </c>
      <c r="C9" s="575" t="s">
        <v>222</v>
      </c>
      <c r="D9" s="576" t="s">
        <v>222</v>
      </c>
      <c r="E9" s="577"/>
      <c r="F9" s="576" t="s">
        <v>222</v>
      </c>
      <c r="G9" s="576" t="s">
        <v>222</v>
      </c>
      <c r="H9" s="576" t="s">
        <v>553</v>
      </c>
      <c r="I9" s="576" t="s">
        <v>228</v>
      </c>
    </row>
    <row r="10" spans="1:9" ht="16.5">
      <c r="A10" s="747"/>
      <c r="B10" s="578" t="s">
        <v>229</v>
      </c>
      <c r="C10" s="579" t="s">
        <v>293</v>
      </c>
      <c r="D10" s="580"/>
      <c r="E10" s="581" t="s">
        <v>443</v>
      </c>
      <c r="F10" s="580" t="s">
        <v>538</v>
      </c>
      <c r="G10" s="580" t="s">
        <v>221</v>
      </c>
      <c r="H10" s="649" t="s">
        <v>558</v>
      </c>
      <c r="I10" s="580" t="s">
        <v>552</v>
      </c>
    </row>
    <row r="11" spans="1:9" ht="15.75" thickBot="1">
      <c r="A11" s="748"/>
      <c r="B11" s="582" t="s">
        <v>344</v>
      </c>
      <c r="C11" s="583" t="s">
        <v>344</v>
      </c>
      <c r="D11" s="584" t="s">
        <v>426</v>
      </c>
      <c r="E11" s="585"/>
      <c r="F11" s="584" t="s">
        <v>541</v>
      </c>
      <c r="G11" s="584" t="s">
        <v>541</v>
      </c>
      <c r="H11" s="584"/>
      <c r="I11" s="584"/>
    </row>
    <row r="12" spans="1:9" ht="15">
      <c r="A12" s="586" t="s">
        <v>230</v>
      </c>
      <c r="B12" s="587">
        <v>11843003483.17</v>
      </c>
      <c r="C12" s="575">
        <v>10736573233.17</v>
      </c>
      <c r="D12" s="588">
        <f>+D14+D18+D22</f>
        <v>9247430285.591364</v>
      </c>
      <c r="E12" s="589">
        <v>-0.2119894760032773</v>
      </c>
      <c r="F12" s="588">
        <f>+F14+F18+F22</f>
        <v>2294259172.666667</v>
      </c>
      <c r="G12" s="588">
        <v>1680575345.04</v>
      </c>
      <c r="H12" s="588">
        <f>+F12-G12</f>
        <v>613683827.626667</v>
      </c>
      <c r="I12" s="673">
        <f>+G12/F12</f>
        <v>0.7325132945144253</v>
      </c>
    </row>
    <row r="13" spans="1:9" ht="13.5" customHeight="1">
      <c r="A13" s="590"/>
      <c r="B13" s="591"/>
      <c r="C13" s="592"/>
      <c r="D13" s="593">
        <v>0</v>
      </c>
      <c r="E13" s="589"/>
      <c r="F13" s="594"/>
      <c r="G13" s="594"/>
      <c r="H13" s="594">
        <f aca="true" t="shared" si="0" ref="H13:H40">+F13-G13</f>
        <v>0</v>
      </c>
      <c r="I13" s="594"/>
    </row>
    <row r="14" spans="1:10" ht="15">
      <c r="A14" s="595" t="s">
        <v>387</v>
      </c>
      <c r="B14" s="596">
        <v>7878843120</v>
      </c>
      <c r="C14" s="597">
        <v>6657101808</v>
      </c>
      <c r="D14" s="598">
        <f>+D15+CUOTAPPC2005</f>
        <v>7519745378.5901165</v>
      </c>
      <c r="E14" s="589">
        <v>0.13879683202198542</v>
      </c>
      <c r="F14" s="598">
        <f>+F15+F16</f>
        <v>1742592506</v>
      </c>
      <c r="G14" s="598">
        <v>1625064316</v>
      </c>
      <c r="H14" s="598">
        <f t="shared" si="0"/>
        <v>117528190</v>
      </c>
      <c r="I14" s="674">
        <f>+G14/F14</f>
        <v>0.9325555518026541</v>
      </c>
      <c r="J14" s="379"/>
    </row>
    <row r="15" spans="1:12" ht="15">
      <c r="A15" s="590" t="s">
        <v>231</v>
      </c>
      <c r="B15" s="591">
        <v>5909132340</v>
      </c>
      <c r="C15" s="599">
        <v>4992826356</v>
      </c>
      <c r="D15" s="593">
        <v>5639809033.942587</v>
      </c>
      <c r="E15" s="600">
        <v>0.13879683202198542</v>
      </c>
      <c r="F15" s="594">
        <v>1306944379.5</v>
      </c>
      <c r="G15" s="621">
        <v>1218808176</v>
      </c>
      <c r="H15" s="594">
        <f t="shared" si="0"/>
        <v>88136203.5</v>
      </c>
      <c r="I15" s="664">
        <f>+G15/F15</f>
        <v>0.9325631565639247</v>
      </c>
      <c r="K15" s="379"/>
      <c r="L15" s="379"/>
    </row>
    <row r="16" spans="1:12" ht="15">
      <c r="A16" s="590" t="s">
        <v>232</v>
      </c>
      <c r="B16" s="591">
        <v>1969710780</v>
      </c>
      <c r="C16" s="599">
        <v>1664275452</v>
      </c>
      <c r="D16" s="593">
        <v>1879936344.6475291</v>
      </c>
      <c r="E16" s="600">
        <v>0.13879683202198542</v>
      </c>
      <c r="F16" s="594">
        <v>435648126.5</v>
      </c>
      <c r="G16" s="621">
        <v>406256140</v>
      </c>
      <c r="H16" s="594">
        <f t="shared" si="0"/>
        <v>29391986.5</v>
      </c>
      <c r="I16" s="664">
        <f>+G16/F16</f>
        <v>0.9325327375188425</v>
      </c>
      <c r="L16" s="379"/>
    </row>
    <row r="17" spans="1:12" ht="15">
      <c r="A17" s="590"/>
      <c r="B17" s="591"/>
      <c r="C17" s="592"/>
      <c r="D17" s="593">
        <v>0</v>
      </c>
      <c r="E17" s="600"/>
      <c r="F17" s="594"/>
      <c r="G17" s="594"/>
      <c r="H17" s="594"/>
      <c r="I17" s="594"/>
      <c r="L17" s="379"/>
    </row>
    <row r="18" spans="1:9" ht="15">
      <c r="A18" s="601" t="s">
        <v>157</v>
      </c>
      <c r="B18" s="602">
        <v>139650000</v>
      </c>
      <c r="C18" s="603">
        <v>252310449</v>
      </c>
      <c r="D18" s="604">
        <f>+D19+D20</f>
        <v>86666666.66666666</v>
      </c>
      <c r="E18" s="589">
        <v>-0.6565078180069084</v>
      </c>
      <c r="F18" s="604">
        <f>+F19+F20</f>
        <v>21666666.666666664</v>
      </c>
      <c r="G18" s="604">
        <v>32011029.04</v>
      </c>
      <c r="H18" s="604">
        <f t="shared" si="0"/>
        <v>-10344362.373333335</v>
      </c>
      <c r="I18" s="665">
        <f aca="true" t="shared" si="1" ref="I18:I40">+G18/F18</f>
        <v>1.4774321095384617</v>
      </c>
    </row>
    <row r="19" spans="1:9" ht="15">
      <c r="A19" s="590" t="s">
        <v>231</v>
      </c>
      <c r="B19" s="591">
        <v>105000000</v>
      </c>
      <c r="C19" s="592">
        <v>184188043</v>
      </c>
      <c r="D19" s="593">
        <v>65000000</v>
      </c>
      <c r="E19" s="600">
        <v>-0.6470997848649709</v>
      </c>
      <c r="F19" s="594">
        <v>16250000</v>
      </c>
      <c r="G19" s="594">
        <v>22474738.75</v>
      </c>
      <c r="H19" s="594">
        <f t="shared" si="0"/>
        <v>-6224738.75</v>
      </c>
      <c r="I19" s="663">
        <f t="shared" si="1"/>
        <v>1.383060846153846</v>
      </c>
    </row>
    <row r="20" spans="1:9" ht="15">
      <c r="A20" s="590" t="s">
        <v>232</v>
      </c>
      <c r="B20" s="591">
        <v>34650000</v>
      </c>
      <c r="C20" s="592">
        <v>68122406</v>
      </c>
      <c r="D20" s="593">
        <v>21666666.666666664</v>
      </c>
      <c r="E20" s="600">
        <v>-0.6819450759465738</v>
      </c>
      <c r="F20" s="594">
        <v>5416666.666666666</v>
      </c>
      <c r="G20" s="594">
        <v>9536290.29</v>
      </c>
      <c r="H20" s="594">
        <f t="shared" si="0"/>
        <v>-4119623.623333333</v>
      </c>
      <c r="I20" s="663">
        <f t="shared" si="1"/>
        <v>1.7605458996923078</v>
      </c>
    </row>
    <row r="21" spans="1:10" ht="15">
      <c r="A21" s="590"/>
      <c r="B21" s="591"/>
      <c r="C21" s="592"/>
      <c r="D21" s="593">
        <v>0</v>
      </c>
      <c r="E21" s="600"/>
      <c r="F21" s="594"/>
      <c r="G21" s="594"/>
      <c r="H21" s="594"/>
      <c r="I21" s="663"/>
      <c r="J21" s="379"/>
    </row>
    <row r="22" spans="1:9" ht="15">
      <c r="A22" s="601" t="s">
        <v>19</v>
      </c>
      <c r="B22" s="602">
        <v>3824510363.17</v>
      </c>
      <c r="C22" s="603">
        <v>3827160976.17</v>
      </c>
      <c r="D22" s="604">
        <f>+D23+D24</f>
        <v>1641018240.3345804</v>
      </c>
      <c r="E22" s="589">
        <v>-0.792854393042033</v>
      </c>
      <c r="F22" s="619">
        <f>+F23+F24</f>
        <v>530000000</v>
      </c>
      <c r="G22" s="619">
        <v>23500000</v>
      </c>
      <c r="H22" s="619">
        <f t="shared" si="0"/>
        <v>506500000</v>
      </c>
      <c r="I22" s="666">
        <f t="shared" si="1"/>
        <v>0.04433962264150943</v>
      </c>
    </row>
    <row r="23" spans="1:9" ht="15">
      <c r="A23" s="590" t="s">
        <v>231</v>
      </c>
      <c r="B23" s="605">
        <v>1528530908.3900003</v>
      </c>
      <c r="C23" s="592">
        <v>1529959327.3900003</v>
      </c>
      <c r="D23" s="606">
        <v>878171122.1263447</v>
      </c>
      <c r="E23" s="600">
        <v>-0.5768856795489636</v>
      </c>
      <c r="F23" s="620">
        <v>380000000</v>
      </c>
      <c r="G23" s="620">
        <v>23500000</v>
      </c>
      <c r="H23" s="620">
        <f t="shared" si="0"/>
        <v>356500000</v>
      </c>
      <c r="I23" s="667">
        <f t="shared" si="1"/>
        <v>0.06184210526315789</v>
      </c>
    </row>
    <row r="24" spans="1:9" ht="15">
      <c r="A24" s="590" t="s">
        <v>232</v>
      </c>
      <c r="B24" s="591">
        <v>2295979454.7799997</v>
      </c>
      <c r="C24" s="592">
        <v>2297201648.7799997</v>
      </c>
      <c r="D24" s="593">
        <v>762847118.2082357</v>
      </c>
      <c r="E24" s="600">
        <v>-0.936691721301231</v>
      </c>
      <c r="F24" s="621">
        <v>150000000</v>
      </c>
      <c r="G24" s="621">
        <v>0</v>
      </c>
      <c r="H24" s="621">
        <f t="shared" si="0"/>
        <v>150000000</v>
      </c>
      <c r="I24" s="667">
        <f t="shared" si="1"/>
        <v>0</v>
      </c>
    </row>
    <row r="25" spans="1:9" ht="15">
      <c r="A25" s="590"/>
      <c r="B25" s="591"/>
      <c r="C25" s="592"/>
      <c r="D25" s="593">
        <v>0</v>
      </c>
      <c r="E25" s="600"/>
      <c r="F25" s="594"/>
      <c r="G25" s="594"/>
      <c r="H25" s="594"/>
      <c r="I25" s="663"/>
    </row>
    <row r="26" spans="1:9" ht="15">
      <c r="A26" s="601" t="s">
        <v>233</v>
      </c>
      <c r="B26" s="602">
        <v>6031353835.9</v>
      </c>
      <c r="C26" s="603">
        <v>6009353835.9</v>
      </c>
      <c r="D26" s="604">
        <f>+D28+D32</f>
        <v>6788887241.162424</v>
      </c>
      <c r="E26" s="589">
        <v>0.1672739606806458</v>
      </c>
      <c r="F26" s="604">
        <f>+F28+F32</f>
        <v>1722960224.7813406</v>
      </c>
      <c r="G26" s="604">
        <v>1409920666.6999998</v>
      </c>
      <c r="H26" s="604">
        <f t="shared" si="0"/>
        <v>313039558.0813408</v>
      </c>
      <c r="I26" s="665">
        <f t="shared" si="1"/>
        <v>0.8183129514083424</v>
      </c>
    </row>
    <row r="27" spans="1:9" ht="15">
      <c r="A27" s="590"/>
      <c r="B27" s="591"/>
      <c r="C27" s="592"/>
      <c r="D27" s="593">
        <v>0</v>
      </c>
      <c r="E27" s="589"/>
      <c r="F27" s="594"/>
      <c r="G27" s="594"/>
      <c r="H27" s="594"/>
      <c r="I27" s="663"/>
    </row>
    <row r="28" spans="1:9" ht="15">
      <c r="A28" s="601" t="s">
        <v>234</v>
      </c>
      <c r="B28" s="602">
        <v>195312463</v>
      </c>
      <c r="C28" s="603">
        <v>158312463</v>
      </c>
      <c r="D28" s="604">
        <f>+D29+D30</f>
        <v>33000000</v>
      </c>
      <c r="E28" s="589">
        <v>-0.7915514712192937</v>
      </c>
      <c r="F28" s="604">
        <f>+F29+F30</f>
        <v>8250000</v>
      </c>
      <c r="G28" s="604">
        <v>16636615.100000001</v>
      </c>
      <c r="H28" s="604">
        <f t="shared" si="0"/>
        <v>-8386615.1000000015</v>
      </c>
      <c r="I28" s="665">
        <f t="shared" si="1"/>
        <v>2.0165594060606065</v>
      </c>
    </row>
    <row r="29" spans="1:9" ht="15">
      <c r="A29" s="590" t="s">
        <v>180</v>
      </c>
      <c r="B29" s="591">
        <v>108204258</v>
      </c>
      <c r="C29" s="592">
        <v>108204258</v>
      </c>
      <c r="D29" s="593">
        <v>33000000</v>
      </c>
      <c r="E29" s="600">
        <v>-0.6950212439883835</v>
      </c>
      <c r="F29" s="594">
        <v>8250000</v>
      </c>
      <c r="G29" s="594">
        <v>15714433.63</v>
      </c>
      <c r="H29" s="594">
        <f t="shared" si="0"/>
        <v>-7464433.630000001</v>
      </c>
      <c r="I29" s="663">
        <f t="shared" si="1"/>
        <v>1.904779833939394</v>
      </c>
    </row>
    <row r="30" spans="1:9" ht="15">
      <c r="A30" s="590" t="s">
        <v>181</v>
      </c>
      <c r="B30" s="591">
        <v>87108205</v>
      </c>
      <c r="C30" s="592">
        <v>50108205</v>
      </c>
      <c r="D30" s="593">
        <v>0</v>
      </c>
      <c r="E30" s="600">
        <v>-1</v>
      </c>
      <c r="F30" s="594"/>
      <c r="G30" s="594">
        <v>922181.47</v>
      </c>
      <c r="H30" s="594">
        <f t="shared" si="0"/>
        <v>-922181.47</v>
      </c>
      <c r="I30" s="663"/>
    </row>
    <row r="31" spans="1:9" ht="15">
      <c r="A31" s="590"/>
      <c r="B31" s="591"/>
      <c r="C31" s="592"/>
      <c r="D31" s="593"/>
      <c r="E31" s="600"/>
      <c r="F31" s="594"/>
      <c r="G31" s="594"/>
      <c r="H31" s="594"/>
      <c r="I31" s="663"/>
    </row>
    <row r="32" spans="1:9" ht="15">
      <c r="A32" s="601" t="s">
        <v>235</v>
      </c>
      <c r="B32" s="602">
        <v>5836041372.9</v>
      </c>
      <c r="C32" s="603">
        <v>5851041372.9</v>
      </c>
      <c r="D32" s="604">
        <f>+VTAS2005+D34+D35+D36+D37+D38</f>
        <v>6755887241.162424</v>
      </c>
      <c r="E32" s="589">
        <v>0.19321703748303784</v>
      </c>
      <c r="F32" s="604">
        <f>SUM(F33:F38)</f>
        <v>1714710224.7813406</v>
      </c>
      <c r="G32" s="604">
        <v>1393284051.6</v>
      </c>
      <c r="H32" s="604">
        <f t="shared" si="0"/>
        <v>321426173.1813407</v>
      </c>
      <c r="I32" s="665">
        <f t="shared" si="1"/>
        <v>0.8125478179717923</v>
      </c>
    </row>
    <row r="33" spans="1:11" ht="15">
      <c r="A33" s="590" t="s">
        <v>236</v>
      </c>
      <c r="B33" s="591">
        <v>3397071025</v>
      </c>
      <c r="C33" s="592">
        <v>3397071025</v>
      </c>
      <c r="D33" s="593">
        <v>3946232500</v>
      </c>
      <c r="E33" s="600">
        <v>0.16165734273983864</v>
      </c>
      <c r="F33" s="594">
        <v>1067538800</v>
      </c>
      <c r="G33" s="728">
        <v>817864893</v>
      </c>
      <c r="H33" s="593">
        <f t="shared" si="0"/>
        <v>249673907</v>
      </c>
      <c r="I33" s="664">
        <f t="shared" si="1"/>
        <v>0.7661219367389738</v>
      </c>
      <c r="K33" s="379"/>
    </row>
    <row r="34" spans="1:9" ht="15">
      <c r="A34" s="607" t="s">
        <v>183</v>
      </c>
      <c r="B34" s="608">
        <v>30033014.55</v>
      </c>
      <c r="C34" s="609">
        <v>20033014.55</v>
      </c>
      <c r="D34" s="610">
        <v>3852000</v>
      </c>
      <c r="E34" s="600">
        <v>-0.8077174061654141</v>
      </c>
      <c r="F34" s="611">
        <v>963000</v>
      </c>
      <c r="G34" s="610">
        <v>9726049</v>
      </c>
      <c r="H34" s="610">
        <f t="shared" si="0"/>
        <v>-8763049</v>
      </c>
      <c r="I34" s="670">
        <f t="shared" si="1"/>
        <v>10.099739356178608</v>
      </c>
    </row>
    <row r="35" spans="1:9" ht="15">
      <c r="A35" s="607" t="s">
        <v>184</v>
      </c>
      <c r="B35" s="608">
        <v>21853027.35</v>
      </c>
      <c r="C35" s="609">
        <v>21853027.35</v>
      </c>
      <c r="D35" s="610">
        <v>2400000</v>
      </c>
      <c r="E35" s="600">
        <v>-0.8901753994281255</v>
      </c>
      <c r="F35" s="611">
        <v>600000</v>
      </c>
      <c r="G35" s="611">
        <v>60179576.2</v>
      </c>
      <c r="H35" s="611">
        <f t="shared" si="0"/>
        <v>-59579576.2</v>
      </c>
      <c r="I35" s="670">
        <f t="shared" si="1"/>
        <v>100.29929366666667</v>
      </c>
    </row>
    <row r="36" spans="1:9" ht="15">
      <c r="A36" s="607" t="s">
        <v>182</v>
      </c>
      <c r="B36" s="608">
        <v>286424306</v>
      </c>
      <c r="C36" s="609">
        <v>311424306</v>
      </c>
      <c r="D36" s="610">
        <v>149087650</v>
      </c>
      <c r="E36" s="600">
        <v>-0.521271631251544</v>
      </c>
      <c r="F36" s="610">
        <f>1750000+6658400+38400000+11766826</f>
        <v>58575226</v>
      </c>
      <c r="G36" s="610">
        <v>16819937.65</v>
      </c>
      <c r="H36" s="610">
        <f t="shared" si="0"/>
        <v>41755288.35</v>
      </c>
      <c r="I36" s="671">
        <f t="shared" si="1"/>
        <v>0.287151050001924</v>
      </c>
    </row>
    <row r="37" spans="1:9" ht="15">
      <c r="A37" s="607" t="s">
        <v>345</v>
      </c>
      <c r="B37" s="608">
        <v>1900660000</v>
      </c>
      <c r="C37" s="609">
        <v>1900660000</v>
      </c>
      <c r="D37" s="610">
        <v>1794315091.1624238</v>
      </c>
      <c r="E37" s="600">
        <v>0.06278350844571036</v>
      </c>
      <c r="F37" s="611">
        <v>243033198.78134048</v>
      </c>
      <c r="G37" s="729">
        <v>144693595.75</v>
      </c>
      <c r="H37" s="611">
        <f t="shared" si="0"/>
        <v>98339603.03134048</v>
      </c>
      <c r="I37" s="670">
        <f t="shared" si="1"/>
        <v>0.5953655569508524</v>
      </c>
    </row>
    <row r="38" spans="1:9" ht="15">
      <c r="A38" s="607" t="s">
        <v>390</v>
      </c>
      <c r="B38" s="608">
        <v>200000000</v>
      </c>
      <c r="C38" s="609">
        <v>200000000</v>
      </c>
      <c r="D38" s="610">
        <v>860000000</v>
      </c>
      <c r="E38" s="600">
        <v>3.3</v>
      </c>
      <c r="F38" s="611">
        <v>344000000</v>
      </c>
      <c r="G38" s="611">
        <v>344000000</v>
      </c>
      <c r="H38" s="611">
        <f t="shared" si="0"/>
        <v>0</v>
      </c>
      <c r="I38" s="670">
        <f t="shared" si="1"/>
        <v>1</v>
      </c>
    </row>
    <row r="39" spans="1:9" ht="15.75" thickBot="1">
      <c r="A39" s="607"/>
      <c r="B39" s="608"/>
      <c r="C39" s="609"/>
      <c r="D39" s="610">
        <v>0</v>
      </c>
      <c r="E39" s="600"/>
      <c r="F39" s="611"/>
      <c r="G39" s="611"/>
      <c r="H39" s="611"/>
      <c r="I39" s="668"/>
    </row>
    <row r="40" spans="1:9" ht="17.25" thickBot="1">
      <c r="A40" s="612" t="s">
        <v>237</v>
      </c>
      <c r="B40" s="613">
        <v>17874357319.07</v>
      </c>
      <c r="C40" s="614">
        <v>16745927069.07</v>
      </c>
      <c r="D40" s="615">
        <f>+D26+D12</f>
        <v>16036317526.753788</v>
      </c>
      <c r="E40" s="616">
        <v>-0.07588902729997818</v>
      </c>
      <c r="F40" s="615">
        <f>+F26+F12</f>
        <v>4017219397.4480076</v>
      </c>
      <c r="G40" s="615">
        <f>+G26+G12</f>
        <v>3090496011.74</v>
      </c>
      <c r="H40" s="615">
        <f t="shared" si="0"/>
        <v>926723385.7080078</v>
      </c>
      <c r="I40" s="669">
        <f t="shared" si="1"/>
        <v>0.769312229673908</v>
      </c>
    </row>
    <row r="41" spans="1:4" ht="15.75" hidden="1" outlineLevel="1">
      <c r="A41" s="387"/>
      <c r="B41" s="388"/>
      <c r="C41" s="388"/>
      <c r="D41" s="389"/>
    </row>
    <row r="42" spans="1:4" ht="15.75" hidden="1" outlineLevel="1">
      <c r="A42" s="390" t="s">
        <v>516</v>
      </c>
      <c r="B42" s="388"/>
      <c r="C42" s="388"/>
      <c r="D42" s="391"/>
    </row>
    <row r="43" spans="1:8" ht="16.5" hidden="1" outlineLevel="1">
      <c r="A43" s="390"/>
      <c r="B43" s="388"/>
      <c r="C43" s="388"/>
      <c r="D43" s="391"/>
      <c r="E43" s="548" t="s">
        <v>461</v>
      </c>
      <c r="F43" s="549">
        <f>+D15+D19+D23+D29+D34+D36+D37</f>
        <v>8563234897.231356</v>
      </c>
      <c r="G43" s="549">
        <f>+F43-(GASTOS!H37-GASTOS!D37)</f>
        <v>8048554246.231356</v>
      </c>
      <c r="H43" s="549"/>
    </row>
    <row r="44" spans="1:8" ht="16.5" hidden="1" outlineLevel="1">
      <c r="A44" s="387"/>
      <c r="B44" s="388"/>
      <c r="C44" s="388"/>
      <c r="D44" s="391"/>
      <c r="E44" s="548" t="s">
        <v>462</v>
      </c>
      <c r="F44" s="549">
        <f>+CUOTAPPC2005+D20+D24+D30+VTAS2005+D35+D38</f>
        <v>7473082629.522431</v>
      </c>
      <c r="G44" s="549"/>
      <c r="H44" s="549"/>
    </row>
    <row r="45" spans="1:12" ht="15.75" hidden="1" outlineLevel="1">
      <c r="A45" s="387" t="s">
        <v>427</v>
      </c>
      <c r="B45" s="388"/>
      <c r="C45" s="388">
        <f>2274657*(1-4.1%)</f>
        <v>2181396.063</v>
      </c>
      <c r="D45" s="391"/>
      <c r="J45" s="388"/>
      <c r="K45" s="388"/>
      <c r="L45" s="388"/>
    </row>
    <row r="46" spans="1:4" ht="15.75" hidden="1" outlineLevel="1">
      <c r="A46" s="387" t="s">
        <v>294</v>
      </c>
      <c r="B46" s="388"/>
      <c r="C46" s="392">
        <v>0.049</v>
      </c>
      <c r="D46" s="391"/>
    </row>
    <row r="47" spans="1:9" ht="16.5" hidden="1" outlineLevel="1">
      <c r="A47" s="393" t="s">
        <v>428</v>
      </c>
      <c r="B47" s="387"/>
      <c r="C47" s="388">
        <f>+C45*(1+C46)</f>
        <v>2288284.470087</v>
      </c>
      <c r="D47" s="391"/>
      <c r="F47" s="484"/>
      <c r="G47" s="486"/>
      <c r="H47" s="486"/>
      <c r="I47" s="485"/>
    </row>
    <row r="48" spans="1:9" ht="16.5" hidden="1" outlineLevel="1">
      <c r="A48" s="387"/>
      <c r="B48" s="387"/>
      <c r="C48" s="387"/>
      <c r="D48" s="394"/>
      <c r="F48" s="487"/>
      <c r="G48" s="378"/>
      <c r="H48" s="378"/>
      <c r="I48" s="378"/>
    </row>
    <row r="49" spans="1:4" ht="15.75" hidden="1" outlineLevel="1">
      <c r="A49" s="393" t="s">
        <v>429</v>
      </c>
      <c r="B49" s="387"/>
      <c r="C49" s="397">
        <v>461500</v>
      </c>
      <c r="D49" s="395"/>
    </row>
    <row r="50" spans="1:4" ht="15.75" hidden="1" outlineLevel="1">
      <c r="A50" s="387" t="s">
        <v>294</v>
      </c>
      <c r="B50" s="387"/>
      <c r="C50" s="557">
        <v>0.0767</v>
      </c>
      <c r="D50" s="396"/>
    </row>
    <row r="51" spans="1:6" ht="15.75" hidden="1" outlineLevel="1">
      <c r="A51" s="387" t="s">
        <v>253</v>
      </c>
      <c r="B51" s="388"/>
      <c r="C51" s="397">
        <f>+C49*(1+C50)+2.95</f>
        <v>496900</v>
      </c>
      <c r="D51" s="402"/>
      <c r="E51" s="402"/>
      <c r="F51" s="467"/>
    </row>
    <row r="52" spans="1:8" ht="15.75" hidden="1" outlineLevel="1">
      <c r="A52" s="393" t="s">
        <v>432</v>
      </c>
      <c r="B52" s="388"/>
      <c r="C52" s="397">
        <f>ROUND(C51/30,0)</f>
        <v>16563</v>
      </c>
      <c r="D52" s="402"/>
      <c r="E52" s="402"/>
      <c r="F52" s="402"/>
      <c r="G52" s="517"/>
      <c r="H52" s="517"/>
    </row>
    <row r="53" spans="1:4" ht="15.75" hidden="1" outlineLevel="1">
      <c r="A53" s="387"/>
      <c r="B53" s="388"/>
      <c r="C53" s="388"/>
      <c r="D53" s="387"/>
    </row>
    <row r="54" spans="1:4" ht="15.75" hidden="1" outlineLevel="1">
      <c r="A54" s="393" t="s">
        <v>430</v>
      </c>
      <c r="B54" s="388"/>
      <c r="C54" s="397">
        <f>+C56/4*3</f>
        <v>2484.75</v>
      </c>
      <c r="D54" s="392"/>
    </row>
    <row r="55" spans="1:5" ht="15.75" hidden="1" outlineLevel="1">
      <c r="A55" s="387" t="s">
        <v>431</v>
      </c>
      <c r="B55" s="388"/>
      <c r="C55" s="397">
        <f>+C56/4</f>
        <v>828.25</v>
      </c>
      <c r="D55" s="482"/>
      <c r="E55" s="483"/>
    </row>
    <row r="56" spans="1:5" ht="15.75" hidden="1" outlineLevel="1">
      <c r="A56" s="387" t="s">
        <v>254</v>
      </c>
      <c r="B56" s="388"/>
      <c r="C56" s="397">
        <f>+ROUND(C52*20%,0)</f>
        <v>3313</v>
      </c>
      <c r="D56" s="388"/>
      <c r="E56" s="483"/>
    </row>
    <row r="57" spans="1:9" ht="15.75" hidden="1" outlineLevel="1">
      <c r="A57" s="387"/>
      <c r="B57" s="388"/>
      <c r="C57" s="397"/>
      <c r="D57" s="398"/>
      <c r="E57" s="382"/>
      <c r="F57" s="382"/>
      <c r="G57" s="382"/>
      <c r="H57" s="382"/>
      <c r="I57" s="382"/>
    </row>
    <row r="58" spans="1:9" ht="15.75" hidden="1" outlineLevel="1">
      <c r="A58" s="491" t="s">
        <v>230</v>
      </c>
      <c r="B58" s="493"/>
      <c r="C58" s="494" t="e">
        <f>+C63+C64+C67+C68+C71+C72</f>
        <v>#REF!</v>
      </c>
      <c r="D58" s="524"/>
      <c r="E58" s="382"/>
      <c r="F58" s="382"/>
      <c r="G58" s="382"/>
      <c r="H58" s="382"/>
      <c r="I58" s="382"/>
    </row>
    <row r="59" spans="1:9" ht="15.75" hidden="1" outlineLevel="1">
      <c r="A59" s="387" t="s">
        <v>312</v>
      </c>
      <c r="B59" s="387"/>
      <c r="C59" s="397" t="e">
        <f>+#REF!</f>
        <v>#REF!</v>
      </c>
      <c r="D59" s="400" t="s">
        <v>323</v>
      </c>
      <c r="E59" s="382"/>
      <c r="F59" s="382"/>
      <c r="G59" s="382"/>
      <c r="H59" s="382"/>
      <c r="I59" s="382"/>
    </row>
    <row r="60" spans="1:9" ht="15.75" hidden="1" outlineLevel="1">
      <c r="A60" s="387" t="s">
        <v>313</v>
      </c>
      <c r="B60" s="387"/>
      <c r="C60" s="397" t="e">
        <f>+#REF!</f>
        <v>#REF!</v>
      </c>
      <c r="D60" s="400" t="s">
        <v>323</v>
      </c>
      <c r="E60" s="382"/>
      <c r="F60" s="382"/>
      <c r="G60" s="382" t="s">
        <v>386</v>
      </c>
      <c r="H60" s="382"/>
      <c r="I60" s="382"/>
    </row>
    <row r="61" spans="1:9" ht="15.75" hidden="1" outlineLevel="1">
      <c r="A61" s="387" t="s">
        <v>391</v>
      </c>
      <c r="B61" s="387"/>
      <c r="C61" s="397" t="e">
        <f>+#REF!</f>
        <v>#REF!</v>
      </c>
      <c r="D61" s="400" t="s">
        <v>322</v>
      </c>
      <c r="E61" s="518"/>
      <c r="F61" s="382"/>
      <c r="G61" s="382"/>
      <c r="H61" s="382"/>
      <c r="I61" s="382"/>
    </row>
    <row r="62" spans="1:9" ht="15.75" hidden="1" outlineLevel="1">
      <c r="A62" s="387" t="s">
        <v>185</v>
      </c>
      <c r="B62" s="387"/>
      <c r="C62" s="397" t="e">
        <f>+#REF!</f>
        <v>#REF!</v>
      </c>
      <c r="D62" s="400" t="s">
        <v>323</v>
      </c>
      <c r="E62" s="518"/>
      <c r="F62" s="382">
        <f>3000000</f>
        <v>3000000</v>
      </c>
      <c r="G62" s="382"/>
      <c r="H62" s="382"/>
      <c r="I62" s="382"/>
    </row>
    <row r="63" spans="1:9" ht="15.75" hidden="1" outlineLevel="1">
      <c r="A63" s="491" t="s">
        <v>392</v>
      </c>
      <c r="B63" s="387"/>
      <c r="C63" s="407" t="e">
        <f>SUM(C59:C62)</f>
        <v>#REF!</v>
      </c>
      <c r="D63" s="400"/>
      <c r="E63" s="382"/>
      <c r="F63" s="382"/>
      <c r="G63" s="382">
        <f>300</f>
        <v>300</v>
      </c>
      <c r="H63" s="382"/>
      <c r="I63" s="382"/>
    </row>
    <row r="64" spans="1:9" ht="15.75" hidden="1" outlineLevel="1">
      <c r="A64" s="492" t="s">
        <v>213</v>
      </c>
      <c r="B64" s="387"/>
      <c r="C64" s="407">
        <f>+C65+C66</f>
        <v>33000000</v>
      </c>
      <c r="D64" s="399"/>
      <c r="E64" s="382"/>
      <c r="F64" s="382"/>
      <c r="G64" s="382"/>
      <c r="H64" s="382"/>
      <c r="I64" s="382"/>
    </row>
    <row r="65" spans="1:9" ht="15.75" hidden="1" outlineLevel="1">
      <c r="A65" s="387" t="s">
        <v>183</v>
      </c>
      <c r="B65" s="387"/>
      <c r="C65" s="397">
        <f>(300000000*11%)</f>
        <v>33000000</v>
      </c>
      <c r="D65" s="399"/>
      <c r="E65" s="382"/>
      <c r="F65" s="382"/>
      <c r="G65" s="382"/>
      <c r="H65" s="382"/>
      <c r="I65" s="382"/>
    </row>
    <row r="66" spans="1:9" ht="15.75" hidden="1" outlineLevel="1">
      <c r="A66" s="387" t="s">
        <v>184</v>
      </c>
      <c r="B66" s="387"/>
      <c r="C66" s="397">
        <v>0</v>
      </c>
      <c r="D66" s="399"/>
      <c r="E66" s="382"/>
      <c r="F66" s="382"/>
      <c r="G66" s="382"/>
      <c r="H66" s="382"/>
      <c r="I66" s="382"/>
    </row>
    <row r="67" spans="1:9" ht="15.75" hidden="1" outlineLevel="1">
      <c r="A67" s="491" t="s">
        <v>442</v>
      </c>
      <c r="B67" s="387"/>
      <c r="C67" s="407" t="e">
        <f>+#REF!</f>
        <v>#REF!</v>
      </c>
      <c r="D67" s="526"/>
      <c r="E67" s="382"/>
      <c r="F67" s="382"/>
      <c r="G67" s="382"/>
      <c r="H67" s="382"/>
      <c r="I67" s="382"/>
    </row>
    <row r="68" spans="1:9" ht="15.75" hidden="1" outlineLevel="1">
      <c r="A68" s="491" t="s">
        <v>321</v>
      </c>
      <c r="B68" s="387"/>
      <c r="C68" s="407">
        <f>+C69+C70</f>
        <v>6252000</v>
      </c>
      <c r="D68" s="401" t="s">
        <v>324</v>
      </c>
      <c r="E68" s="382"/>
      <c r="F68" s="382"/>
      <c r="G68" s="382"/>
      <c r="H68" s="382"/>
      <c r="I68" s="382"/>
    </row>
    <row r="69" spans="1:9" ht="15.75" hidden="1" outlineLevel="1">
      <c r="A69" s="387" t="s">
        <v>183</v>
      </c>
      <c r="B69" s="387"/>
      <c r="C69" s="397">
        <f>+(300000*12)*1.07</f>
        <v>3852000</v>
      </c>
      <c r="D69" s="401" t="s">
        <v>324</v>
      </c>
      <c r="E69" s="382"/>
      <c r="F69" s="382"/>
      <c r="G69" s="382"/>
      <c r="H69" s="382"/>
      <c r="I69" s="382"/>
    </row>
    <row r="70" spans="1:9" ht="15.75" hidden="1" outlineLevel="1">
      <c r="A70" s="387" t="s">
        <v>184</v>
      </c>
      <c r="B70"/>
      <c r="C70" s="397">
        <f>200000*12</f>
        <v>2400000</v>
      </c>
      <c r="D70" s="383"/>
      <c r="E70" s="382"/>
      <c r="F70" s="382"/>
      <c r="G70" s="382"/>
      <c r="H70" s="382"/>
      <c r="I70" s="382"/>
    </row>
    <row r="71" spans="1:9" ht="15.75" hidden="1" outlineLevel="1">
      <c r="A71" s="491" t="s">
        <v>345</v>
      </c>
      <c r="B71" s="182"/>
      <c r="C71" s="407" t="e">
        <f>+#REF!</f>
        <v>#REF!</v>
      </c>
      <c r="D71" s="382"/>
      <c r="E71" s="382"/>
      <c r="F71" s="382"/>
      <c r="G71" s="382"/>
      <c r="H71" s="382"/>
      <c r="I71" s="382"/>
    </row>
    <row r="72" spans="1:3" ht="15.75" hidden="1" collapsed="1">
      <c r="A72" s="491" t="s">
        <v>390</v>
      </c>
      <c r="B72" s="182"/>
      <c r="C72" s="407" t="e">
        <f>+#REF!</f>
        <v>#REF!</v>
      </c>
    </row>
    <row r="73" spans="1:8" ht="15">
      <c r="A73"/>
      <c r="B73" s="182"/>
      <c r="C73" s="182"/>
      <c r="G73" s="379" t="s">
        <v>561</v>
      </c>
      <c r="H73" s="182" t="s">
        <v>272</v>
      </c>
    </row>
    <row r="74" spans="1:9" ht="15">
      <c r="A74"/>
      <c r="B74" s="182"/>
      <c r="C74" s="182"/>
      <c r="G74" s="379">
        <f>+G37+G36+G34+G29+G23+G19+G15</f>
        <v>1451736930.78</v>
      </c>
      <c r="H74" s="672">
        <f>+GASTOS!L183-'Anexo 1 Minagricultura'!H76</f>
        <v>1416986699</v>
      </c>
      <c r="I74" s="672">
        <f>+G74-H74</f>
        <v>34750231.77999997</v>
      </c>
    </row>
    <row r="75" spans="1:7" ht="15">
      <c r="A75"/>
      <c r="B75" s="182"/>
      <c r="C75" s="182"/>
      <c r="F75" s="182" t="s">
        <v>560</v>
      </c>
      <c r="G75" s="379" t="s">
        <v>462</v>
      </c>
    </row>
    <row r="76" spans="1:9" ht="15">
      <c r="A76"/>
      <c r="B76" s="182"/>
      <c r="C76" s="182"/>
      <c r="G76" s="672">
        <f>+G38+G35+G33+G30+G24+G20+G16</f>
        <v>1638759080.96</v>
      </c>
      <c r="H76" s="672">
        <f>+GASTOS!L148+GASTOS!D37</f>
        <v>1465526871</v>
      </c>
      <c r="I76" s="672">
        <f>+G76-H76</f>
        <v>173232209.96000004</v>
      </c>
    </row>
    <row r="77" spans="1:8" ht="15">
      <c r="A77"/>
      <c r="B77" s="182"/>
      <c r="C77" s="182"/>
      <c r="G77" s="672"/>
      <c r="H77" s="672"/>
    </row>
    <row r="78" spans="1:8" ht="15">
      <c r="A78"/>
      <c r="B78" s="182"/>
      <c r="C78" s="182"/>
      <c r="G78" s="379"/>
      <c r="H78" s="672"/>
    </row>
    <row r="79" spans="1:3" ht="15">
      <c r="A79"/>
      <c r="B79" s="182"/>
      <c r="C79" s="182"/>
    </row>
    <row r="80" spans="1:3" ht="15">
      <c r="A80"/>
      <c r="B80" s="182"/>
      <c r="C80" s="182"/>
    </row>
    <row r="81" spans="1:3" ht="15">
      <c r="A81"/>
      <c r="B81" s="182"/>
      <c r="C81" s="182"/>
    </row>
    <row r="82" spans="1:3" ht="15">
      <c r="A82"/>
      <c r="B82" s="182"/>
      <c r="C82" s="182"/>
    </row>
    <row r="83" spans="1:3" ht="15">
      <c r="A83"/>
      <c r="B83" s="182"/>
      <c r="C83" s="182"/>
    </row>
    <row r="84" spans="1:3" ht="15">
      <c r="A84"/>
      <c r="B84" s="182"/>
      <c r="C84" s="182"/>
    </row>
    <row r="85" spans="1:3" ht="15">
      <c r="A85"/>
      <c r="B85" s="182"/>
      <c r="C85" s="182"/>
    </row>
    <row r="86" spans="1:3" ht="15">
      <c r="A86"/>
      <c r="B86" s="182"/>
      <c r="C86" s="182"/>
    </row>
    <row r="87" spans="1:3" ht="15">
      <c r="A87"/>
      <c r="B87" s="182"/>
      <c r="C87" s="182"/>
    </row>
    <row r="88" spans="1:3" ht="15">
      <c r="A88"/>
      <c r="B88" s="182"/>
      <c r="C88" s="182"/>
    </row>
    <row r="89" spans="1:3" ht="15">
      <c r="A89"/>
      <c r="B89" s="182"/>
      <c r="C89" s="182"/>
    </row>
    <row r="90" spans="1:3" ht="15">
      <c r="A90"/>
      <c r="B90" s="182"/>
      <c r="C90" s="182"/>
    </row>
    <row r="91" spans="1:3" ht="15">
      <c r="A91"/>
      <c r="B91" s="182"/>
      <c r="C91" s="182"/>
    </row>
    <row r="92" spans="1:3" ht="15">
      <c r="A92"/>
      <c r="B92" s="182"/>
      <c r="C92" s="182"/>
    </row>
    <row r="93" spans="1:3" ht="15">
      <c r="A93"/>
      <c r="B93" s="182"/>
      <c r="C93" s="182"/>
    </row>
    <row r="94" spans="1:3" ht="15">
      <c r="A94"/>
      <c r="B94" s="182"/>
      <c r="C94" s="182"/>
    </row>
    <row r="95" spans="1:3" ht="15">
      <c r="A95"/>
      <c r="B95" s="182"/>
      <c r="C95" s="182"/>
    </row>
    <row r="96" spans="1:3" ht="15">
      <c r="A96"/>
      <c r="B96" s="182"/>
      <c r="C96" s="182"/>
    </row>
    <row r="97" spans="1:3" ht="15">
      <c r="A97"/>
      <c r="B97" s="182"/>
      <c r="C97" s="182"/>
    </row>
    <row r="98" spans="1:3" ht="15">
      <c r="A98"/>
      <c r="B98" s="182"/>
      <c r="C98" s="182"/>
    </row>
    <row r="99" spans="1:3" ht="15">
      <c r="A99"/>
      <c r="B99" s="182"/>
      <c r="C99" s="182"/>
    </row>
    <row r="100" spans="1:3" ht="15">
      <c r="A100"/>
      <c r="B100" s="182"/>
      <c r="C100" s="182"/>
    </row>
    <row r="101" spans="1:3" ht="15">
      <c r="A101"/>
      <c r="B101" s="182"/>
      <c r="C101" s="182"/>
    </row>
    <row r="102" spans="1:3" ht="15">
      <c r="A102"/>
      <c r="B102" s="182"/>
      <c r="C102" s="182"/>
    </row>
    <row r="103" spans="1:3" ht="15">
      <c r="A103"/>
      <c r="B103" s="182"/>
      <c r="C103" s="182"/>
    </row>
    <row r="104" spans="1:3" ht="15">
      <c r="A104"/>
      <c r="B104" s="182"/>
      <c r="C104" s="182"/>
    </row>
    <row r="105" spans="1:3" ht="15">
      <c r="A105"/>
      <c r="B105" s="182"/>
      <c r="C105" s="182"/>
    </row>
    <row r="106" spans="1:3" ht="15">
      <c r="A106"/>
      <c r="B106" s="182"/>
      <c r="C106" s="182"/>
    </row>
    <row r="107" spans="1:3" ht="15">
      <c r="A107"/>
      <c r="B107" s="182"/>
      <c r="C107" s="182"/>
    </row>
    <row r="108" spans="1:3" ht="15">
      <c r="A108"/>
      <c r="B108" s="182"/>
      <c r="C108" s="182"/>
    </row>
    <row r="109" spans="1:3" ht="15">
      <c r="A109"/>
      <c r="B109" s="182"/>
      <c r="C109" s="182"/>
    </row>
    <row r="110" spans="1:3" ht="15">
      <c r="A110"/>
      <c r="B110" s="182"/>
      <c r="C110" s="182"/>
    </row>
    <row r="111" spans="1:3" ht="15">
      <c r="A111"/>
      <c r="B111" s="182"/>
      <c r="C111" s="182"/>
    </row>
    <row r="112" spans="1:3" ht="15">
      <c r="A112"/>
      <c r="B112" s="182"/>
      <c r="C112" s="182"/>
    </row>
    <row r="113" spans="1:3" ht="15">
      <c r="A113"/>
      <c r="B113" s="182"/>
      <c r="C113" s="182"/>
    </row>
    <row r="114" spans="1:3" ht="15">
      <c r="A114"/>
      <c r="B114" s="182"/>
      <c r="C114" s="182"/>
    </row>
    <row r="115" spans="1:3" ht="15">
      <c r="A115"/>
      <c r="B115" s="182"/>
      <c r="C115" s="182"/>
    </row>
    <row r="116" spans="1:3" ht="15">
      <c r="A116"/>
      <c r="B116" s="182"/>
      <c r="C116" s="182"/>
    </row>
    <row r="117" spans="1:3" ht="15">
      <c r="A117"/>
      <c r="B117" s="182"/>
      <c r="C117" s="182"/>
    </row>
    <row r="118" spans="1:3" ht="15">
      <c r="A118"/>
      <c r="B118" s="182"/>
      <c r="C118" s="182"/>
    </row>
    <row r="119" spans="1:3" ht="15">
      <c r="A119"/>
      <c r="B119" s="182"/>
      <c r="C119" s="182"/>
    </row>
    <row r="120" spans="1:3" ht="15">
      <c r="A120"/>
      <c r="B120" s="182"/>
      <c r="C120" s="182"/>
    </row>
    <row r="121" spans="1:3" ht="15">
      <c r="A121"/>
      <c r="B121" s="182"/>
      <c r="C121" s="182"/>
    </row>
    <row r="122" spans="1:3" ht="15">
      <c r="A122"/>
      <c r="B122" s="182"/>
      <c r="C122" s="182"/>
    </row>
    <row r="123" spans="1:3" ht="15">
      <c r="A123"/>
      <c r="B123" s="182"/>
      <c r="C123" s="182"/>
    </row>
    <row r="124" spans="1:3" ht="15">
      <c r="A124"/>
      <c r="B124" s="182"/>
      <c r="C124" s="182"/>
    </row>
    <row r="125" spans="1:3" ht="15">
      <c r="A125"/>
      <c r="B125" s="182"/>
      <c r="C125" s="182"/>
    </row>
    <row r="126" spans="2:3" ht="15">
      <c r="B126" s="182"/>
      <c r="C126" s="182"/>
    </row>
    <row r="127" spans="2:3" ht="15">
      <c r="B127" s="182"/>
      <c r="C127" s="182"/>
    </row>
    <row r="128" spans="2:3" ht="15">
      <c r="B128" s="182"/>
      <c r="C128" s="182"/>
    </row>
    <row r="129" spans="2:3" ht="15">
      <c r="B129" s="182"/>
      <c r="C129" s="182"/>
    </row>
    <row r="130" spans="2:3" ht="15">
      <c r="B130" s="182"/>
      <c r="C130" s="182"/>
    </row>
    <row r="131" spans="2:3" ht="15">
      <c r="B131" s="182"/>
      <c r="C131" s="182"/>
    </row>
    <row r="132" spans="2:3" ht="15">
      <c r="B132" s="182"/>
      <c r="C132" s="182"/>
    </row>
    <row r="133" spans="2:3" ht="15">
      <c r="B133" s="182"/>
      <c r="C133" s="182"/>
    </row>
    <row r="134" spans="2:3" ht="15">
      <c r="B134" s="182"/>
      <c r="C134" s="182"/>
    </row>
    <row r="135" spans="2:3" ht="15">
      <c r="B135" s="182"/>
      <c r="C135" s="182"/>
    </row>
    <row r="136" spans="2:3" ht="15">
      <c r="B136" s="182"/>
      <c r="C136" s="182"/>
    </row>
    <row r="137" spans="2:3" ht="15">
      <c r="B137" s="182"/>
      <c r="C137" s="182"/>
    </row>
    <row r="138" spans="2:3" ht="15">
      <c r="B138" s="182"/>
      <c r="C138" s="182"/>
    </row>
    <row r="139" spans="2:3" ht="15">
      <c r="B139" s="182"/>
      <c r="C139" s="182"/>
    </row>
    <row r="140" spans="2:3" ht="15">
      <c r="B140" s="182"/>
      <c r="C140" s="182"/>
    </row>
    <row r="141" spans="2:3" ht="15">
      <c r="B141" s="182"/>
      <c r="C141" s="182"/>
    </row>
    <row r="142" spans="2:3" ht="15">
      <c r="B142" s="182"/>
      <c r="C142" s="182"/>
    </row>
    <row r="143" spans="2:3" ht="15">
      <c r="B143" s="182"/>
      <c r="C143" s="182"/>
    </row>
    <row r="144" spans="2:3" ht="15">
      <c r="B144" s="182"/>
      <c r="C144" s="182"/>
    </row>
    <row r="145" spans="2:3" ht="15">
      <c r="B145" s="182"/>
      <c r="C145" s="182"/>
    </row>
    <row r="146" spans="2:3" ht="15">
      <c r="B146" s="182"/>
      <c r="C146" s="182"/>
    </row>
    <row r="147" spans="2:3" ht="15">
      <c r="B147" s="182"/>
      <c r="C147" s="182"/>
    </row>
    <row r="148" spans="2:3" ht="15">
      <c r="B148" s="182"/>
      <c r="C148" s="182"/>
    </row>
    <row r="149" spans="2:3" ht="15">
      <c r="B149" s="182"/>
      <c r="C149" s="182"/>
    </row>
    <row r="150" spans="2:3" ht="15">
      <c r="B150" s="182"/>
      <c r="C150" s="182"/>
    </row>
    <row r="151" spans="2:3" ht="15">
      <c r="B151" s="182"/>
      <c r="C151" s="182"/>
    </row>
    <row r="152" spans="2:3" ht="15">
      <c r="B152" s="182"/>
      <c r="C152" s="182"/>
    </row>
    <row r="153" spans="2:3" ht="15">
      <c r="B153" s="182"/>
      <c r="C153" s="182"/>
    </row>
    <row r="154" spans="2:3" ht="15">
      <c r="B154" s="182"/>
      <c r="C154" s="182"/>
    </row>
    <row r="155" spans="2:3" ht="15">
      <c r="B155" s="182"/>
      <c r="C155" s="182"/>
    </row>
    <row r="156" spans="2:3" ht="15">
      <c r="B156" s="182"/>
      <c r="C156" s="182"/>
    </row>
    <row r="157" spans="2:3" ht="15">
      <c r="B157" s="182"/>
      <c r="C157" s="182"/>
    </row>
    <row r="158" spans="2:3" ht="15">
      <c r="B158" s="182"/>
      <c r="C158" s="182"/>
    </row>
    <row r="159" spans="2:3" ht="15">
      <c r="B159" s="182"/>
      <c r="C159" s="182"/>
    </row>
    <row r="160" spans="2:3" ht="15">
      <c r="B160" s="182"/>
      <c r="C160" s="182"/>
    </row>
    <row r="161" spans="2:3" ht="15">
      <c r="B161" s="182"/>
      <c r="C161" s="182"/>
    </row>
    <row r="162" spans="2:3" ht="15">
      <c r="B162" s="182"/>
      <c r="C162" s="182"/>
    </row>
    <row r="163" spans="2:3" ht="15">
      <c r="B163" s="182"/>
      <c r="C163" s="182"/>
    </row>
    <row r="164" spans="2:3" ht="15">
      <c r="B164" s="182"/>
      <c r="C164" s="182"/>
    </row>
    <row r="165" spans="2:3" ht="15">
      <c r="B165" s="182"/>
      <c r="C165" s="182"/>
    </row>
    <row r="166" spans="2:3" ht="15">
      <c r="B166" s="182"/>
      <c r="C166" s="182"/>
    </row>
    <row r="167" spans="2:3" ht="15">
      <c r="B167" s="182"/>
      <c r="C167" s="182"/>
    </row>
    <row r="168" spans="2:3" ht="15">
      <c r="B168" s="182"/>
      <c r="C168" s="182"/>
    </row>
    <row r="169" spans="2:3" ht="15">
      <c r="B169" s="182"/>
      <c r="C169" s="182"/>
    </row>
    <row r="170" spans="2:3" ht="15">
      <c r="B170" s="182"/>
      <c r="C170" s="182"/>
    </row>
    <row r="171" spans="2:3" ht="15">
      <c r="B171" s="182"/>
      <c r="C171" s="182"/>
    </row>
    <row r="172" spans="2:3" ht="15">
      <c r="B172" s="182"/>
      <c r="C172" s="182"/>
    </row>
    <row r="173" spans="2:3" ht="15">
      <c r="B173" s="182"/>
      <c r="C173" s="182"/>
    </row>
    <row r="174" spans="2:3" ht="15">
      <c r="B174" s="182"/>
      <c r="C174" s="182"/>
    </row>
    <row r="175" spans="2:3" ht="15">
      <c r="B175" s="182"/>
      <c r="C175" s="182"/>
    </row>
    <row r="176" spans="2:3" ht="15">
      <c r="B176" s="182"/>
      <c r="C176" s="182"/>
    </row>
    <row r="177" spans="2:3" ht="15">
      <c r="B177" s="182"/>
      <c r="C177" s="182"/>
    </row>
    <row r="178" spans="2:3" ht="15">
      <c r="B178" s="182"/>
      <c r="C178" s="182"/>
    </row>
    <row r="179" spans="2:3" ht="15">
      <c r="B179" s="182"/>
      <c r="C179" s="182"/>
    </row>
    <row r="180" spans="2:3" ht="15">
      <c r="B180" s="182"/>
      <c r="C180" s="182"/>
    </row>
    <row r="181" spans="2:3" ht="15">
      <c r="B181" s="182"/>
      <c r="C181" s="182"/>
    </row>
    <row r="182" spans="2:3" ht="15">
      <c r="B182" s="182"/>
      <c r="C182" s="182"/>
    </row>
    <row r="183" spans="2:3" ht="15">
      <c r="B183" s="182"/>
      <c r="C183" s="182"/>
    </row>
    <row r="184" spans="2:3" ht="15">
      <c r="B184" s="182"/>
      <c r="C184" s="182"/>
    </row>
    <row r="185" spans="2:3" ht="15">
      <c r="B185" s="182"/>
      <c r="C185" s="182"/>
    </row>
    <row r="186" spans="2:3" ht="15">
      <c r="B186" s="182"/>
      <c r="C186" s="182"/>
    </row>
    <row r="187" spans="2:3" ht="15">
      <c r="B187" s="182"/>
      <c r="C187" s="182"/>
    </row>
    <row r="188" spans="2:3" ht="15">
      <c r="B188" s="182"/>
      <c r="C188" s="182"/>
    </row>
    <row r="189" spans="2:3" ht="15">
      <c r="B189" s="182"/>
      <c r="C189" s="182"/>
    </row>
    <row r="190" spans="2:3" ht="15">
      <c r="B190" s="182"/>
      <c r="C190" s="182"/>
    </row>
    <row r="191" spans="2:3" ht="15">
      <c r="B191" s="182"/>
      <c r="C191" s="182"/>
    </row>
    <row r="192" spans="2:3" ht="15">
      <c r="B192" s="182"/>
      <c r="C192" s="182"/>
    </row>
    <row r="193" spans="2:3" ht="15">
      <c r="B193" s="182"/>
      <c r="C193" s="182"/>
    </row>
    <row r="194" spans="2:3" ht="15">
      <c r="B194" s="182"/>
      <c r="C194" s="182"/>
    </row>
    <row r="195" spans="2:3" ht="15">
      <c r="B195" s="182"/>
      <c r="C195" s="182"/>
    </row>
    <row r="196" spans="2:3" ht="15">
      <c r="B196" s="182"/>
      <c r="C196" s="182"/>
    </row>
    <row r="197" spans="2:3" ht="15">
      <c r="B197" s="182"/>
      <c r="C197" s="182"/>
    </row>
    <row r="198" spans="2:3" ht="15">
      <c r="B198" s="182"/>
      <c r="C198" s="182"/>
    </row>
    <row r="199" spans="2:3" ht="15">
      <c r="B199" s="182"/>
      <c r="C199" s="182"/>
    </row>
    <row r="200" spans="2:3" ht="15">
      <c r="B200" s="182"/>
      <c r="C200" s="182"/>
    </row>
    <row r="201" spans="2:3" ht="15">
      <c r="B201" s="182"/>
      <c r="C201" s="182"/>
    </row>
    <row r="202" spans="2:3" ht="15">
      <c r="B202" s="182"/>
      <c r="C202" s="182"/>
    </row>
    <row r="203" spans="2:3" ht="15">
      <c r="B203" s="182"/>
      <c r="C203" s="182"/>
    </row>
    <row r="204" spans="2:3" ht="15">
      <c r="B204" s="182"/>
      <c r="C204" s="182"/>
    </row>
    <row r="205" spans="2:3" ht="15">
      <c r="B205" s="182"/>
      <c r="C205" s="182"/>
    </row>
    <row r="206" spans="2:3" ht="15">
      <c r="B206" s="182"/>
      <c r="C206" s="182"/>
    </row>
    <row r="207" spans="2:3" ht="15">
      <c r="B207" s="182"/>
      <c r="C207" s="182"/>
    </row>
    <row r="208" spans="2:3" ht="15">
      <c r="B208" s="182"/>
      <c r="C208" s="182"/>
    </row>
    <row r="209" spans="2:3" ht="15">
      <c r="B209" s="182"/>
      <c r="C209" s="182"/>
    </row>
    <row r="210" spans="2:3" ht="15">
      <c r="B210" s="182"/>
      <c r="C210" s="182"/>
    </row>
    <row r="211" spans="2:3" ht="15">
      <c r="B211" s="182"/>
      <c r="C211" s="182"/>
    </row>
    <row r="212" spans="2:3" ht="15">
      <c r="B212" s="182"/>
      <c r="C212" s="182"/>
    </row>
    <row r="213" spans="2:3" ht="15">
      <c r="B213" s="182"/>
      <c r="C213" s="182"/>
    </row>
    <row r="214" spans="2:3" ht="15">
      <c r="B214" s="182"/>
      <c r="C214" s="182"/>
    </row>
    <row r="215" spans="2:3" ht="15">
      <c r="B215" s="182"/>
      <c r="C215" s="182"/>
    </row>
    <row r="216" spans="2:3" ht="15">
      <c r="B216" s="182"/>
      <c r="C216" s="182"/>
    </row>
    <row r="217" spans="2:3" ht="15">
      <c r="B217" s="182"/>
      <c r="C217" s="182"/>
    </row>
    <row r="218" spans="2:3" ht="15">
      <c r="B218" s="182"/>
      <c r="C218" s="182"/>
    </row>
    <row r="219" spans="2:3" ht="15">
      <c r="B219" s="182"/>
      <c r="C219" s="182"/>
    </row>
    <row r="220" spans="2:3" ht="15">
      <c r="B220" s="182"/>
      <c r="C220" s="182"/>
    </row>
    <row r="221" spans="2:3" ht="15">
      <c r="B221" s="182"/>
      <c r="C221" s="182"/>
    </row>
    <row r="222" spans="2:3" ht="15">
      <c r="B222" s="182"/>
      <c r="C222" s="182"/>
    </row>
    <row r="223" spans="2:3" ht="15">
      <c r="B223" s="182"/>
      <c r="C223" s="182"/>
    </row>
    <row r="224" spans="2:3" ht="15">
      <c r="B224" s="182"/>
      <c r="C224" s="182"/>
    </row>
    <row r="225" spans="2:3" ht="15">
      <c r="B225" s="182"/>
      <c r="C225" s="182"/>
    </row>
    <row r="226" spans="2:3" ht="15">
      <c r="B226" s="182"/>
      <c r="C226" s="182"/>
    </row>
    <row r="227" spans="2:3" ht="15">
      <c r="B227" s="182"/>
      <c r="C227" s="182"/>
    </row>
    <row r="228" spans="2:3" ht="15">
      <c r="B228" s="182"/>
      <c r="C228" s="182"/>
    </row>
    <row r="229" spans="2:3" ht="15">
      <c r="B229" s="182"/>
      <c r="C229" s="182"/>
    </row>
    <row r="230" spans="2:3" ht="15">
      <c r="B230" s="182"/>
      <c r="C230" s="182"/>
    </row>
    <row r="231" spans="2:3" ht="15">
      <c r="B231" s="182"/>
      <c r="C231" s="182"/>
    </row>
    <row r="232" spans="2:3" ht="15">
      <c r="B232" s="182"/>
      <c r="C232" s="182"/>
    </row>
    <row r="233" spans="2:3" ht="15">
      <c r="B233" s="182"/>
      <c r="C233" s="182"/>
    </row>
    <row r="234" spans="2:3" ht="15">
      <c r="B234" s="182"/>
      <c r="C234" s="182"/>
    </row>
    <row r="235" spans="2:3" ht="15">
      <c r="B235" s="182"/>
      <c r="C235" s="182"/>
    </row>
    <row r="236" spans="2:3" ht="15">
      <c r="B236" s="182"/>
      <c r="C236" s="182"/>
    </row>
    <row r="237" spans="2:3" ht="15">
      <c r="B237" s="182"/>
      <c r="C237" s="182"/>
    </row>
    <row r="238" spans="2:3" ht="15">
      <c r="B238" s="182"/>
      <c r="C238" s="182"/>
    </row>
    <row r="239" spans="2:3" ht="15">
      <c r="B239" s="182"/>
      <c r="C239" s="182"/>
    </row>
    <row r="240" spans="2:3" ht="15">
      <c r="B240" s="182"/>
      <c r="C240" s="182"/>
    </row>
    <row r="241" spans="2:3" ht="15">
      <c r="B241" s="182"/>
      <c r="C241" s="182"/>
    </row>
    <row r="242" spans="2:3" ht="15">
      <c r="B242" s="182"/>
      <c r="C242" s="182"/>
    </row>
    <row r="243" spans="2:3" ht="15">
      <c r="B243" s="182"/>
      <c r="C243" s="182"/>
    </row>
    <row r="244" spans="2:3" ht="15">
      <c r="B244" s="182"/>
      <c r="C244" s="182"/>
    </row>
    <row r="245" spans="2:3" ht="15">
      <c r="B245" s="182"/>
      <c r="C245" s="182"/>
    </row>
    <row r="246" spans="2:3" ht="15">
      <c r="B246" s="182"/>
      <c r="C246" s="182"/>
    </row>
    <row r="247" spans="2:3" ht="15">
      <c r="B247" s="182"/>
      <c r="C247" s="182"/>
    </row>
    <row r="248" spans="2:3" ht="15">
      <c r="B248" s="182"/>
      <c r="C248" s="182"/>
    </row>
    <row r="249" spans="2:3" ht="15">
      <c r="B249" s="182"/>
      <c r="C249" s="182"/>
    </row>
    <row r="250" spans="2:3" ht="15">
      <c r="B250" s="182"/>
      <c r="C250" s="182"/>
    </row>
    <row r="251" spans="2:3" ht="15">
      <c r="B251" s="182"/>
      <c r="C251" s="182"/>
    </row>
    <row r="252" spans="2:3" ht="15">
      <c r="B252" s="182"/>
      <c r="C252" s="182"/>
    </row>
    <row r="253" spans="2:3" ht="15">
      <c r="B253" s="182"/>
      <c r="C253" s="182"/>
    </row>
    <row r="254" spans="2:3" ht="15">
      <c r="B254" s="182"/>
      <c r="C254" s="182"/>
    </row>
    <row r="255" spans="2:3" ht="15">
      <c r="B255" s="182"/>
      <c r="C255" s="182"/>
    </row>
    <row r="256" spans="2:3" ht="15">
      <c r="B256" s="182"/>
      <c r="C256" s="182"/>
    </row>
    <row r="257" spans="2:3" ht="15">
      <c r="B257" s="182"/>
      <c r="C257" s="182"/>
    </row>
    <row r="258" spans="2:3" ht="15">
      <c r="B258" s="182"/>
      <c r="C258" s="182"/>
    </row>
    <row r="259" spans="2:3" ht="15">
      <c r="B259" s="182"/>
      <c r="C259" s="182"/>
    </row>
    <row r="260" spans="2:3" ht="15">
      <c r="B260" s="182"/>
      <c r="C260" s="182"/>
    </row>
    <row r="261" spans="2:3" ht="15">
      <c r="B261" s="182"/>
      <c r="C261" s="182"/>
    </row>
    <row r="262" spans="2:3" ht="15">
      <c r="B262" s="182"/>
      <c r="C262" s="182"/>
    </row>
    <row r="263" spans="2:3" ht="15">
      <c r="B263" s="182"/>
      <c r="C263" s="182"/>
    </row>
    <row r="264" spans="2:3" ht="15">
      <c r="B264" s="182"/>
      <c r="C264" s="182"/>
    </row>
    <row r="265" spans="2:3" ht="15">
      <c r="B265" s="182"/>
      <c r="C265" s="182"/>
    </row>
    <row r="266" spans="2:3" ht="15">
      <c r="B266" s="182"/>
      <c r="C266" s="182"/>
    </row>
    <row r="267" spans="2:3" ht="15">
      <c r="B267" s="182"/>
      <c r="C267" s="182"/>
    </row>
    <row r="268" spans="2:3" ht="15">
      <c r="B268" s="182"/>
      <c r="C268" s="182"/>
    </row>
    <row r="269" spans="2:3" ht="15">
      <c r="B269" s="182"/>
      <c r="C269" s="182"/>
    </row>
    <row r="270" spans="2:3" ht="15">
      <c r="B270" s="182"/>
      <c r="C270" s="182"/>
    </row>
    <row r="271" spans="2:3" ht="15">
      <c r="B271" s="182"/>
      <c r="C271" s="182"/>
    </row>
    <row r="272" spans="2:3" ht="15">
      <c r="B272" s="182"/>
      <c r="C272" s="182"/>
    </row>
    <row r="273" spans="2:3" ht="15">
      <c r="B273" s="182"/>
      <c r="C273" s="182"/>
    </row>
    <row r="274" spans="2:3" ht="15">
      <c r="B274" s="182"/>
      <c r="C274" s="182"/>
    </row>
    <row r="275" spans="2:3" ht="15">
      <c r="B275" s="182"/>
      <c r="C275" s="182"/>
    </row>
    <row r="276" spans="2:3" ht="15">
      <c r="B276" s="182"/>
      <c r="C276" s="182"/>
    </row>
    <row r="277" spans="2:3" ht="15">
      <c r="B277" s="182"/>
      <c r="C277" s="182"/>
    </row>
    <row r="278" spans="2:3" ht="15">
      <c r="B278" s="182"/>
      <c r="C278" s="182"/>
    </row>
    <row r="279" spans="2:3" ht="15">
      <c r="B279" s="182"/>
      <c r="C279" s="182"/>
    </row>
    <row r="280" spans="2:3" ht="15">
      <c r="B280" s="182"/>
      <c r="C280" s="182"/>
    </row>
    <row r="281" spans="2:3" ht="15">
      <c r="B281" s="182"/>
      <c r="C281" s="182"/>
    </row>
    <row r="282" spans="2:3" ht="15">
      <c r="B282" s="182"/>
      <c r="C282" s="182"/>
    </row>
    <row r="283" spans="2:3" ht="15">
      <c r="B283" s="182"/>
      <c r="C283" s="182"/>
    </row>
    <row r="284" spans="2:3" ht="15">
      <c r="B284" s="182"/>
      <c r="C284" s="182"/>
    </row>
    <row r="285" spans="2:3" ht="15">
      <c r="B285" s="182"/>
      <c r="C285" s="182"/>
    </row>
    <row r="286" spans="2:3" ht="15">
      <c r="B286" s="182"/>
      <c r="C286" s="182"/>
    </row>
    <row r="287" spans="2:3" ht="15">
      <c r="B287" s="182"/>
      <c r="C287" s="182"/>
    </row>
    <row r="288" spans="2:3" ht="15">
      <c r="B288" s="182"/>
      <c r="C288" s="182"/>
    </row>
    <row r="289" spans="2:3" ht="15">
      <c r="B289" s="182"/>
      <c r="C289" s="182"/>
    </row>
    <row r="290" spans="2:3" ht="15">
      <c r="B290" s="182"/>
      <c r="C290" s="182"/>
    </row>
    <row r="291" spans="2:3" ht="15">
      <c r="B291" s="182"/>
      <c r="C291" s="182"/>
    </row>
    <row r="292" spans="2:3" ht="15">
      <c r="B292" s="182"/>
      <c r="C292" s="182"/>
    </row>
    <row r="293" spans="2:3" ht="15">
      <c r="B293" s="182"/>
      <c r="C293" s="182"/>
    </row>
    <row r="294" spans="2:3" ht="15">
      <c r="B294" s="182"/>
      <c r="C294" s="182"/>
    </row>
    <row r="295" spans="2:3" ht="15">
      <c r="B295" s="182"/>
      <c r="C295" s="182"/>
    </row>
    <row r="296" spans="2:3" ht="15">
      <c r="B296" s="182"/>
      <c r="C296" s="182"/>
    </row>
    <row r="297" spans="2:3" ht="15">
      <c r="B297" s="182"/>
      <c r="C297" s="182"/>
    </row>
    <row r="298" spans="2:3" ht="15">
      <c r="B298" s="182"/>
      <c r="C298" s="182"/>
    </row>
    <row r="299" spans="2:3" ht="15">
      <c r="B299" s="182"/>
      <c r="C299" s="182"/>
    </row>
    <row r="300" spans="2:3" ht="15">
      <c r="B300" s="182"/>
      <c r="C300" s="182"/>
    </row>
    <row r="301" spans="2:3" ht="15">
      <c r="B301" s="182"/>
      <c r="C301" s="182"/>
    </row>
    <row r="302" spans="2:3" ht="15">
      <c r="B302" s="182"/>
      <c r="C302" s="182"/>
    </row>
    <row r="303" spans="2:3" ht="15">
      <c r="B303" s="182"/>
      <c r="C303" s="182"/>
    </row>
    <row r="304" spans="2:3" ht="15">
      <c r="B304" s="182"/>
      <c r="C304" s="182"/>
    </row>
    <row r="305" spans="2:3" ht="15">
      <c r="B305" s="182"/>
      <c r="C305" s="182"/>
    </row>
    <row r="306" spans="2:3" ht="15">
      <c r="B306" s="182"/>
      <c r="C306" s="182"/>
    </row>
    <row r="307" spans="2:3" ht="15">
      <c r="B307" s="182"/>
      <c r="C307" s="182"/>
    </row>
    <row r="308" spans="2:3" ht="15">
      <c r="B308" s="182"/>
      <c r="C308" s="182"/>
    </row>
    <row r="309" spans="2:3" ht="15">
      <c r="B309" s="182"/>
      <c r="C309" s="182"/>
    </row>
    <row r="310" spans="2:3" ht="15">
      <c r="B310" s="182"/>
      <c r="C310" s="182"/>
    </row>
    <row r="311" spans="2:3" ht="15">
      <c r="B311" s="182"/>
      <c r="C311" s="182"/>
    </row>
    <row r="312" spans="2:3" ht="15">
      <c r="B312" s="182"/>
      <c r="C312" s="182"/>
    </row>
    <row r="313" spans="2:3" ht="15">
      <c r="B313" s="182"/>
      <c r="C313" s="182"/>
    </row>
    <row r="314" spans="2:3" ht="15">
      <c r="B314" s="182"/>
      <c r="C314" s="182"/>
    </row>
    <row r="315" spans="2:3" ht="15">
      <c r="B315" s="182"/>
      <c r="C315" s="182"/>
    </row>
    <row r="316" spans="2:3" ht="15">
      <c r="B316" s="182"/>
      <c r="C316" s="182"/>
    </row>
    <row r="317" spans="2:3" ht="15">
      <c r="B317" s="182"/>
      <c r="C317" s="182"/>
    </row>
    <row r="318" spans="2:3" ht="15">
      <c r="B318" s="182"/>
      <c r="C318" s="182"/>
    </row>
    <row r="319" spans="2:3" ht="15">
      <c r="B319" s="182"/>
      <c r="C319" s="182"/>
    </row>
    <row r="320" spans="2:3" ht="15">
      <c r="B320" s="182"/>
      <c r="C320" s="182"/>
    </row>
    <row r="321" spans="2:3" ht="15">
      <c r="B321" s="182"/>
      <c r="C321" s="182"/>
    </row>
    <row r="322" spans="2:3" ht="15">
      <c r="B322" s="182"/>
      <c r="C322" s="182"/>
    </row>
    <row r="323" spans="2:3" ht="15">
      <c r="B323" s="182"/>
      <c r="C323" s="182"/>
    </row>
    <row r="324" spans="2:3" ht="15">
      <c r="B324" s="182"/>
      <c r="C324" s="182"/>
    </row>
    <row r="325" spans="2:3" ht="15">
      <c r="B325" s="182"/>
      <c r="C325" s="182"/>
    </row>
    <row r="326" spans="2:3" ht="15">
      <c r="B326" s="182"/>
      <c r="C326" s="182"/>
    </row>
    <row r="327" spans="2:3" ht="15">
      <c r="B327" s="182"/>
      <c r="C327" s="182"/>
    </row>
    <row r="328" spans="2:3" ht="15">
      <c r="B328" s="182"/>
      <c r="C328" s="182"/>
    </row>
    <row r="329" spans="2:3" ht="15">
      <c r="B329" s="182"/>
      <c r="C329" s="182"/>
    </row>
    <row r="330" spans="2:3" ht="15">
      <c r="B330" s="182"/>
      <c r="C330" s="182"/>
    </row>
    <row r="331" spans="2:3" ht="15">
      <c r="B331" s="182"/>
      <c r="C331" s="182"/>
    </row>
    <row r="332" spans="2:3" ht="15">
      <c r="B332" s="182"/>
      <c r="C332" s="182"/>
    </row>
    <row r="333" spans="2:3" ht="15">
      <c r="B333" s="182"/>
      <c r="C333" s="182"/>
    </row>
    <row r="334" spans="2:3" ht="15">
      <c r="B334" s="182"/>
      <c r="C334" s="182"/>
    </row>
    <row r="335" spans="2:3" ht="15">
      <c r="B335" s="182"/>
      <c r="C335" s="182"/>
    </row>
    <row r="336" spans="2:3" ht="15">
      <c r="B336" s="182"/>
      <c r="C336" s="182"/>
    </row>
    <row r="337" spans="2:3" ht="15">
      <c r="B337" s="182"/>
      <c r="C337" s="182"/>
    </row>
    <row r="338" spans="2:3" ht="15">
      <c r="B338" s="182"/>
      <c r="C338" s="182"/>
    </row>
    <row r="339" spans="2:3" ht="15">
      <c r="B339" s="182"/>
      <c r="C339" s="182"/>
    </row>
    <row r="340" spans="2:3" ht="15">
      <c r="B340" s="182"/>
      <c r="C340" s="182"/>
    </row>
    <row r="341" spans="2:3" ht="15">
      <c r="B341" s="182"/>
      <c r="C341" s="182"/>
    </row>
    <row r="342" spans="2:3" ht="15">
      <c r="B342" s="182"/>
      <c r="C342" s="182"/>
    </row>
    <row r="343" spans="2:3" ht="15">
      <c r="B343" s="182"/>
      <c r="C343" s="182"/>
    </row>
    <row r="344" spans="2:3" ht="15">
      <c r="B344" s="182"/>
      <c r="C344" s="182"/>
    </row>
    <row r="345" spans="2:3" ht="15">
      <c r="B345" s="182"/>
      <c r="C345" s="182"/>
    </row>
    <row r="346" spans="2:3" ht="15">
      <c r="B346" s="182"/>
      <c r="C346" s="182"/>
    </row>
    <row r="347" spans="2:3" ht="15">
      <c r="B347" s="182"/>
      <c r="C347" s="182"/>
    </row>
    <row r="348" spans="2:3" ht="15">
      <c r="B348" s="182"/>
      <c r="C348" s="182"/>
    </row>
    <row r="349" spans="2:3" ht="15">
      <c r="B349" s="182"/>
      <c r="C349" s="182"/>
    </row>
    <row r="350" spans="2:3" ht="15">
      <c r="B350" s="182"/>
      <c r="C350" s="182"/>
    </row>
    <row r="351" spans="2:3" ht="15">
      <c r="B351" s="182"/>
      <c r="C351" s="182"/>
    </row>
    <row r="352" spans="2:3" ht="15">
      <c r="B352" s="182"/>
      <c r="C352" s="182"/>
    </row>
    <row r="353" spans="2:3" ht="15">
      <c r="B353" s="182"/>
      <c r="C353" s="182"/>
    </row>
    <row r="354" spans="2:3" ht="15">
      <c r="B354" s="182"/>
      <c r="C354" s="182"/>
    </row>
    <row r="355" spans="2:3" ht="15">
      <c r="B355" s="182"/>
      <c r="C355" s="182"/>
    </row>
    <row r="356" spans="2:3" ht="15">
      <c r="B356" s="182"/>
      <c r="C356" s="182"/>
    </row>
    <row r="357" spans="2:3" ht="15">
      <c r="B357" s="182"/>
      <c r="C357" s="182"/>
    </row>
    <row r="358" spans="2:3" ht="15">
      <c r="B358" s="182"/>
      <c r="C358" s="182"/>
    </row>
    <row r="359" spans="2:3" ht="15">
      <c r="B359" s="182"/>
      <c r="C359" s="182"/>
    </row>
    <row r="360" spans="2:3" ht="15">
      <c r="B360" s="182"/>
      <c r="C360" s="182"/>
    </row>
    <row r="361" spans="2:3" ht="15">
      <c r="B361" s="182"/>
      <c r="C361" s="182"/>
    </row>
    <row r="362" spans="2:3" ht="15">
      <c r="B362" s="182"/>
      <c r="C362" s="182"/>
    </row>
    <row r="363" spans="2:3" ht="15">
      <c r="B363" s="182"/>
      <c r="C363" s="182"/>
    </row>
    <row r="364" spans="2:3" ht="15">
      <c r="B364" s="182"/>
      <c r="C364" s="182"/>
    </row>
    <row r="365" spans="2:3" ht="15">
      <c r="B365" s="182"/>
      <c r="C365" s="182"/>
    </row>
    <row r="366" spans="2:3" ht="15">
      <c r="B366" s="182"/>
      <c r="C366" s="182"/>
    </row>
    <row r="367" spans="2:3" ht="15">
      <c r="B367" s="182"/>
      <c r="C367" s="182"/>
    </row>
    <row r="368" spans="2:3" ht="15">
      <c r="B368" s="182"/>
      <c r="C368" s="182"/>
    </row>
    <row r="369" spans="2:3" ht="15">
      <c r="B369" s="182"/>
      <c r="C369" s="182"/>
    </row>
    <row r="370" spans="2:3" ht="15">
      <c r="B370" s="182"/>
      <c r="C370" s="182"/>
    </row>
    <row r="371" spans="2:3" ht="15">
      <c r="B371" s="182"/>
      <c r="C371" s="182"/>
    </row>
    <row r="372" spans="2:3" ht="15">
      <c r="B372" s="182"/>
      <c r="C372" s="182"/>
    </row>
    <row r="373" spans="2:3" ht="15">
      <c r="B373" s="182"/>
      <c r="C373" s="182"/>
    </row>
    <row r="374" spans="2:3" ht="15">
      <c r="B374" s="182"/>
      <c r="C374" s="182"/>
    </row>
    <row r="375" spans="2:3" ht="15">
      <c r="B375" s="182"/>
      <c r="C375" s="182"/>
    </row>
    <row r="376" spans="2:3" ht="15">
      <c r="B376" s="182"/>
      <c r="C376" s="182"/>
    </row>
    <row r="377" spans="2:3" ht="15">
      <c r="B377" s="182"/>
      <c r="C377" s="182"/>
    </row>
    <row r="378" spans="2:3" ht="15">
      <c r="B378" s="182"/>
      <c r="C378" s="182"/>
    </row>
    <row r="379" spans="2:3" ht="15">
      <c r="B379" s="182"/>
      <c r="C379" s="182"/>
    </row>
    <row r="380" spans="2:3" ht="15">
      <c r="B380" s="182"/>
      <c r="C380" s="182"/>
    </row>
    <row r="381" spans="2:3" ht="15">
      <c r="B381" s="182"/>
      <c r="C381" s="182"/>
    </row>
    <row r="382" spans="2:3" ht="15">
      <c r="B382" s="182"/>
      <c r="C382" s="182"/>
    </row>
    <row r="383" spans="2:3" ht="15">
      <c r="B383" s="182"/>
      <c r="C383" s="182"/>
    </row>
    <row r="384" spans="2:3" ht="15">
      <c r="B384" s="182"/>
      <c r="C384" s="182"/>
    </row>
    <row r="385" spans="2:3" ht="15">
      <c r="B385" s="182"/>
      <c r="C385" s="182"/>
    </row>
    <row r="386" spans="2:3" ht="15">
      <c r="B386" s="182"/>
      <c r="C386" s="182"/>
    </row>
    <row r="387" spans="2:3" ht="15">
      <c r="B387" s="182"/>
      <c r="C387" s="182"/>
    </row>
    <row r="388" spans="2:3" ht="15">
      <c r="B388" s="182"/>
      <c r="C388" s="182"/>
    </row>
    <row r="389" spans="2:3" ht="15">
      <c r="B389" s="182"/>
      <c r="C389" s="182"/>
    </row>
    <row r="390" spans="2:3" ht="15">
      <c r="B390" s="182"/>
      <c r="C390" s="182"/>
    </row>
    <row r="391" spans="2:3" ht="15">
      <c r="B391" s="182"/>
      <c r="C391" s="182"/>
    </row>
    <row r="392" spans="2:3" ht="15">
      <c r="B392" s="182"/>
      <c r="C392" s="182"/>
    </row>
    <row r="393" spans="2:3" ht="15">
      <c r="B393" s="182"/>
      <c r="C393" s="182"/>
    </row>
    <row r="394" spans="2:3" ht="15">
      <c r="B394" s="182"/>
      <c r="C394" s="182"/>
    </row>
    <row r="395" spans="2:3" ht="15">
      <c r="B395" s="182"/>
      <c r="C395" s="182"/>
    </row>
    <row r="396" spans="2:3" ht="15">
      <c r="B396" s="182"/>
      <c r="C396" s="182"/>
    </row>
    <row r="397" spans="2:3" ht="15">
      <c r="B397" s="182"/>
      <c r="C397" s="182"/>
    </row>
    <row r="398" spans="2:3" ht="15">
      <c r="B398" s="182"/>
      <c r="C398" s="182"/>
    </row>
    <row r="399" spans="2:3" ht="15">
      <c r="B399" s="182"/>
      <c r="C399" s="182"/>
    </row>
    <row r="400" spans="2:3" ht="15">
      <c r="B400" s="182"/>
      <c r="C400" s="182"/>
    </row>
    <row r="401" spans="2:3" ht="15">
      <c r="B401" s="182"/>
      <c r="C401" s="182"/>
    </row>
    <row r="402" spans="2:3" ht="15">
      <c r="B402" s="182"/>
      <c r="C402" s="182"/>
    </row>
    <row r="403" spans="2:3" ht="15">
      <c r="B403" s="182"/>
      <c r="C403" s="182"/>
    </row>
    <row r="404" spans="2:3" ht="15">
      <c r="B404" s="182"/>
      <c r="C404" s="182"/>
    </row>
    <row r="405" spans="2:3" ht="15">
      <c r="B405" s="182"/>
      <c r="C405" s="182"/>
    </row>
    <row r="406" spans="2:3" ht="15">
      <c r="B406" s="182"/>
      <c r="C406" s="182"/>
    </row>
    <row r="407" spans="2:3" ht="15">
      <c r="B407" s="182"/>
      <c r="C407" s="182"/>
    </row>
    <row r="408" spans="2:3" ht="15">
      <c r="B408" s="182"/>
      <c r="C408" s="182"/>
    </row>
    <row r="409" spans="2:3" ht="15">
      <c r="B409" s="182"/>
      <c r="C409" s="182"/>
    </row>
    <row r="410" spans="2:3" ht="15">
      <c r="B410" s="182"/>
      <c r="C410" s="182"/>
    </row>
    <row r="411" spans="2:3" ht="15">
      <c r="B411" s="182"/>
      <c r="C411" s="182"/>
    </row>
    <row r="412" spans="2:3" ht="15">
      <c r="B412" s="182"/>
      <c r="C412" s="182"/>
    </row>
    <row r="413" spans="2:3" ht="15">
      <c r="B413" s="182"/>
      <c r="C413" s="182"/>
    </row>
    <row r="414" spans="2:3" ht="15">
      <c r="B414" s="182"/>
      <c r="C414" s="182"/>
    </row>
    <row r="415" spans="2:3" ht="15">
      <c r="B415" s="182"/>
      <c r="C415" s="182"/>
    </row>
    <row r="416" spans="2:3" ht="15">
      <c r="B416" s="182"/>
      <c r="C416" s="182"/>
    </row>
    <row r="417" spans="2:3" ht="15">
      <c r="B417" s="182"/>
      <c r="C417" s="182"/>
    </row>
    <row r="418" spans="2:3" ht="15">
      <c r="B418" s="182"/>
      <c r="C418" s="182"/>
    </row>
    <row r="419" spans="2:3" ht="15">
      <c r="B419" s="182"/>
      <c r="C419" s="182"/>
    </row>
    <row r="420" spans="2:3" ht="15">
      <c r="B420" s="182"/>
      <c r="C420" s="182"/>
    </row>
    <row r="421" spans="2:3" ht="15">
      <c r="B421" s="182"/>
      <c r="C421" s="182"/>
    </row>
    <row r="422" spans="2:3" ht="15">
      <c r="B422" s="182"/>
      <c r="C422" s="182"/>
    </row>
    <row r="423" spans="2:3" ht="15">
      <c r="B423" s="182"/>
      <c r="C423" s="182"/>
    </row>
    <row r="424" spans="2:3" ht="15">
      <c r="B424" s="182"/>
      <c r="C424" s="182"/>
    </row>
    <row r="425" spans="2:3" ht="15">
      <c r="B425" s="182"/>
      <c r="C425" s="182"/>
    </row>
    <row r="426" spans="2:3" ht="15">
      <c r="B426" s="182"/>
      <c r="C426" s="182"/>
    </row>
    <row r="427" spans="2:3" ht="15">
      <c r="B427" s="182"/>
      <c r="C427" s="182"/>
    </row>
    <row r="428" spans="2:3" ht="15">
      <c r="B428" s="182"/>
      <c r="C428" s="182"/>
    </row>
    <row r="429" spans="2:3" ht="15">
      <c r="B429" s="182"/>
      <c r="C429" s="182"/>
    </row>
    <row r="430" spans="2:3" ht="15">
      <c r="B430" s="182"/>
      <c r="C430" s="182"/>
    </row>
    <row r="431" spans="2:3" ht="15">
      <c r="B431" s="182"/>
      <c r="C431" s="182"/>
    </row>
    <row r="432" spans="2:3" ht="15">
      <c r="B432" s="182"/>
      <c r="C432" s="182"/>
    </row>
    <row r="433" spans="2:3" ht="15">
      <c r="B433" s="182"/>
      <c r="C433" s="182"/>
    </row>
    <row r="434" spans="2:3" ht="15">
      <c r="B434" s="182"/>
      <c r="C434" s="182"/>
    </row>
    <row r="435" spans="2:3" ht="15">
      <c r="B435" s="182"/>
      <c r="C435" s="182"/>
    </row>
    <row r="436" spans="2:3" ht="15">
      <c r="B436" s="182"/>
      <c r="C436" s="182"/>
    </row>
    <row r="437" spans="2:3" ht="15">
      <c r="B437" s="182"/>
      <c r="C437" s="182"/>
    </row>
    <row r="438" spans="2:3" ht="15">
      <c r="B438" s="182"/>
      <c r="C438" s="182"/>
    </row>
    <row r="439" spans="2:3" ht="15">
      <c r="B439" s="182"/>
      <c r="C439" s="182"/>
    </row>
    <row r="440" spans="2:3" ht="15">
      <c r="B440" s="182"/>
      <c r="C440" s="182"/>
    </row>
    <row r="441" spans="2:3" ht="15">
      <c r="B441" s="182"/>
      <c r="C441" s="182"/>
    </row>
    <row r="442" spans="2:3" ht="15">
      <c r="B442" s="182"/>
      <c r="C442" s="182"/>
    </row>
    <row r="443" spans="2:3" ht="15">
      <c r="B443" s="182"/>
      <c r="C443" s="182"/>
    </row>
    <row r="444" spans="2:3" ht="15">
      <c r="B444" s="182"/>
      <c r="C444" s="182"/>
    </row>
    <row r="445" spans="2:3" ht="15">
      <c r="B445" s="182"/>
      <c r="C445" s="182"/>
    </row>
    <row r="446" spans="2:3" ht="15">
      <c r="B446" s="182"/>
      <c r="C446" s="182"/>
    </row>
    <row r="447" spans="2:3" ht="15">
      <c r="B447" s="182"/>
      <c r="C447" s="182"/>
    </row>
    <row r="448" spans="2:3" ht="15">
      <c r="B448" s="182"/>
      <c r="C448" s="182"/>
    </row>
    <row r="449" spans="2:3" ht="15">
      <c r="B449" s="182"/>
      <c r="C449" s="182"/>
    </row>
    <row r="450" spans="2:3" ht="15">
      <c r="B450" s="182"/>
      <c r="C450" s="182"/>
    </row>
    <row r="451" spans="2:3" ht="15">
      <c r="B451" s="182"/>
      <c r="C451" s="182"/>
    </row>
    <row r="452" spans="2:3" ht="15">
      <c r="B452" s="182"/>
      <c r="C452" s="182"/>
    </row>
    <row r="453" spans="2:3" ht="15">
      <c r="B453" s="182"/>
      <c r="C453" s="182"/>
    </row>
    <row r="454" spans="2:3" ht="15">
      <c r="B454" s="182"/>
      <c r="C454" s="182"/>
    </row>
    <row r="455" spans="2:3" ht="15">
      <c r="B455" s="182"/>
      <c r="C455" s="182"/>
    </row>
    <row r="456" spans="2:3" ht="15">
      <c r="B456" s="182"/>
      <c r="C456" s="182"/>
    </row>
    <row r="457" spans="2:3" ht="15">
      <c r="B457" s="182"/>
      <c r="C457" s="182"/>
    </row>
    <row r="458" spans="2:3" ht="15">
      <c r="B458" s="182"/>
      <c r="C458" s="182"/>
    </row>
    <row r="459" spans="2:3" ht="15">
      <c r="B459" s="182"/>
      <c r="C459" s="182"/>
    </row>
    <row r="460" spans="2:3" ht="15">
      <c r="B460" s="182"/>
      <c r="C460" s="182"/>
    </row>
    <row r="461" spans="2:3" ht="15">
      <c r="B461" s="182"/>
      <c r="C461" s="182"/>
    </row>
    <row r="462" spans="2:3" ht="15">
      <c r="B462" s="182"/>
      <c r="C462" s="182"/>
    </row>
    <row r="463" spans="2:3" ht="15">
      <c r="B463" s="182"/>
      <c r="C463" s="182"/>
    </row>
    <row r="464" spans="2:3" ht="15">
      <c r="B464" s="182"/>
      <c r="C464" s="182"/>
    </row>
    <row r="465" spans="2:3" ht="15">
      <c r="B465" s="182"/>
      <c r="C465" s="182"/>
    </row>
    <row r="466" spans="2:3" ht="15">
      <c r="B466" s="182"/>
      <c r="C466" s="182"/>
    </row>
    <row r="467" spans="2:3" ht="15">
      <c r="B467" s="182"/>
      <c r="C467" s="182"/>
    </row>
    <row r="468" spans="2:3" ht="15">
      <c r="B468" s="182"/>
      <c r="C468" s="182"/>
    </row>
    <row r="469" spans="2:3" ht="15">
      <c r="B469" s="182"/>
      <c r="C469" s="182"/>
    </row>
    <row r="470" spans="2:3" ht="15">
      <c r="B470" s="182"/>
      <c r="C470" s="182"/>
    </row>
    <row r="471" spans="2:3" ht="15">
      <c r="B471" s="182"/>
      <c r="C471" s="182"/>
    </row>
    <row r="472" spans="2:3" ht="15">
      <c r="B472" s="182"/>
      <c r="C472" s="182"/>
    </row>
    <row r="473" spans="2:3" ht="15">
      <c r="B473" s="182"/>
      <c r="C473" s="182"/>
    </row>
    <row r="474" spans="2:3" ht="15">
      <c r="B474" s="182"/>
      <c r="C474" s="182"/>
    </row>
    <row r="475" spans="2:3" ht="15">
      <c r="B475" s="182"/>
      <c r="C475" s="182"/>
    </row>
    <row r="476" spans="2:3" ht="15">
      <c r="B476" s="182"/>
      <c r="C476" s="182"/>
    </row>
    <row r="477" spans="2:3" ht="15">
      <c r="B477" s="182"/>
      <c r="C477" s="182"/>
    </row>
    <row r="478" spans="2:3" ht="15">
      <c r="B478" s="182"/>
      <c r="C478" s="182"/>
    </row>
    <row r="479" spans="2:3" ht="15">
      <c r="B479" s="182"/>
      <c r="C479" s="182"/>
    </row>
    <row r="480" spans="2:3" ht="15">
      <c r="B480" s="182"/>
      <c r="C480" s="182"/>
    </row>
    <row r="481" spans="2:3" ht="15">
      <c r="B481" s="182"/>
      <c r="C481" s="182"/>
    </row>
    <row r="482" spans="2:3" ht="15">
      <c r="B482" s="182"/>
      <c r="C482" s="182"/>
    </row>
    <row r="483" spans="2:3" ht="15">
      <c r="B483" s="182"/>
      <c r="C483" s="182"/>
    </row>
    <row r="484" spans="2:3" ht="15">
      <c r="B484" s="182"/>
      <c r="C484" s="182"/>
    </row>
    <row r="485" spans="2:3" ht="15">
      <c r="B485" s="182"/>
      <c r="C485" s="182"/>
    </row>
    <row r="486" spans="2:3" ht="15">
      <c r="B486" s="182"/>
      <c r="C486" s="182"/>
    </row>
    <row r="487" spans="2:3" ht="15">
      <c r="B487" s="182"/>
      <c r="C487" s="182"/>
    </row>
    <row r="488" spans="2:3" ht="15">
      <c r="B488" s="182"/>
      <c r="C488" s="182"/>
    </row>
    <row r="489" spans="2:3" ht="15">
      <c r="B489" s="182"/>
      <c r="C489" s="182"/>
    </row>
    <row r="490" spans="2:3" ht="15">
      <c r="B490" s="182"/>
      <c r="C490" s="182"/>
    </row>
    <row r="491" spans="2:3" ht="15">
      <c r="B491" s="182"/>
      <c r="C491" s="182"/>
    </row>
    <row r="492" spans="2:3" ht="15">
      <c r="B492" s="182"/>
      <c r="C492" s="182"/>
    </row>
    <row r="493" spans="2:3" ht="15">
      <c r="B493" s="182"/>
      <c r="C493" s="182"/>
    </row>
    <row r="494" spans="2:3" ht="15">
      <c r="B494" s="182"/>
      <c r="C494" s="182"/>
    </row>
    <row r="495" spans="2:3" ht="15">
      <c r="B495" s="182"/>
      <c r="C495" s="182"/>
    </row>
    <row r="496" spans="2:3" ht="15">
      <c r="B496" s="182"/>
      <c r="C496" s="182"/>
    </row>
    <row r="497" spans="2:3" ht="15">
      <c r="B497" s="182"/>
      <c r="C497" s="182"/>
    </row>
    <row r="498" spans="2:3" ht="15">
      <c r="B498" s="182"/>
      <c r="C498" s="182"/>
    </row>
    <row r="499" spans="2:3" ht="15">
      <c r="B499" s="182"/>
      <c r="C499" s="182"/>
    </row>
    <row r="500" spans="2:3" ht="15">
      <c r="B500" s="182"/>
      <c r="C500" s="182"/>
    </row>
    <row r="501" spans="2:3" ht="15">
      <c r="B501" s="182"/>
      <c r="C501" s="182"/>
    </row>
    <row r="502" spans="2:3" ht="15">
      <c r="B502" s="182"/>
      <c r="C502" s="182"/>
    </row>
    <row r="503" spans="2:3" ht="15">
      <c r="B503" s="182"/>
      <c r="C503" s="182"/>
    </row>
    <row r="504" spans="2:3" ht="15">
      <c r="B504" s="182"/>
      <c r="C504" s="182"/>
    </row>
    <row r="505" spans="2:3" ht="15">
      <c r="B505" s="182"/>
      <c r="C505" s="182"/>
    </row>
    <row r="506" spans="2:3" ht="15">
      <c r="B506" s="182"/>
      <c r="C506" s="182"/>
    </row>
    <row r="507" spans="2:3" ht="15">
      <c r="B507" s="182"/>
      <c r="C507" s="182"/>
    </row>
    <row r="508" spans="2:3" ht="15">
      <c r="B508" s="182"/>
      <c r="C508" s="182"/>
    </row>
    <row r="509" spans="2:3" ht="15">
      <c r="B509" s="182"/>
      <c r="C509" s="182"/>
    </row>
    <row r="510" spans="2:3" ht="15">
      <c r="B510" s="182"/>
      <c r="C510" s="182"/>
    </row>
    <row r="511" spans="2:3" ht="15">
      <c r="B511" s="182"/>
      <c r="C511" s="182"/>
    </row>
    <row r="512" spans="2:3" ht="15">
      <c r="B512" s="182"/>
      <c r="C512" s="182"/>
    </row>
    <row r="513" spans="2:3" ht="15">
      <c r="B513" s="182"/>
      <c r="C513" s="182"/>
    </row>
    <row r="514" spans="2:3" ht="15">
      <c r="B514" s="182"/>
      <c r="C514" s="182"/>
    </row>
    <row r="515" spans="2:3" ht="15">
      <c r="B515" s="182"/>
      <c r="C515" s="182"/>
    </row>
    <row r="516" spans="2:3" ht="15">
      <c r="B516" s="182"/>
      <c r="C516" s="182"/>
    </row>
    <row r="517" spans="2:3" ht="15">
      <c r="B517" s="182"/>
      <c r="C517" s="182"/>
    </row>
    <row r="518" spans="2:3" ht="15">
      <c r="B518" s="182"/>
      <c r="C518" s="182"/>
    </row>
    <row r="519" spans="2:3" ht="15">
      <c r="B519" s="182"/>
      <c r="C519" s="182"/>
    </row>
    <row r="520" spans="2:3" ht="15">
      <c r="B520" s="182"/>
      <c r="C520" s="182"/>
    </row>
    <row r="521" spans="2:3" ht="15">
      <c r="B521" s="182"/>
      <c r="C521" s="182"/>
    </row>
    <row r="522" spans="2:3" ht="15">
      <c r="B522" s="182"/>
      <c r="C522" s="182"/>
    </row>
    <row r="523" spans="2:3" ht="15">
      <c r="B523" s="182"/>
      <c r="C523" s="182"/>
    </row>
    <row r="524" spans="2:3" ht="15">
      <c r="B524" s="182"/>
      <c r="C524" s="182"/>
    </row>
    <row r="525" spans="2:3" ht="15">
      <c r="B525" s="182"/>
      <c r="C525" s="182"/>
    </row>
    <row r="526" spans="2:3" ht="15">
      <c r="B526" s="182"/>
      <c r="C526" s="182"/>
    </row>
    <row r="527" spans="2:3" ht="15">
      <c r="B527" s="182"/>
      <c r="C527" s="182"/>
    </row>
    <row r="528" spans="2:3" ht="15">
      <c r="B528" s="182"/>
      <c r="C528" s="182"/>
    </row>
    <row r="529" spans="2:3" ht="15">
      <c r="B529" s="182"/>
      <c r="C529" s="182"/>
    </row>
    <row r="530" spans="2:3" ht="15">
      <c r="B530" s="182"/>
      <c r="C530" s="182"/>
    </row>
    <row r="531" spans="2:3" ht="15">
      <c r="B531" s="182"/>
      <c r="C531" s="182"/>
    </row>
    <row r="532" spans="2:3" ht="15">
      <c r="B532" s="182"/>
      <c r="C532" s="182"/>
    </row>
    <row r="533" spans="2:3" ht="15">
      <c r="B533" s="182"/>
      <c r="C533" s="182"/>
    </row>
    <row r="534" spans="2:3" ht="15">
      <c r="B534" s="182"/>
      <c r="C534" s="182"/>
    </row>
    <row r="535" spans="2:3" ht="15">
      <c r="B535" s="182"/>
      <c r="C535" s="182"/>
    </row>
    <row r="536" spans="2:3" ht="15">
      <c r="B536" s="182"/>
      <c r="C536" s="182"/>
    </row>
    <row r="537" spans="2:3" ht="15">
      <c r="B537" s="182"/>
      <c r="C537" s="182"/>
    </row>
    <row r="538" spans="2:3" ht="15">
      <c r="B538" s="182"/>
      <c r="C538" s="182"/>
    </row>
    <row r="539" spans="2:3" ht="15">
      <c r="B539" s="182"/>
      <c r="C539" s="182"/>
    </row>
    <row r="540" spans="2:3" ht="15">
      <c r="B540" s="182"/>
      <c r="C540" s="182"/>
    </row>
    <row r="541" spans="2:3" ht="15">
      <c r="B541" s="182"/>
      <c r="C541" s="182"/>
    </row>
  </sheetData>
  <sheetProtection/>
  <mergeCells count="6">
    <mergeCell ref="A5:I5"/>
    <mergeCell ref="A9:A11"/>
    <mergeCell ref="A1:I2"/>
    <mergeCell ref="A3:I3"/>
    <mergeCell ref="A4:I4"/>
    <mergeCell ref="A6:I8"/>
  </mergeCells>
  <printOptions horizontalCentered="1"/>
  <pageMargins left="0.3937007874015748" right="0.3937007874015748" top="0.2755905511811024" bottom="0.2755905511811024" header="0.2755905511811024" footer="0.2362204724409449"/>
  <pageSetup horizontalDpi="300" verticalDpi="300" orientation="portrait" scale="77" r:id="rId3"/>
  <rowBreaks count="1" manualBreakCount="1">
    <brk id="40" max="8" man="1"/>
  </rowBreaks>
  <legacyDrawing r:id="rId2"/>
</worksheet>
</file>

<file path=xl/worksheets/sheet10.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788" t="s">
        <v>88</v>
      </c>
      <c r="C5" s="96"/>
      <c r="D5" s="97"/>
      <c r="E5" s="98" t="s">
        <v>89</v>
      </c>
      <c r="F5" s="99" t="s">
        <v>90</v>
      </c>
      <c r="G5" s="100" t="s">
        <v>90</v>
      </c>
      <c r="H5" s="53" t="s">
        <v>91</v>
      </c>
      <c r="I5" s="101" t="s">
        <v>92</v>
      </c>
      <c r="J5" s="53" t="s">
        <v>93</v>
      </c>
      <c r="K5" s="786" t="s">
        <v>91</v>
      </c>
      <c r="L5" s="101" t="s">
        <v>94</v>
      </c>
      <c r="M5" s="101" t="s">
        <v>95</v>
      </c>
      <c r="N5" s="101" t="s">
        <v>96</v>
      </c>
      <c r="O5" s="53" t="s">
        <v>97</v>
      </c>
      <c r="P5" s="53" t="s">
        <v>98</v>
      </c>
      <c r="Q5" s="786" t="s">
        <v>99</v>
      </c>
      <c r="R5" s="786" t="s">
        <v>100</v>
      </c>
      <c r="S5" s="102" t="s">
        <v>101</v>
      </c>
      <c r="T5" s="101"/>
      <c r="U5" s="53">
        <v>0.12</v>
      </c>
      <c r="V5" s="53">
        <v>0.03</v>
      </c>
      <c r="W5" s="53">
        <v>0.02</v>
      </c>
      <c r="X5" s="53">
        <v>0.04</v>
      </c>
      <c r="Y5" s="53">
        <v>0.19397</v>
      </c>
      <c r="Z5" s="786" t="s">
        <v>38</v>
      </c>
      <c r="AA5" s="786" t="s">
        <v>102</v>
      </c>
      <c r="AB5" s="103" t="s">
        <v>103</v>
      </c>
      <c r="AC5" s="89" t="s">
        <v>104</v>
      </c>
      <c r="AD5" s="40" t="s">
        <v>105</v>
      </c>
      <c r="AE5" s="89" t="s">
        <v>104</v>
      </c>
      <c r="AF5" s="104"/>
      <c r="AG5" s="104"/>
      <c r="AH5" s="104"/>
      <c r="AI5" s="89" t="s">
        <v>103</v>
      </c>
    </row>
    <row r="6" spans="2:35" ht="15" thickBot="1">
      <c r="B6" s="789"/>
      <c r="C6" s="105"/>
      <c r="D6" s="105"/>
      <c r="E6" s="106" t="s">
        <v>106</v>
      </c>
      <c r="F6" s="106" t="s">
        <v>107</v>
      </c>
      <c r="G6" s="44" t="s">
        <v>109</v>
      </c>
      <c r="H6" s="44"/>
      <c r="I6" s="107"/>
      <c r="J6" s="44" t="s">
        <v>110</v>
      </c>
      <c r="K6" s="787"/>
      <c r="L6" s="107"/>
      <c r="M6" s="107"/>
      <c r="N6" s="44" t="s">
        <v>90</v>
      </c>
      <c r="O6" s="44"/>
      <c r="P6" s="44" t="s">
        <v>111</v>
      </c>
      <c r="Q6" s="787"/>
      <c r="R6" s="787"/>
      <c r="S6" s="44" t="s">
        <v>112</v>
      </c>
      <c r="T6" s="44" t="s">
        <v>113</v>
      </c>
      <c r="U6" s="44" t="s">
        <v>114</v>
      </c>
      <c r="V6" s="44" t="s">
        <v>115</v>
      </c>
      <c r="W6" s="44" t="s">
        <v>116</v>
      </c>
      <c r="X6" s="44" t="s">
        <v>117</v>
      </c>
      <c r="Y6" s="44" t="s">
        <v>118</v>
      </c>
      <c r="Z6" s="787"/>
      <c r="AA6" s="787"/>
      <c r="AB6" s="108">
        <v>2004</v>
      </c>
      <c r="AC6" s="41">
        <v>2004</v>
      </c>
      <c r="AD6" s="373">
        <v>0.05</v>
      </c>
      <c r="AE6" s="41">
        <v>2005</v>
      </c>
      <c r="AF6" s="34"/>
      <c r="AG6" s="34"/>
      <c r="AH6" s="34"/>
      <c r="AI6" s="41">
        <v>2005</v>
      </c>
    </row>
    <row r="7" spans="2:35" ht="15">
      <c r="B7" s="109" t="s">
        <v>156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216</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217</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218</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219</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120</v>
      </c>
      <c r="C14" s="116" t="s">
        <v>40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122</v>
      </c>
      <c r="C16" s="116" t="s">
        <v>40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123</v>
      </c>
      <c r="C17" s="116" t="s">
        <v>124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125</v>
      </c>
      <c r="C18" s="116" t="s">
        <v>40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220</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752" t="s">
        <v>28</v>
      </c>
      <c r="B1" s="752"/>
      <c r="C1" s="752"/>
      <c r="D1" s="752"/>
      <c r="E1" s="752"/>
      <c r="F1" s="93"/>
    </row>
    <row r="2" spans="1:6" ht="15">
      <c r="A2" s="752" t="s">
        <v>61</v>
      </c>
      <c r="B2" s="752"/>
      <c r="C2" s="752"/>
      <c r="D2" s="752"/>
      <c r="E2" s="752"/>
      <c r="F2" s="93"/>
    </row>
    <row r="3" spans="1:256" ht="15">
      <c r="A3" s="751" t="s">
        <v>62</v>
      </c>
      <c r="B3" s="751"/>
      <c r="C3" s="751"/>
      <c r="D3" s="751"/>
      <c r="E3" s="751"/>
      <c r="F3" s="93"/>
      <c r="G3" s="751"/>
      <c r="H3" s="751"/>
      <c r="I3" s="751"/>
      <c r="J3" s="751"/>
      <c r="K3" s="751"/>
      <c r="L3" s="184"/>
      <c r="M3" s="751"/>
      <c r="N3" s="751"/>
      <c r="O3" s="751"/>
      <c r="P3" s="751"/>
      <c r="Q3" s="751"/>
      <c r="R3" s="184"/>
      <c r="S3" s="751"/>
      <c r="T3" s="751"/>
      <c r="U3" s="751"/>
      <c r="V3" s="751"/>
      <c r="W3" s="751"/>
      <c r="X3" s="184"/>
      <c r="Y3" s="751"/>
      <c r="Z3" s="751"/>
      <c r="AA3" s="751"/>
      <c r="AB3" s="751"/>
      <c r="AC3" s="751"/>
      <c r="AD3" s="184"/>
      <c r="AE3" s="751"/>
      <c r="AF3" s="751"/>
      <c r="AG3" s="751"/>
      <c r="AH3" s="751"/>
      <c r="AI3" s="751"/>
      <c r="AJ3" s="184"/>
      <c r="AK3" s="751"/>
      <c r="AL3" s="751"/>
      <c r="AM3" s="751"/>
      <c r="AN3" s="751"/>
      <c r="AO3" s="751"/>
      <c r="AP3" s="184"/>
      <c r="AQ3" s="751"/>
      <c r="AR3" s="751"/>
      <c r="AS3" s="751"/>
      <c r="AT3" s="751"/>
      <c r="AU3" s="751"/>
      <c r="AV3" s="184"/>
      <c r="AW3" s="751"/>
      <c r="AX3" s="751"/>
      <c r="AY3" s="751"/>
      <c r="AZ3" s="751"/>
      <c r="BA3" s="751"/>
      <c r="BB3" s="184"/>
      <c r="BC3" s="751"/>
      <c r="BD3" s="751"/>
      <c r="BE3" s="751"/>
      <c r="BF3" s="751"/>
      <c r="BG3" s="751"/>
      <c r="BH3" s="184"/>
      <c r="BI3" s="751"/>
      <c r="BJ3" s="751"/>
      <c r="BK3" s="751"/>
      <c r="BL3" s="751"/>
      <c r="BM3" s="751"/>
      <c r="BN3" s="184"/>
      <c r="BO3" s="751"/>
      <c r="BP3" s="751"/>
      <c r="BQ3" s="751"/>
      <c r="BR3" s="751"/>
      <c r="BS3" s="751"/>
      <c r="BT3" s="184"/>
      <c r="BU3" s="751"/>
      <c r="BV3" s="751"/>
      <c r="BW3" s="751"/>
      <c r="BX3" s="751"/>
      <c r="BY3" s="751"/>
      <c r="BZ3" s="184"/>
      <c r="CA3" s="751"/>
      <c r="CB3" s="751"/>
      <c r="CC3" s="751"/>
      <c r="CD3" s="751"/>
      <c r="CE3" s="751"/>
      <c r="CF3" s="184"/>
      <c r="CG3" s="751"/>
      <c r="CH3" s="751"/>
      <c r="CI3" s="751"/>
      <c r="CJ3" s="751"/>
      <c r="CK3" s="751"/>
      <c r="CL3" s="184"/>
      <c r="CM3" s="751"/>
      <c r="CN3" s="751"/>
      <c r="CO3" s="751"/>
      <c r="CP3" s="751"/>
      <c r="CQ3" s="751"/>
      <c r="CR3" s="184"/>
      <c r="CS3" s="751"/>
      <c r="CT3" s="751"/>
      <c r="CU3" s="751"/>
      <c r="CV3" s="751"/>
      <c r="CW3" s="751"/>
      <c r="CX3" s="184"/>
      <c r="CY3" s="751"/>
      <c r="CZ3" s="751"/>
      <c r="DA3" s="751"/>
      <c r="DB3" s="751"/>
      <c r="DC3" s="751"/>
      <c r="DD3" s="184"/>
      <c r="DE3" s="751"/>
      <c r="DF3" s="751"/>
      <c r="DG3" s="751"/>
      <c r="DH3" s="751"/>
      <c r="DI3" s="751"/>
      <c r="DJ3" s="184"/>
      <c r="DK3" s="751"/>
      <c r="DL3" s="751"/>
      <c r="DM3" s="751"/>
      <c r="DN3" s="751"/>
      <c r="DO3" s="751"/>
      <c r="DP3" s="184"/>
      <c r="DQ3" s="751"/>
      <c r="DR3" s="751"/>
      <c r="DS3" s="751"/>
      <c r="DT3" s="751"/>
      <c r="DU3" s="751"/>
      <c r="DV3" s="184"/>
      <c r="DW3" s="751"/>
      <c r="DX3" s="751"/>
      <c r="DY3" s="751"/>
      <c r="DZ3" s="751"/>
      <c r="EA3" s="751"/>
      <c r="EB3" s="184"/>
      <c r="EC3" s="751"/>
      <c r="ED3" s="751"/>
      <c r="EE3" s="751"/>
      <c r="EF3" s="751"/>
      <c r="EG3" s="751"/>
      <c r="EH3" s="184"/>
      <c r="EI3" s="751"/>
      <c r="EJ3" s="751"/>
      <c r="EK3" s="751"/>
      <c r="EL3" s="751"/>
      <c r="EM3" s="751"/>
      <c r="EN3" s="184"/>
      <c r="EO3" s="751"/>
      <c r="EP3" s="751"/>
      <c r="EQ3" s="751"/>
      <c r="ER3" s="751"/>
      <c r="ES3" s="751"/>
      <c r="ET3" s="184"/>
      <c r="EU3" s="751"/>
      <c r="EV3" s="751"/>
      <c r="EW3" s="751"/>
      <c r="EX3" s="751"/>
      <c r="EY3" s="751"/>
      <c r="EZ3" s="184"/>
      <c r="FA3" s="751"/>
      <c r="FB3" s="751"/>
      <c r="FC3" s="751"/>
      <c r="FD3" s="751"/>
      <c r="FE3" s="751"/>
      <c r="FF3" s="184"/>
      <c r="FG3" s="751"/>
      <c r="FH3" s="751"/>
      <c r="FI3" s="751"/>
      <c r="FJ3" s="751"/>
      <c r="FK3" s="751"/>
      <c r="FL3" s="184"/>
      <c r="FM3" s="751"/>
      <c r="FN3" s="751"/>
      <c r="FO3" s="751"/>
      <c r="FP3" s="751"/>
      <c r="FQ3" s="751"/>
      <c r="FR3" s="184"/>
      <c r="FS3" s="751"/>
      <c r="FT3" s="751"/>
      <c r="FU3" s="751"/>
      <c r="FV3" s="751"/>
      <c r="FW3" s="751"/>
      <c r="FX3" s="184"/>
      <c r="FY3" s="751"/>
      <c r="FZ3" s="751"/>
      <c r="GA3" s="751"/>
      <c r="GB3" s="751"/>
      <c r="GC3" s="751"/>
      <c r="GD3" s="184"/>
      <c r="GE3" s="751"/>
      <c r="GF3" s="751"/>
      <c r="GG3" s="751"/>
      <c r="GH3" s="751"/>
      <c r="GI3" s="751"/>
      <c r="GJ3" s="184"/>
      <c r="GK3" s="751"/>
      <c r="GL3" s="751"/>
      <c r="GM3" s="751"/>
      <c r="GN3" s="751"/>
      <c r="GO3" s="751"/>
      <c r="GP3" s="184"/>
      <c r="GQ3" s="751"/>
      <c r="GR3" s="751"/>
      <c r="GS3" s="751"/>
      <c r="GT3" s="751"/>
      <c r="GU3" s="751"/>
      <c r="GV3" s="184"/>
      <c r="GW3" s="751"/>
      <c r="GX3" s="751"/>
      <c r="GY3" s="751"/>
      <c r="GZ3" s="751"/>
      <c r="HA3" s="751"/>
      <c r="HB3" s="184"/>
      <c r="HC3" s="751"/>
      <c r="HD3" s="751"/>
      <c r="HE3" s="751"/>
      <c r="HF3" s="751"/>
      <c r="HG3" s="751"/>
      <c r="HH3" s="184"/>
      <c r="HI3" s="751"/>
      <c r="HJ3" s="751"/>
      <c r="HK3" s="751"/>
      <c r="HL3" s="751"/>
      <c r="HM3" s="751"/>
      <c r="HN3" s="184"/>
      <c r="HO3" s="751"/>
      <c r="HP3" s="751"/>
      <c r="HQ3" s="751"/>
      <c r="HR3" s="751"/>
      <c r="HS3" s="751"/>
      <c r="HT3" s="184"/>
      <c r="HU3" s="751"/>
      <c r="HV3" s="751"/>
      <c r="HW3" s="751"/>
      <c r="HX3" s="751"/>
      <c r="HY3" s="751"/>
      <c r="HZ3" s="184"/>
      <c r="IA3" s="751"/>
      <c r="IB3" s="751"/>
      <c r="IC3" s="751"/>
      <c r="ID3" s="751"/>
      <c r="IE3" s="751"/>
      <c r="IF3" s="184"/>
      <c r="IG3" s="751"/>
      <c r="IH3" s="751"/>
      <c r="II3" s="751"/>
      <c r="IJ3" s="751"/>
      <c r="IK3" s="751"/>
      <c r="IL3" s="184"/>
      <c r="IM3" s="751"/>
      <c r="IN3" s="751"/>
      <c r="IO3" s="751"/>
      <c r="IP3" s="751"/>
      <c r="IQ3" s="751"/>
      <c r="IR3" s="184"/>
      <c r="IS3" s="751"/>
      <c r="IT3" s="751"/>
      <c r="IU3" s="751"/>
      <c r="IV3" s="751"/>
    </row>
    <row r="4" spans="1:6" s="2" customFormat="1" ht="15.75" thickBot="1">
      <c r="A4" s="753"/>
      <c r="B4" s="753"/>
      <c r="C4" s="753"/>
      <c r="D4" s="753"/>
      <c r="E4" s="753"/>
      <c r="F4" s="229"/>
    </row>
    <row r="5" spans="1:7" ht="50.25" customHeight="1" thickTop="1">
      <c r="A5" s="230" t="s">
        <v>39</v>
      </c>
      <c r="B5" s="239" t="s">
        <v>308</v>
      </c>
      <c r="C5" s="240" t="s">
        <v>309</v>
      </c>
      <c r="D5" s="231" t="s">
        <v>63</v>
      </c>
      <c r="E5" s="231" t="s">
        <v>35</v>
      </c>
      <c r="F5" s="231" t="s">
        <v>49</v>
      </c>
      <c r="G5" s="1"/>
    </row>
    <row r="6" spans="1:7" ht="12.75">
      <c r="A6" s="185"/>
      <c r="B6" s="31"/>
      <c r="C6" s="32"/>
      <c r="D6" s="32"/>
      <c r="E6" s="32"/>
      <c r="F6" s="33"/>
      <c r="G6" s="1"/>
    </row>
    <row r="7" spans="1:7" ht="14.25">
      <c r="A7" s="5" t="s">
        <v>29</v>
      </c>
      <c r="B7" s="5"/>
      <c r="C7" s="6" t="e">
        <f>+C8</f>
        <v>#REF!</v>
      </c>
      <c r="D7" s="6"/>
      <c r="E7" s="6" t="e">
        <f>+E8</f>
        <v>#REF!</v>
      </c>
      <c r="F7" s="7" t="e">
        <f>+E7/E62*100</f>
        <v>#REF!</v>
      </c>
      <c r="G7" s="1"/>
    </row>
    <row r="8" spans="1:7" ht="15">
      <c r="A8" s="8" t="s">
        <v>30</v>
      </c>
      <c r="B8" s="8"/>
      <c r="C8" s="9" t="e">
        <f>+HONTOTAL</f>
        <v>#REF!</v>
      </c>
      <c r="D8" s="9"/>
      <c r="E8" s="9" t="e">
        <f>+C8</f>
        <v>#REF!</v>
      </c>
      <c r="F8" s="10"/>
      <c r="G8" s="1"/>
    </row>
    <row r="9" spans="1:7" ht="15">
      <c r="A9" s="8"/>
      <c r="B9" s="8"/>
      <c r="C9" s="9"/>
      <c r="D9" s="11"/>
      <c r="E9" s="6"/>
      <c r="F9" s="12"/>
      <c r="G9" s="1"/>
    </row>
    <row r="10" spans="1:7" ht="15">
      <c r="A10" s="5" t="s">
        <v>31</v>
      </c>
      <c r="B10" s="5"/>
      <c r="C10" s="11"/>
      <c r="D10" s="11"/>
      <c r="E10" s="6" t="e">
        <f>SUM(E11:E24)</f>
        <v>#REF!</v>
      </c>
      <c r="F10" s="7" t="e">
        <f>+E10/E62*100</f>
        <v>#REF!</v>
      </c>
      <c r="G10" s="1"/>
    </row>
    <row r="11" spans="1:7" ht="15">
      <c r="A11" s="13" t="s">
        <v>51</v>
      </c>
      <c r="B11" s="8">
        <v>22930268</v>
      </c>
      <c r="C11" s="9" t="e">
        <f>+#REF!</f>
        <v>#REF!</v>
      </c>
      <c r="D11" s="14" t="e">
        <f>(C11-B11)/C11</f>
        <v>#REF!</v>
      </c>
      <c r="E11" s="9" t="e">
        <f>+SUM(C11:C11)</f>
        <v>#REF!</v>
      </c>
      <c r="F11" s="10" t="e">
        <f>(+E11/E62)*100</f>
        <v>#REF!</v>
      </c>
      <c r="G11" s="1"/>
    </row>
    <row r="12" spans="1:7" ht="15">
      <c r="A12" s="13" t="s">
        <v>52</v>
      </c>
      <c r="B12" s="8">
        <v>5600000</v>
      </c>
      <c r="C12" s="9" t="e">
        <f>+#REF!</f>
        <v>#REF!</v>
      </c>
      <c r="D12" s="14" t="e">
        <f aca="true" t="shared" si="0" ref="D12:D25">(C12-B12)/C12</f>
        <v>#REF!</v>
      </c>
      <c r="E12" s="9" t="e">
        <f>+SUM(C12:C12)</f>
        <v>#REF!</v>
      </c>
      <c r="F12" s="10" t="e">
        <f>+E12/E62*100</f>
        <v>#REF!</v>
      </c>
      <c r="G12" s="1"/>
    </row>
    <row r="13" spans="1:7" ht="15">
      <c r="A13" s="13" t="s">
        <v>53</v>
      </c>
      <c r="B13" s="8">
        <v>13482000</v>
      </c>
      <c r="C13" s="9" t="e">
        <f>+#REF!</f>
        <v>#REF!</v>
      </c>
      <c r="D13" s="302" t="e">
        <f t="shared" si="0"/>
        <v>#REF!</v>
      </c>
      <c r="E13" s="9" t="e">
        <f>+SUM(C13:C13)</f>
        <v>#REF!</v>
      </c>
      <c r="F13" s="10" t="e">
        <f>+E13/E62*100</f>
        <v>#REF!</v>
      </c>
      <c r="G13" s="1"/>
    </row>
    <row r="14" spans="1:7" ht="15">
      <c r="A14" s="13" t="s">
        <v>32</v>
      </c>
      <c r="B14" s="8">
        <v>14927652</v>
      </c>
      <c r="C14" s="9" t="e">
        <f>+#REF!</f>
        <v>#REF!</v>
      </c>
      <c r="D14" s="302" t="e">
        <f t="shared" si="0"/>
        <v>#REF!</v>
      </c>
      <c r="E14" s="9" t="e">
        <f>+#REF!</f>
        <v>#REF!</v>
      </c>
      <c r="F14" s="10" t="e">
        <f>+E14/E62*100</f>
        <v>#REF!</v>
      </c>
      <c r="G14" s="1"/>
    </row>
    <row r="15" spans="1:7" ht="15">
      <c r="A15" s="13" t="s">
        <v>54</v>
      </c>
      <c r="B15" s="8">
        <v>37500000</v>
      </c>
      <c r="C15" s="9" t="e">
        <f>+#REF!</f>
        <v>#REF!</v>
      </c>
      <c r="D15" s="302" t="e">
        <f t="shared" si="0"/>
        <v>#REF!</v>
      </c>
      <c r="E15" s="9" t="e">
        <f aca="true" t="shared" si="1" ref="E15:E24">+SUM(C15:C15)</f>
        <v>#REF!</v>
      </c>
      <c r="F15" s="10" t="e">
        <f>+E15/E62*100</f>
        <v>#REF!</v>
      </c>
      <c r="G15" s="1"/>
    </row>
    <row r="16" spans="1:7" ht="15">
      <c r="A16" s="13" t="s">
        <v>33</v>
      </c>
      <c r="B16" s="8">
        <v>24826333</v>
      </c>
      <c r="C16" s="9" t="e">
        <f>+#REF!</f>
        <v>#REF!</v>
      </c>
      <c r="D16" s="302" t="e">
        <f t="shared" si="0"/>
        <v>#REF!</v>
      </c>
      <c r="E16" s="9" t="e">
        <f t="shared" si="1"/>
        <v>#REF!</v>
      </c>
      <c r="F16" s="10" t="e">
        <f>+E16/E62*100</f>
        <v>#REF!</v>
      </c>
      <c r="G16" s="1"/>
    </row>
    <row r="17" spans="1:7" ht="15">
      <c r="A17" s="13" t="s">
        <v>55</v>
      </c>
      <c r="B17" s="8">
        <v>10566333</v>
      </c>
      <c r="C17" s="9" t="e">
        <f>+#REF!</f>
        <v>#REF!</v>
      </c>
      <c r="D17" s="302" t="e">
        <f t="shared" si="0"/>
        <v>#REF!</v>
      </c>
      <c r="E17" s="9" t="e">
        <f t="shared" si="1"/>
        <v>#REF!</v>
      </c>
      <c r="F17" s="10" t="e">
        <f>+E17/E62*100</f>
        <v>#REF!</v>
      </c>
      <c r="G17" s="1"/>
    </row>
    <row r="18" spans="1:7" ht="15">
      <c r="A18" s="13" t="s">
        <v>260</v>
      </c>
      <c r="B18" s="8">
        <v>19639000</v>
      </c>
      <c r="C18" s="9" t="e">
        <f>+#REF!</f>
        <v>#REF!</v>
      </c>
      <c r="D18" s="302" t="e">
        <f t="shared" si="0"/>
        <v>#REF!</v>
      </c>
      <c r="E18" s="9" t="e">
        <f t="shared" si="1"/>
        <v>#REF!</v>
      </c>
      <c r="F18" s="10" t="e">
        <f>+E18/E62*100</f>
        <v>#REF!</v>
      </c>
      <c r="G18" s="1"/>
    </row>
    <row r="19" spans="1:7" ht="15">
      <c r="A19" s="13" t="s">
        <v>34</v>
      </c>
      <c r="B19" s="8">
        <v>42000000</v>
      </c>
      <c r="C19" s="9" t="e">
        <f>+#REF!</f>
        <v>#REF!</v>
      </c>
      <c r="D19" s="302" t="e">
        <f t="shared" si="0"/>
        <v>#REF!</v>
      </c>
      <c r="E19" s="9" t="e">
        <f t="shared" si="1"/>
        <v>#REF!</v>
      </c>
      <c r="F19" s="10" t="e">
        <f>+E19/E62*100</f>
        <v>#REF!</v>
      </c>
      <c r="G19" s="1"/>
    </row>
    <row r="20" spans="1:7" ht="15">
      <c r="A20" s="13" t="s">
        <v>50</v>
      </c>
      <c r="B20" s="8">
        <v>2572500</v>
      </c>
      <c r="C20" s="9" t="e">
        <f>+#REF!</f>
        <v>#REF!</v>
      </c>
      <c r="D20" s="302" t="e">
        <f t="shared" si="0"/>
        <v>#REF!</v>
      </c>
      <c r="E20" s="9" t="e">
        <f t="shared" si="1"/>
        <v>#REF!</v>
      </c>
      <c r="F20" s="10" t="e">
        <f>+E20/E62*100</f>
        <v>#REF!</v>
      </c>
      <c r="G20" s="1"/>
    </row>
    <row r="21" spans="1:7" ht="15">
      <c r="A21" s="13" t="s">
        <v>56</v>
      </c>
      <c r="B21" s="8">
        <v>26582000</v>
      </c>
      <c r="C21" s="9" t="e">
        <f>+#REF!</f>
        <v>#REF!</v>
      </c>
      <c r="D21" s="302" t="e">
        <f t="shared" si="0"/>
        <v>#REF!</v>
      </c>
      <c r="E21" s="9" t="e">
        <f t="shared" si="1"/>
        <v>#REF!</v>
      </c>
      <c r="F21" s="10" t="e">
        <f>+E21/E62*100</f>
        <v>#REF!</v>
      </c>
      <c r="G21" s="1"/>
    </row>
    <row r="22" spans="1:7" ht="15">
      <c r="A22" s="13" t="s">
        <v>57</v>
      </c>
      <c r="B22" s="8">
        <v>6479251</v>
      </c>
      <c r="C22" s="9" t="e">
        <f>+#REF!</f>
        <v>#REF!</v>
      </c>
      <c r="D22" s="302" t="e">
        <f t="shared" si="0"/>
        <v>#REF!</v>
      </c>
      <c r="E22" s="9" t="e">
        <f t="shared" si="1"/>
        <v>#REF!</v>
      </c>
      <c r="F22" s="10" t="e">
        <f>+E22/E62*100</f>
        <v>#REF!</v>
      </c>
      <c r="G22" s="1"/>
    </row>
    <row r="23" spans="1:7" ht="15">
      <c r="A23" s="13" t="s">
        <v>58</v>
      </c>
      <c r="B23" s="8">
        <v>42800000</v>
      </c>
      <c r="C23" s="9" t="e">
        <f>+#REF!</f>
        <v>#REF!</v>
      </c>
      <c r="D23" s="302" t="e">
        <f t="shared" si="0"/>
        <v>#REF!</v>
      </c>
      <c r="E23" s="9" t="e">
        <f t="shared" si="1"/>
        <v>#REF!</v>
      </c>
      <c r="F23" s="10" t="e">
        <f>+E23/E62*100</f>
        <v>#REF!</v>
      </c>
      <c r="G23" s="1"/>
    </row>
    <row r="24" spans="1:7" ht="15">
      <c r="A24" s="13" t="s">
        <v>59</v>
      </c>
      <c r="B24" s="8">
        <v>11500000</v>
      </c>
      <c r="C24" s="9" t="e">
        <f>+#REF!</f>
        <v>#REF!</v>
      </c>
      <c r="D24" s="302" t="e">
        <f t="shared" si="0"/>
        <v>#REF!</v>
      </c>
      <c r="E24" s="9" t="e">
        <f t="shared" si="1"/>
        <v>#REF!</v>
      </c>
      <c r="F24" s="10" t="e">
        <f>+E24/E62*100</f>
        <v>#REF!</v>
      </c>
      <c r="G24" s="1"/>
    </row>
    <row r="25" spans="1:7" ht="14.25">
      <c r="A25" s="15" t="s">
        <v>38</v>
      </c>
      <c r="B25" s="16">
        <f>SUM(B11:B24)</f>
        <v>281405337</v>
      </c>
      <c r="C25" s="16" t="e">
        <f>SUM(C11:C24)</f>
        <v>#REF!</v>
      </c>
      <c r="D25" s="303" t="e">
        <f t="shared" si="0"/>
        <v>#REF!</v>
      </c>
      <c r="E25" s="16" t="e">
        <f>+E10+E7</f>
        <v>#REF!</v>
      </c>
      <c r="F25" s="17" t="e">
        <f>+F10+F7</f>
        <v>#REF!</v>
      </c>
      <c r="G25" s="1"/>
    </row>
    <row r="26" spans="1:7" ht="15">
      <c r="A26" s="11"/>
      <c r="B26" s="9"/>
      <c r="C26" s="11"/>
      <c r="D26" s="13"/>
      <c r="E26" s="11"/>
      <c r="F26" s="12"/>
      <c r="G26" s="1"/>
    </row>
    <row r="27" spans="1:7" ht="14.25">
      <c r="A27" s="15" t="s">
        <v>41</v>
      </c>
      <c r="B27" s="16"/>
      <c r="C27" s="15"/>
      <c r="D27" s="15"/>
      <c r="E27" s="16">
        <f>SUM(E29:E54)</f>
        <v>6362031836</v>
      </c>
      <c r="F27" s="17" t="e">
        <f>SUM(F29:F54)</f>
        <v>#REF!</v>
      </c>
      <c r="G27" s="1"/>
    </row>
    <row r="28" spans="1:7" ht="15">
      <c r="A28" s="11"/>
      <c r="B28" s="9"/>
      <c r="C28" s="11"/>
      <c r="D28" s="11"/>
      <c r="E28" s="9"/>
      <c r="F28" s="12"/>
      <c r="G28" s="1"/>
    </row>
    <row r="29" spans="1:7" ht="15">
      <c r="A29" s="26" t="s">
        <v>60</v>
      </c>
      <c r="B29" s="5"/>
      <c r="C29" s="18">
        <f>+'Inversión total en programas'!B29</f>
        <v>145800000</v>
      </c>
      <c r="D29" s="18"/>
      <c r="E29" s="6">
        <f>+C29</f>
        <v>145800000</v>
      </c>
      <c r="F29" s="10" t="e">
        <f>+E29/E62*100</f>
        <v>#REF!</v>
      </c>
      <c r="G29" s="1"/>
    </row>
    <row r="30" spans="1:7" ht="15">
      <c r="A30" s="25" t="s">
        <v>64</v>
      </c>
      <c r="B30" s="27"/>
      <c r="C30" s="18">
        <f>+'Inversión total en programas'!B36</f>
        <v>3826475436</v>
      </c>
      <c r="D30" s="18"/>
      <c r="E30" s="6">
        <f>+C30</f>
        <v>3826475436</v>
      </c>
      <c r="F30" s="10" t="e">
        <f>+E30/E62*100</f>
        <v>#REF!</v>
      </c>
      <c r="G30" s="1"/>
    </row>
    <row r="31" spans="1:7" ht="15">
      <c r="A31" s="26" t="s">
        <v>42</v>
      </c>
      <c r="B31" s="5"/>
      <c r="C31" s="11"/>
      <c r="D31" s="11"/>
      <c r="E31" s="6">
        <f>SUM(C32:C35)</f>
        <v>412000000</v>
      </c>
      <c r="F31" s="19" t="e">
        <f>+E31/E62*100</f>
        <v>#REF!</v>
      </c>
      <c r="G31" s="1"/>
    </row>
    <row r="32" spans="1:7" ht="13.5" customHeight="1">
      <c r="A32" s="28" t="s">
        <v>83</v>
      </c>
      <c r="B32" s="8"/>
      <c r="C32" s="18">
        <f>+'Inversión total en programas'!B47</f>
        <v>50000000</v>
      </c>
      <c r="D32" s="18"/>
      <c r="E32" s="6"/>
      <c r="F32" s="12"/>
      <c r="G32" s="1"/>
    </row>
    <row r="33" spans="1:7" ht="15">
      <c r="A33" s="28" t="s">
        <v>257</v>
      </c>
      <c r="B33" s="8"/>
      <c r="C33" s="18">
        <f>+'Inversión total en programas'!B48</f>
        <v>86000000</v>
      </c>
      <c r="D33" s="18"/>
      <c r="E33" s="6"/>
      <c r="F33" s="12"/>
      <c r="G33" s="1"/>
    </row>
    <row r="34" spans="1:7" ht="15">
      <c r="A34" s="28" t="s">
        <v>256</v>
      </c>
      <c r="B34" s="8"/>
      <c r="C34" s="18">
        <f>+'Inversión total en programas'!B49</f>
        <v>236000000</v>
      </c>
      <c r="D34" s="18"/>
      <c r="E34" s="6"/>
      <c r="F34" s="12"/>
      <c r="G34" s="1"/>
    </row>
    <row r="35" spans="1:7" ht="15">
      <c r="A35" s="29" t="s">
        <v>85</v>
      </c>
      <c r="B35" s="30"/>
      <c r="C35" s="18">
        <v>40000000</v>
      </c>
      <c r="D35" s="18"/>
      <c r="E35" s="6"/>
      <c r="F35" s="12"/>
      <c r="G35" s="1"/>
    </row>
    <row r="36" spans="1:7" ht="15">
      <c r="A36" s="25" t="s">
        <v>310</v>
      </c>
      <c r="B36" s="27"/>
      <c r="C36" s="18"/>
      <c r="D36" s="18"/>
      <c r="E36" s="6">
        <f>SUM(C37:C40)</f>
        <v>769208400</v>
      </c>
      <c r="F36" s="10" t="e">
        <f>+E36/E62*100</f>
        <v>#REF!</v>
      </c>
      <c r="G36" s="1"/>
    </row>
    <row r="37" spans="1:7" ht="15">
      <c r="A37" s="29" t="s">
        <v>44</v>
      </c>
      <c r="B37" s="30"/>
      <c r="C37" s="18">
        <f>+'Inversión total en programas'!B56</f>
        <v>170000000</v>
      </c>
      <c r="D37" s="18"/>
      <c r="E37" s="9"/>
      <c r="F37" s="12"/>
      <c r="G37" s="1"/>
    </row>
    <row r="38" spans="1:7" ht="15">
      <c r="A38" s="29" t="s">
        <v>224</v>
      </c>
      <c r="B38" s="30"/>
      <c r="C38" s="18">
        <f>+'Inversión total en programas'!B57</f>
        <v>260000000</v>
      </c>
      <c r="D38" s="18"/>
      <c r="E38" s="9"/>
      <c r="F38" s="12"/>
      <c r="G38" s="1"/>
    </row>
    <row r="39" spans="1:7" ht="15">
      <c r="A39" s="29" t="s">
        <v>315</v>
      </c>
      <c r="B39" s="30"/>
      <c r="C39" s="18">
        <f>+'Inversión total en programas'!B58</f>
        <v>289208400</v>
      </c>
      <c r="D39" s="18"/>
      <c r="E39" s="9"/>
      <c r="F39" s="12"/>
      <c r="G39" s="1"/>
    </row>
    <row r="40" spans="1:7" ht="15">
      <c r="A40" s="29" t="s">
        <v>238</v>
      </c>
      <c r="B40" s="30"/>
      <c r="C40" s="18">
        <f>+'Inversión total en programas'!B59</f>
        <v>50000000</v>
      </c>
      <c r="D40" s="18"/>
      <c r="E40" s="9"/>
      <c r="F40" s="12"/>
      <c r="G40" s="1"/>
    </row>
    <row r="41" spans="1:7" ht="15">
      <c r="A41" s="25" t="s">
        <v>36</v>
      </c>
      <c r="B41" s="27"/>
      <c r="C41" s="18">
        <f>+'Inversión total en programas'!B66</f>
        <v>340000000</v>
      </c>
      <c r="D41" s="18"/>
      <c r="E41" s="6">
        <f>+C41</f>
        <v>340000000</v>
      </c>
      <c r="F41" s="10" t="e">
        <f>+E41/E62*100</f>
        <v>#REF!</v>
      </c>
      <c r="G41" s="1"/>
    </row>
    <row r="42" spans="1:7" ht="15">
      <c r="A42" s="25" t="s">
        <v>241</v>
      </c>
      <c r="B42" s="27"/>
      <c r="C42" s="18"/>
      <c r="D42" s="18"/>
      <c r="E42" s="6">
        <f>SUM(C43:C46)</f>
        <v>343548000</v>
      </c>
      <c r="F42" s="10" t="e">
        <f>+E42/E62*100</f>
        <v>#REF!</v>
      </c>
      <c r="G42" s="1"/>
    </row>
    <row r="43" spans="1:7" ht="15">
      <c r="A43" s="29" t="s">
        <v>244</v>
      </c>
      <c r="B43" s="30"/>
      <c r="C43" s="18">
        <v>129000000</v>
      </c>
      <c r="D43" s="18"/>
      <c r="E43" s="9"/>
      <c r="F43" s="12"/>
      <c r="G43" s="1"/>
    </row>
    <row r="44" spans="1:7" ht="15">
      <c r="A44" s="29" t="s">
        <v>258</v>
      </c>
      <c r="B44" s="30"/>
      <c r="C44" s="18">
        <f>+'Inversión total en programas'!B75</f>
        <v>74148000</v>
      </c>
      <c r="D44" s="18"/>
      <c r="E44" s="9"/>
      <c r="F44" s="12"/>
      <c r="G44" s="1"/>
    </row>
    <row r="45" spans="1:7" ht="15">
      <c r="A45" s="29" t="s">
        <v>67</v>
      </c>
      <c r="B45" s="30"/>
      <c r="C45" s="18">
        <f>+'Inversión total en programas'!B76</f>
        <v>130400000</v>
      </c>
      <c r="D45" s="18"/>
      <c r="E45" s="9"/>
      <c r="F45" s="12"/>
      <c r="G45" s="1"/>
    </row>
    <row r="46" spans="1:7" ht="15">
      <c r="A46" s="29" t="s">
        <v>242</v>
      </c>
      <c r="B46" s="30"/>
      <c r="C46" s="18">
        <f>+'Inversión total en programas'!B77</f>
        <v>10000000</v>
      </c>
      <c r="D46" s="18"/>
      <c r="E46" s="9"/>
      <c r="F46" s="12"/>
      <c r="G46" s="1"/>
    </row>
    <row r="47" spans="1:7" ht="15">
      <c r="A47" s="25" t="s">
        <v>37</v>
      </c>
      <c r="B47" s="27"/>
      <c r="C47" s="18"/>
      <c r="D47" s="18"/>
      <c r="E47" s="6">
        <f>SUM(C48:C52)</f>
        <v>452000000</v>
      </c>
      <c r="F47" s="10" t="e">
        <f>+E47/E62*100</f>
        <v>#REF!</v>
      </c>
      <c r="G47" s="1"/>
    </row>
    <row r="48" spans="1:7" ht="15">
      <c r="A48" s="29" t="s">
        <v>246</v>
      </c>
      <c r="B48" s="30"/>
      <c r="C48" s="18">
        <f>+'Inversión total en programas'!B83</f>
        <v>220000000</v>
      </c>
      <c r="D48" s="18"/>
      <c r="E48" s="9"/>
      <c r="F48" s="12"/>
      <c r="G48" s="1"/>
    </row>
    <row r="49" spans="1:7" ht="15">
      <c r="A49" s="29" t="s">
        <v>69</v>
      </c>
      <c r="B49" s="30"/>
      <c r="C49" s="18">
        <f>+'Inversión total en programas'!B84</f>
        <v>55000000</v>
      </c>
      <c r="D49" s="18"/>
      <c r="E49" s="9"/>
      <c r="F49" s="12"/>
      <c r="G49" s="1"/>
    </row>
    <row r="50" spans="1:7" ht="15">
      <c r="A50" s="29" t="s">
        <v>70</v>
      </c>
      <c r="B50" s="30"/>
      <c r="C50" s="18">
        <f>+'Inversión total en programas'!B85</f>
        <v>30000000</v>
      </c>
      <c r="D50" s="18"/>
      <c r="E50" s="9"/>
      <c r="F50" s="12"/>
      <c r="G50" s="1"/>
    </row>
    <row r="51" spans="1:7" ht="15">
      <c r="A51" s="29" t="s">
        <v>247</v>
      </c>
      <c r="B51" s="30"/>
      <c r="C51" s="18">
        <f>+'Inversión total en programas'!B86</f>
        <v>117000000</v>
      </c>
      <c r="D51" s="18"/>
      <c r="E51" s="9"/>
      <c r="F51" s="12"/>
      <c r="G51" s="1"/>
    </row>
    <row r="52" spans="1:7" ht="15">
      <c r="A52" s="374" t="s">
        <v>252</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251</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227</v>
      </c>
      <c r="B56" s="27"/>
      <c r="C56" s="18">
        <f>+'Inversión total en programas'!B99</f>
        <v>751974537.8590117</v>
      </c>
      <c r="D56" s="18"/>
      <c r="E56" s="6">
        <v>445280000</v>
      </c>
      <c r="F56" s="10" t="e">
        <f>+E56/E62*100</f>
        <v>#REF!</v>
      </c>
      <c r="G56" s="1"/>
    </row>
    <row r="57" spans="1:7" ht="15">
      <c r="A57" s="25"/>
      <c r="B57" s="27"/>
      <c r="C57" s="18"/>
      <c r="D57" s="18"/>
      <c r="E57" s="6"/>
      <c r="F57" s="7"/>
      <c r="G57" s="1"/>
    </row>
    <row r="58" spans="1:7" ht="15">
      <c r="A58" s="233" t="s">
        <v>306</v>
      </c>
      <c r="B58" s="27"/>
      <c r="C58" s="18"/>
      <c r="D58" s="18"/>
      <c r="E58" s="6" t="e">
        <f>+#REF!</f>
        <v>#REF!</v>
      </c>
      <c r="F58" s="7"/>
      <c r="G58" s="1"/>
    </row>
    <row r="59" spans="1:7" ht="15">
      <c r="A59" s="227" t="s">
        <v>291</v>
      </c>
      <c r="B59" s="27"/>
      <c r="C59" s="18" t="e">
        <f>+#REF!</f>
        <v>#REF!</v>
      </c>
      <c r="D59" s="18"/>
      <c r="E59" s="6"/>
      <c r="F59" s="7"/>
      <c r="G59" s="1"/>
    </row>
    <row r="60" spans="1:7" ht="15">
      <c r="A60" s="228" t="s">
        <v>282</v>
      </c>
      <c r="B60" s="27"/>
      <c r="C60" s="18" t="e">
        <f>+#REF!</f>
        <v>#REF!</v>
      </c>
      <c r="D60" s="18"/>
      <c r="E60" s="6"/>
      <c r="F60" s="7"/>
      <c r="G60" s="1"/>
    </row>
    <row r="61" spans="1:7" ht="15">
      <c r="A61" s="11"/>
      <c r="B61" s="9"/>
      <c r="C61" s="11"/>
      <c r="D61" s="11"/>
      <c r="E61" s="11"/>
      <c r="F61" s="12"/>
      <c r="G61" s="1"/>
    </row>
    <row r="62" spans="1:7" ht="15">
      <c r="A62" s="15" t="s">
        <v>48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2"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4:E4"/>
    <mergeCell ref="A3:E3"/>
    <mergeCell ref="G3:K3"/>
    <mergeCell ref="M3:Q3"/>
    <mergeCell ref="BC3:BG3"/>
    <mergeCell ref="BI3:BM3"/>
    <mergeCell ref="AE3:AI3"/>
    <mergeCell ref="AK3:AO3"/>
    <mergeCell ref="AQ3:AU3"/>
    <mergeCell ref="AW3:BA3"/>
    <mergeCell ref="CA3:CE3"/>
    <mergeCell ref="CG3:CK3"/>
    <mergeCell ref="BO3:BS3"/>
    <mergeCell ref="BU3:BY3"/>
    <mergeCell ref="A1:E1"/>
    <mergeCell ref="A2:E2"/>
    <mergeCell ref="S3:W3"/>
    <mergeCell ref="Y3:AC3"/>
    <mergeCell ref="CM3:CQ3"/>
    <mergeCell ref="CS3:CW3"/>
    <mergeCell ref="CY3:DC3"/>
    <mergeCell ref="DE3:DI3"/>
    <mergeCell ref="DW3:EA3"/>
    <mergeCell ref="EC3:EG3"/>
    <mergeCell ref="DK3:DO3"/>
    <mergeCell ref="DQ3:DU3"/>
    <mergeCell ref="EU3:EY3"/>
    <mergeCell ref="FA3:FE3"/>
    <mergeCell ref="GE3:GI3"/>
    <mergeCell ref="GK3:GO3"/>
    <mergeCell ref="EI3:EM3"/>
    <mergeCell ref="EO3:ES3"/>
    <mergeCell ref="GQ3:GU3"/>
    <mergeCell ref="GW3:HA3"/>
    <mergeCell ref="FG3:FK3"/>
    <mergeCell ref="FM3:FQ3"/>
    <mergeCell ref="FS3:FW3"/>
    <mergeCell ref="FY3:GC3"/>
    <mergeCell ref="HC3:HG3"/>
    <mergeCell ref="HI3:HM3"/>
    <mergeCell ref="IM3:IQ3"/>
    <mergeCell ref="IS3:IV3"/>
    <mergeCell ref="HO3:HS3"/>
    <mergeCell ref="HU3:HY3"/>
    <mergeCell ref="IA3:IE3"/>
    <mergeCell ref="IG3:IK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9" customWidth="1"/>
    <col min="2" max="2" width="41.57421875" style="354" customWidth="1"/>
    <col min="3" max="3" width="14.00390625" style="354" customWidth="1"/>
    <col min="4" max="4" width="15.421875" style="354" customWidth="1"/>
    <col min="5" max="5" width="16.28125" style="354" customWidth="1"/>
    <col min="6" max="6" width="10.7109375" style="354" hidden="1" customWidth="1"/>
    <col min="7" max="7" width="15.00390625" style="307" customWidth="1"/>
    <col min="8" max="10" width="11.421875" style="308" customWidth="1"/>
    <col min="11" max="16384" width="11.421875" style="309" customWidth="1"/>
  </cols>
  <sheetData>
    <row r="1" spans="2:6" ht="12.75">
      <c r="B1" s="241" t="s">
        <v>65</v>
      </c>
      <c r="C1" s="242"/>
      <c r="D1" s="242"/>
      <c r="E1" s="242"/>
      <c r="F1" s="243"/>
    </row>
    <row r="2" spans="2:6" ht="12.75">
      <c r="B2" s="241" t="s">
        <v>317</v>
      </c>
      <c r="C2" s="242"/>
      <c r="D2" s="242"/>
      <c r="E2" s="242"/>
      <c r="F2" s="243"/>
    </row>
    <row r="3" spans="2:6" ht="12.75">
      <c r="B3" s="241" t="s">
        <v>318</v>
      </c>
      <c r="C3" s="242"/>
      <c r="D3" s="242"/>
      <c r="E3" s="242"/>
      <c r="F3" s="243"/>
    </row>
    <row r="4" spans="2:10" s="249" customFormat="1" ht="17.25" customHeight="1" thickBot="1">
      <c r="B4" s="244"/>
      <c r="C4" s="245"/>
      <c r="D4" s="245"/>
      <c r="E4" s="245"/>
      <c r="F4" s="246"/>
      <c r="G4" s="247"/>
      <c r="H4" s="248"/>
      <c r="I4" s="248"/>
      <c r="J4" s="248"/>
    </row>
    <row r="5" spans="2:7" ht="13.5" thickBot="1">
      <c r="B5" s="310"/>
      <c r="C5" s="304" t="s">
        <v>288</v>
      </c>
      <c r="D5" s="305"/>
      <c r="E5" s="306"/>
      <c r="F5" s="250"/>
      <c r="G5" s="359">
        <v>2004</v>
      </c>
    </row>
    <row r="6" spans="2:7" ht="12.75">
      <c r="B6" s="251" t="s">
        <v>39</v>
      </c>
      <c r="C6" s="252" t="s">
        <v>272</v>
      </c>
      <c r="D6" s="252" t="s">
        <v>273</v>
      </c>
      <c r="E6" s="252" t="s">
        <v>66</v>
      </c>
      <c r="F6" s="253" t="s">
        <v>228</v>
      </c>
      <c r="G6" s="357" t="s">
        <v>222</v>
      </c>
    </row>
    <row r="7" spans="2:7" ht="12.75">
      <c r="B7" s="251"/>
      <c r="C7" s="254" t="s">
        <v>266</v>
      </c>
      <c r="D7" s="254" t="s">
        <v>274</v>
      </c>
      <c r="E7" s="254" t="s">
        <v>288</v>
      </c>
      <c r="F7" s="255" t="s">
        <v>267</v>
      </c>
      <c r="G7" s="360" t="s">
        <v>221</v>
      </c>
    </row>
    <row r="8" spans="2:7" ht="13.5" thickBot="1">
      <c r="B8" s="256"/>
      <c r="C8" s="257"/>
      <c r="D8" s="257"/>
      <c r="E8" s="257"/>
      <c r="F8" s="256"/>
      <c r="G8" s="358"/>
    </row>
    <row r="9" spans="2:7" ht="12.75">
      <c r="B9" s="311" t="s">
        <v>29</v>
      </c>
      <c r="C9" s="312" t="e">
        <f>SUM(C10:C10)</f>
        <v>#REF!</v>
      </c>
      <c r="D9" s="312"/>
      <c r="E9" s="312" t="e">
        <f>SUM(E10:E10)</f>
        <v>#REF!</v>
      </c>
      <c r="F9" s="313" t="e">
        <f>+E9/E113</f>
        <v>#REF!</v>
      </c>
      <c r="G9" s="361"/>
    </row>
    <row r="10" spans="2:7" ht="12.75">
      <c r="B10" s="315" t="s">
        <v>72</v>
      </c>
      <c r="C10" s="316" t="e">
        <f>+'Inversión total en programas'!B7</f>
        <v>#REF!</v>
      </c>
      <c r="D10" s="316"/>
      <c r="E10" s="316" t="e">
        <f>SUM(C10:D10)</f>
        <v>#REF!</v>
      </c>
      <c r="F10" s="317" t="e">
        <f>+E10/E113</f>
        <v>#REF!</v>
      </c>
      <c r="G10" s="362"/>
    </row>
    <row r="11" spans="2:7" ht="12.75">
      <c r="B11" s="315"/>
      <c r="C11" s="316"/>
      <c r="D11" s="316"/>
      <c r="E11" s="316"/>
      <c r="F11" s="318"/>
      <c r="G11" s="356"/>
    </row>
    <row r="12" spans="2:7" ht="12.75">
      <c r="B12" s="319" t="s">
        <v>31</v>
      </c>
      <c r="C12" s="320">
        <f>SUM(C13:C26)</f>
        <v>304667803.38</v>
      </c>
      <c r="D12" s="320"/>
      <c r="E12" s="320">
        <f aca="true" t="shared" si="0" ref="E12:E26">SUM(C12:D12)</f>
        <v>304667803.38</v>
      </c>
      <c r="F12" s="321" t="e">
        <f>+E12/E113</f>
        <v>#REF!</v>
      </c>
      <c r="G12" s="356"/>
    </row>
    <row r="13" spans="2:7" ht="12.75">
      <c r="B13" s="315" t="s">
        <v>51</v>
      </c>
      <c r="C13" s="316">
        <f>+'Inversión total en programas'!B10</f>
        <v>21500000</v>
      </c>
      <c r="D13" s="316"/>
      <c r="E13" s="316">
        <f t="shared" si="0"/>
        <v>21500000</v>
      </c>
      <c r="F13" s="317" t="e">
        <f>+E13/E113</f>
        <v>#REF!</v>
      </c>
      <c r="G13" s="356"/>
    </row>
    <row r="14" spans="2:7" ht="12.75">
      <c r="B14" s="315" t="s">
        <v>52</v>
      </c>
      <c r="C14" s="316">
        <f>+'Inversión total en programas'!B11</f>
        <v>5924000</v>
      </c>
      <c r="D14" s="316"/>
      <c r="E14" s="316">
        <f t="shared" si="0"/>
        <v>5924000</v>
      </c>
      <c r="F14" s="317" t="e">
        <f>+E14/E113</f>
        <v>#REF!</v>
      </c>
      <c r="G14" s="356"/>
    </row>
    <row r="15" spans="2:7" ht="12.75">
      <c r="B15" s="315" t="s">
        <v>53</v>
      </c>
      <c r="C15" s="316">
        <f>+'Inversión total en programas'!B12</f>
        <v>15000000</v>
      </c>
      <c r="D15" s="316"/>
      <c r="E15" s="316">
        <f t="shared" si="0"/>
        <v>15000000</v>
      </c>
      <c r="F15" s="317" t="e">
        <f>+E15/E113</f>
        <v>#REF!</v>
      </c>
      <c r="G15" s="356"/>
    </row>
    <row r="16" spans="2:7" ht="12.75">
      <c r="B16" s="315" t="s">
        <v>32</v>
      </c>
      <c r="C16" s="316">
        <f>+'Inversión total en programas'!B13</f>
        <v>16571515</v>
      </c>
      <c r="D16" s="316"/>
      <c r="E16" s="316">
        <f t="shared" si="0"/>
        <v>16571515</v>
      </c>
      <c r="F16" s="317" t="e">
        <f>+E16/E113</f>
        <v>#REF!</v>
      </c>
      <c r="G16" s="356"/>
    </row>
    <row r="17" spans="2:7" ht="12.75">
      <c r="B17" s="315" t="s">
        <v>54</v>
      </c>
      <c r="C17" s="316">
        <f>+'Inversión total en programas'!B14</f>
        <v>33250000</v>
      </c>
      <c r="D17" s="316"/>
      <c r="E17" s="316">
        <f t="shared" si="0"/>
        <v>33250000</v>
      </c>
      <c r="F17" s="317" t="e">
        <f>+E17/E113</f>
        <v>#REF!</v>
      </c>
      <c r="G17" s="356"/>
    </row>
    <row r="18" spans="2:7" ht="12.75">
      <c r="B18" s="315" t="s">
        <v>33</v>
      </c>
      <c r="C18" s="316">
        <f>+'Inversión total en programas'!B15</f>
        <v>30729600</v>
      </c>
      <c r="D18" s="316"/>
      <c r="E18" s="316">
        <f t="shared" si="0"/>
        <v>30729600</v>
      </c>
      <c r="F18" s="317" t="e">
        <f>+E18/E113</f>
        <v>#REF!</v>
      </c>
      <c r="G18" s="356"/>
    </row>
    <row r="19" spans="2:7" ht="12.75">
      <c r="B19" s="315" t="s">
        <v>275</v>
      </c>
      <c r="C19" s="316">
        <f>+'Inversión total en programas'!B16</f>
        <v>8900000</v>
      </c>
      <c r="D19" s="316"/>
      <c r="E19" s="316">
        <f t="shared" si="0"/>
        <v>8900000</v>
      </c>
      <c r="F19" s="317" t="e">
        <f>+E19/E113</f>
        <v>#REF!</v>
      </c>
      <c r="G19" s="356"/>
    </row>
    <row r="20" spans="2:7" ht="12.75">
      <c r="B20" s="315" t="s">
        <v>260</v>
      </c>
      <c r="C20" s="316">
        <f>+'Inversión total en programas'!B17</f>
        <v>20000000</v>
      </c>
      <c r="D20" s="316"/>
      <c r="E20" s="316">
        <f t="shared" si="0"/>
        <v>20000000</v>
      </c>
      <c r="F20" s="317" t="e">
        <f>+E20/E113</f>
        <v>#REF!</v>
      </c>
      <c r="G20" s="362"/>
    </row>
    <row r="21" spans="2:7" ht="12.75">
      <c r="B21" s="315" t="s">
        <v>34</v>
      </c>
      <c r="C21" s="316">
        <f>+'Inversión total en programas'!B18</f>
        <v>42250000</v>
      </c>
      <c r="D21" s="316"/>
      <c r="E21" s="316">
        <f t="shared" si="0"/>
        <v>42250000</v>
      </c>
      <c r="F21" s="317" t="e">
        <f>+E21/E113</f>
        <v>#REF!</v>
      </c>
      <c r="G21" s="362"/>
    </row>
    <row r="22" spans="2:7" ht="12.75">
      <c r="B22" s="315" t="s">
        <v>50</v>
      </c>
      <c r="C22" s="316">
        <f>+'Inversión total en programas'!B19</f>
        <v>3032800</v>
      </c>
      <c r="D22" s="316"/>
      <c r="E22" s="316">
        <f t="shared" si="0"/>
        <v>3032800</v>
      </c>
      <c r="F22" s="317" t="e">
        <f>+E22/E113</f>
        <v>#REF!</v>
      </c>
      <c r="G22" s="362"/>
    </row>
    <row r="23" spans="2:7" ht="12.75">
      <c r="B23" s="315" t="s">
        <v>56</v>
      </c>
      <c r="C23" s="316">
        <f>+'Inversión total en programas'!B20</f>
        <v>26833000</v>
      </c>
      <c r="D23" s="316"/>
      <c r="E23" s="316">
        <f t="shared" si="0"/>
        <v>26833000</v>
      </c>
      <c r="F23" s="317" t="e">
        <f>+E23/E113</f>
        <v>#REF!</v>
      </c>
      <c r="G23" s="362"/>
    </row>
    <row r="24" spans="2:7" ht="12.75">
      <c r="B24" s="315" t="s">
        <v>57</v>
      </c>
      <c r="C24" s="316">
        <f>+'Inversión total en programas'!B21</f>
        <v>8900000</v>
      </c>
      <c r="D24" s="316"/>
      <c r="E24" s="316">
        <f t="shared" si="0"/>
        <v>8900000</v>
      </c>
      <c r="F24" s="317" t="e">
        <f>+E24/E113</f>
        <v>#REF!</v>
      </c>
      <c r="G24" s="362"/>
    </row>
    <row r="25" spans="2:7" ht="12.75">
      <c r="B25" s="315" t="s">
        <v>58</v>
      </c>
      <c r="C25" s="316">
        <f>+'Inversión total en programas'!B22</f>
        <v>60000000</v>
      </c>
      <c r="D25" s="316"/>
      <c r="E25" s="316">
        <f t="shared" si="0"/>
        <v>60000000</v>
      </c>
      <c r="F25" s="317" t="e">
        <f>+E25/E113</f>
        <v>#REF!</v>
      </c>
      <c r="G25" s="362"/>
    </row>
    <row r="26" spans="2:7" ht="12.75">
      <c r="B26" s="315" t="s">
        <v>276</v>
      </c>
      <c r="C26" s="316">
        <f>+'Inversión total en programas'!B23</f>
        <v>11776888.38</v>
      </c>
      <c r="D26" s="316"/>
      <c r="E26" s="316">
        <f t="shared" si="0"/>
        <v>11776888.38</v>
      </c>
      <c r="F26" s="317" t="e">
        <f>+E26/E113</f>
        <v>#REF!</v>
      </c>
      <c r="G26" s="362"/>
    </row>
    <row r="27" spans="2:7" ht="12.75">
      <c r="B27" s="315"/>
      <c r="C27" s="316"/>
      <c r="D27" s="316"/>
      <c r="E27" s="316"/>
      <c r="F27" s="318"/>
      <c r="G27" s="362"/>
    </row>
    <row r="28" spans="2:7" ht="12.75">
      <c r="B28" s="319" t="s">
        <v>41</v>
      </c>
      <c r="C28" s="320"/>
      <c r="D28" s="320" t="e">
        <f>+D30+D37+D47+D56+D67+D74+D83+D96</f>
        <v>#REF!</v>
      </c>
      <c r="E28" s="320" t="e">
        <f>SUM(C28:D28)</f>
        <v>#REF!</v>
      </c>
      <c r="F28" s="321" t="e">
        <f>+E28/E113</f>
        <v>#REF!</v>
      </c>
      <c r="G28" s="362"/>
    </row>
    <row r="29" spans="2:7" ht="12.75">
      <c r="B29" s="315"/>
      <c r="C29" s="316"/>
      <c r="D29" s="316"/>
      <c r="E29" s="316"/>
      <c r="F29" s="318"/>
      <c r="G29" s="362"/>
    </row>
    <row r="30" spans="2:7" ht="12.75">
      <c r="B30" s="319" t="s">
        <v>60</v>
      </c>
      <c r="C30" s="320"/>
      <c r="D30" s="320" t="e">
        <f>+D31+D35</f>
        <v>#REF!</v>
      </c>
      <c r="E30" s="320" t="e">
        <f>+D31+D35</f>
        <v>#REF!</v>
      </c>
      <c r="F30" s="321" t="e">
        <f>+E30/E113</f>
        <v>#REF!</v>
      </c>
      <c r="G30" s="363" t="e">
        <f>+G31+G35</f>
        <v>#REF!</v>
      </c>
    </row>
    <row r="31" spans="2:7" ht="12.75">
      <c r="B31" s="319" t="s">
        <v>73</v>
      </c>
      <c r="C31" s="320"/>
      <c r="D31" s="316">
        <f>+'Inversión total en programas'!B29</f>
        <v>145800000</v>
      </c>
      <c r="E31" s="320"/>
      <c r="F31" s="317" t="e">
        <f>+D31/E113</f>
        <v>#REF!</v>
      </c>
      <c r="G31" s="362">
        <v>132079041</v>
      </c>
    </row>
    <row r="32" spans="2:7" ht="12.75">
      <c r="B32" s="315" t="s">
        <v>74</v>
      </c>
      <c r="C32" s="320"/>
      <c r="D32" s="316" t="e">
        <f>+'Inversión total en programas'!B30</f>
        <v>#REF!</v>
      </c>
      <c r="E32" s="320"/>
      <c r="F32" s="317" t="e">
        <f>+D32/E113</f>
        <v>#REF!</v>
      </c>
      <c r="G32" s="362" t="e">
        <f>+#REF!</f>
        <v>#REF!</v>
      </c>
    </row>
    <row r="33" spans="2:7" ht="12.75">
      <c r="B33" s="315" t="s">
        <v>75</v>
      </c>
      <c r="C33" s="320"/>
      <c r="D33" s="316" t="e">
        <f>+'Inversión total en programas'!B31</f>
        <v>#REF!</v>
      </c>
      <c r="E33" s="320"/>
      <c r="F33" s="317" t="e">
        <f>+D33/E113</f>
        <v>#REF!</v>
      </c>
      <c r="G33" s="362" t="e">
        <f>+#REF!</f>
        <v>#REF!</v>
      </c>
    </row>
    <row r="34" spans="2:7" ht="12.75">
      <c r="B34" s="315" t="s">
        <v>277</v>
      </c>
      <c r="C34" s="320"/>
      <c r="D34" s="316" t="e">
        <f>+'Inversión total en programas'!B32</f>
        <v>#REF!</v>
      </c>
      <c r="E34" s="320"/>
      <c r="F34" s="317" t="e">
        <f>+D34/E113</f>
        <v>#REF!</v>
      </c>
      <c r="G34" s="362" t="e">
        <f>+#REF!</f>
        <v>#REF!</v>
      </c>
    </row>
    <row r="35" spans="2:7" ht="12.75">
      <c r="B35" s="319" t="s">
        <v>77</v>
      </c>
      <c r="C35" s="320"/>
      <c r="D35" s="316" t="e">
        <f>+'Inversión total en programas'!B33</f>
        <v>#REF!</v>
      </c>
      <c r="E35" s="320"/>
      <c r="F35" s="317" t="e">
        <f>+D35/E113</f>
        <v>#REF!</v>
      </c>
      <c r="G35" s="362" t="e">
        <f>SUM(G32:G34)</f>
        <v>#REF!</v>
      </c>
    </row>
    <row r="36" spans="2:7" ht="12.75">
      <c r="B36" s="319"/>
      <c r="C36" s="320"/>
      <c r="D36" s="316"/>
      <c r="E36" s="320"/>
      <c r="F36" s="321"/>
      <c r="G36" s="362"/>
    </row>
    <row r="37" spans="2:7" ht="12.75">
      <c r="B37" s="319" t="s">
        <v>64</v>
      </c>
      <c r="C37" s="320"/>
      <c r="D37" s="320" t="e">
        <f>+D38+D45</f>
        <v>#REF!</v>
      </c>
      <c r="E37" s="320" t="e">
        <f>+D38+D45</f>
        <v>#REF!</v>
      </c>
      <c r="F37" s="321" t="e">
        <f>+E37/E113</f>
        <v>#REF!</v>
      </c>
      <c r="G37" s="363" t="e">
        <f>+G38+G45</f>
        <v>#REF!</v>
      </c>
    </row>
    <row r="38" spans="2:7" ht="12.75">
      <c r="B38" s="322" t="s">
        <v>73</v>
      </c>
      <c r="C38" s="323"/>
      <c r="D38" s="316">
        <f>+'Inversión total en programas'!B36</f>
        <v>3826475436</v>
      </c>
      <c r="E38" s="320"/>
      <c r="F38" s="317" t="e">
        <f>+D38/E113</f>
        <v>#REF!</v>
      </c>
      <c r="G38" s="362">
        <v>3249918761</v>
      </c>
    </row>
    <row r="39" spans="2:7" ht="12.75">
      <c r="B39" s="324" t="s">
        <v>78</v>
      </c>
      <c r="C39" s="323"/>
      <c r="D39" s="316" t="e">
        <f>+'Inversión total en programas'!B37</f>
        <v>#REF!</v>
      </c>
      <c r="E39" s="320"/>
      <c r="F39" s="317" t="e">
        <f>+D39/E113</f>
        <v>#REF!</v>
      </c>
      <c r="G39" s="362" t="e">
        <f>+#REF!</f>
        <v>#REF!</v>
      </c>
    </row>
    <row r="40" spans="2:7" ht="12.75">
      <c r="B40" s="324" t="s">
        <v>74</v>
      </c>
      <c r="C40" s="323"/>
      <c r="D40" s="316" t="e">
        <f>+'Inversión total en programas'!B38</f>
        <v>#REF!</v>
      </c>
      <c r="E40" s="320"/>
      <c r="F40" s="317" t="e">
        <f>+D40/E113</f>
        <v>#REF!</v>
      </c>
      <c r="G40" s="362"/>
    </row>
    <row r="41" spans="2:7" ht="12.75">
      <c r="B41" s="324" t="s">
        <v>79</v>
      </c>
      <c r="C41" s="323"/>
      <c r="D41" s="316" t="e">
        <f>+'Inversión total en programas'!B39</f>
        <v>#REF!</v>
      </c>
      <c r="E41" s="320"/>
      <c r="F41" s="317" t="e">
        <f>+D41/E113</f>
        <v>#REF!</v>
      </c>
      <c r="G41" s="362" t="e">
        <f>+#REF!/2</f>
        <v>#REF!</v>
      </c>
    </row>
    <row r="42" spans="2:7" ht="12.75">
      <c r="B42" s="324" t="s">
        <v>80</v>
      </c>
      <c r="C42" s="323"/>
      <c r="D42" s="316" t="e">
        <f>+'Inversión total en programas'!B40</f>
        <v>#REF!</v>
      </c>
      <c r="E42" s="320"/>
      <c r="F42" s="317" t="e">
        <f>+D42/E113</f>
        <v>#REF!</v>
      </c>
      <c r="G42" s="362">
        <v>13976544</v>
      </c>
    </row>
    <row r="43" spans="2:7" ht="12.75">
      <c r="B43" s="324" t="s">
        <v>278</v>
      </c>
      <c r="C43" s="323"/>
      <c r="D43" s="316" t="e">
        <f>+'Inversión total en programas'!B41</f>
        <v>#REF!</v>
      </c>
      <c r="E43" s="320"/>
      <c r="F43" s="317" t="e">
        <f>+D43/E113</f>
        <v>#REF!</v>
      </c>
      <c r="G43" s="362" t="e">
        <f>+#REF!</f>
        <v>#REF!</v>
      </c>
    </row>
    <row r="44" spans="2:7" ht="12.75">
      <c r="B44" s="324" t="s">
        <v>82</v>
      </c>
      <c r="C44" s="323"/>
      <c r="D44" s="316" t="e">
        <f>+'Inversión total en programas'!B42</f>
        <v>#REF!</v>
      </c>
      <c r="E44" s="320"/>
      <c r="F44" s="317" t="e">
        <f>+D44/E113</f>
        <v>#REF!</v>
      </c>
      <c r="G44" s="362" t="e">
        <f>+#REF!</f>
        <v>#REF!</v>
      </c>
    </row>
    <row r="45" spans="2:7" ht="12.75">
      <c r="B45" s="322" t="s">
        <v>77</v>
      </c>
      <c r="C45" s="323"/>
      <c r="D45" s="316" t="e">
        <f>+'Inversión total en programas'!B43</f>
        <v>#REF!</v>
      </c>
      <c r="E45" s="320"/>
      <c r="F45" s="317" t="e">
        <f>+D45/E113</f>
        <v>#REF!</v>
      </c>
      <c r="G45" s="362" t="e">
        <f>SUM(G39:G44)</f>
        <v>#REF!</v>
      </c>
    </row>
    <row r="46" spans="2:7" ht="12.75">
      <c r="B46" s="322"/>
      <c r="C46" s="323"/>
      <c r="D46" s="316"/>
      <c r="E46" s="320"/>
      <c r="F46" s="321"/>
      <c r="G46" s="362"/>
    </row>
    <row r="47" spans="2:7" ht="12.75">
      <c r="B47" s="322" t="s">
        <v>42</v>
      </c>
      <c r="C47" s="323"/>
      <c r="D47" s="320" t="e">
        <f>+D48+D54</f>
        <v>#REF!</v>
      </c>
      <c r="E47" s="320" t="e">
        <f>+D48+D54</f>
        <v>#REF!</v>
      </c>
      <c r="F47" s="321" t="e">
        <f>+E47/E113</f>
        <v>#REF!</v>
      </c>
      <c r="G47" s="362"/>
    </row>
    <row r="48" spans="2:7" ht="12.75">
      <c r="B48" s="322" t="s">
        <v>73</v>
      </c>
      <c r="C48" s="323"/>
      <c r="D48" s="316">
        <f>+'Inversión total en programas'!B46</f>
        <v>372000000</v>
      </c>
      <c r="E48" s="320"/>
      <c r="F48" s="317" t="e">
        <f>+D48/E113</f>
        <v>#REF!</v>
      </c>
      <c r="G48" s="362"/>
    </row>
    <row r="49" spans="2:7" ht="12.75">
      <c r="B49" s="324" t="s">
        <v>83</v>
      </c>
      <c r="C49" s="323"/>
      <c r="D49" s="316">
        <f>+'Inversión total en programas'!B47</f>
        <v>50000000</v>
      </c>
      <c r="E49" s="320"/>
      <c r="F49" s="317" t="e">
        <f>+D49/E113</f>
        <v>#REF!</v>
      </c>
      <c r="G49" s="362"/>
    </row>
    <row r="50" spans="2:7" ht="12.75">
      <c r="B50" s="324" t="s">
        <v>84</v>
      </c>
      <c r="C50" s="323"/>
      <c r="D50" s="316">
        <f>+'Inversión total en programas'!B48</f>
        <v>86000000</v>
      </c>
      <c r="E50" s="320"/>
      <c r="F50" s="317" t="e">
        <f>+D50/E113</f>
        <v>#REF!</v>
      </c>
      <c r="G50" s="362"/>
    </row>
    <row r="51" spans="2:7" ht="12.75">
      <c r="B51" s="324" t="s">
        <v>256</v>
      </c>
      <c r="C51" s="323"/>
      <c r="D51" s="316">
        <f>+'Inversión total en programas'!B49</f>
        <v>236000000</v>
      </c>
      <c r="E51" s="320"/>
      <c r="F51" s="317" t="e">
        <f>+D51/E113</f>
        <v>#REF!</v>
      </c>
      <c r="G51" s="362"/>
    </row>
    <row r="52" spans="2:7" ht="12.75" hidden="1" outlineLevel="1">
      <c r="B52" s="324" t="s">
        <v>85</v>
      </c>
      <c r="C52" s="323"/>
      <c r="D52" s="316">
        <f>+'Inversión total en programas'!B50</f>
        <v>0</v>
      </c>
      <c r="E52" s="320"/>
      <c r="F52" s="317" t="e">
        <f>+D52/E113</f>
        <v>#REF!</v>
      </c>
      <c r="G52" s="362"/>
    </row>
    <row r="53" spans="2:7" ht="12.75" collapsed="1">
      <c r="B53" s="324" t="s">
        <v>74</v>
      </c>
      <c r="C53" s="323"/>
      <c r="D53" s="316" t="e">
        <f>+'Inversión total en programas'!B51</f>
        <v>#REF!</v>
      </c>
      <c r="E53" s="320"/>
      <c r="F53" s="317" t="e">
        <f>+D53/E113</f>
        <v>#REF!</v>
      </c>
      <c r="G53" s="362"/>
    </row>
    <row r="54" spans="2:7" ht="12.75">
      <c r="B54" s="319" t="s">
        <v>77</v>
      </c>
      <c r="C54" s="325"/>
      <c r="D54" s="316" t="e">
        <f>+'Inversión total en programas'!B52</f>
        <v>#REF!</v>
      </c>
      <c r="E54" s="316"/>
      <c r="F54" s="317" t="e">
        <f>+D54/E113</f>
        <v>#REF!</v>
      </c>
      <c r="G54" s="362"/>
    </row>
    <row r="55" spans="2:7" ht="12.75">
      <c r="B55" s="315"/>
      <c r="C55" s="325"/>
      <c r="D55" s="316"/>
      <c r="E55" s="316"/>
      <c r="F55" s="317"/>
      <c r="G55" s="362"/>
    </row>
    <row r="56" spans="2:7" ht="12.75">
      <c r="B56" s="319" t="s">
        <v>310</v>
      </c>
      <c r="C56" s="325"/>
      <c r="D56" s="320" t="e">
        <f>+D57+D65</f>
        <v>#REF!</v>
      </c>
      <c r="E56" s="320" t="e">
        <f>+D57+D65</f>
        <v>#REF!</v>
      </c>
      <c r="F56" s="321" t="e">
        <f>+E56/E113</f>
        <v>#REF!</v>
      </c>
      <c r="G56" s="362"/>
    </row>
    <row r="57" spans="2:7" ht="12.75">
      <c r="B57" s="319" t="s">
        <v>73</v>
      </c>
      <c r="C57" s="325"/>
      <c r="D57" s="316">
        <f>+'Inversión total en programas'!B55</f>
        <v>769208400</v>
      </c>
      <c r="E57" s="320"/>
      <c r="F57" s="317" t="e">
        <f>+D57/E113</f>
        <v>#REF!</v>
      </c>
      <c r="G57" s="362"/>
    </row>
    <row r="58" spans="2:7" ht="12.75">
      <c r="B58" s="324" t="s">
        <v>44</v>
      </c>
      <c r="C58" s="325"/>
      <c r="D58" s="316">
        <f>+'Inversión total en programas'!B56</f>
        <v>170000000</v>
      </c>
      <c r="E58" s="316"/>
      <c r="F58" s="317" t="e">
        <f>+D58/E113</f>
        <v>#REF!</v>
      </c>
      <c r="G58" s="362"/>
    </row>
    <row r="59" spans="2:7" ht="12.75">
      <c r="B59" s="324" t="s">
        <v>224</v>
      </c>
      <c r="C59" s="326"/>
      <c r="D59" s="316">
        <f>+'Inversión total en programas'!B57</f>
        <v>260000000</v>
      </c>
      <c r="E59" s="320"/>
      <c r="F59" s="317" t="e">
        <f>+D59/E113</f>
        <v>#REF!</v>
      </c>
      <c r="G59" s="362"/>
    </row>
    <row r="60" spans="2:7" ht="12.75">
      <c r="B60" s="324" t="s">
        <v>315</v>
      </c>
      <c r="C60" s="326"/>
      <c r="D60" s="316">
        <f>+'Inversión total en programas'!B58</f>
        <v>289208400</v>
      </c>
      <c r="E60" s="320"/>
      <c r="F60" s="317" t="e">
        <f>+D60/E113</f>
        <v>#REF!</v>
      </c>
      <c r="G60" s="362"/>
    </row>
    <row r="61" spans="2:7" ht="12.75">
      <c r="B61" s="324" t="s">
        <v>238</v>
      </c>
      <c r="C61" s="326"/>
      <c r="D61" s="316">
        <f>+'Inversión total en programas'!B59</f>
        <v>50000000</v>
      </c>
      <c r="E61" s="320"/>
      <c r="F61" s="317" t="e">
        <f>+D61/E113</f>
        <v>#REF!</v>
      </c>
      <c r="G61" s="362"/>
    </row>
    <row r="62" spans="2:7" ht="12.75">
      <c r="B62" s="315" t="s">
        <v>74</v>
      </c>
      <c r="C62" s="325"/>
      <c r="D62" s="316" t="e">
        <f>+'Inversión total en programas'!B60</f>
        <v>#REF!</v>
      </c>
      <c r="E62" s="316"/>
      <c r="F62" s="317" t="e">
        <f>+D62/E113</f>
        <v>#REF!</v>
      </c>
      <c r="G62" s="362"/>
    </row>
    <row r="63" spans="2:7" ht="12.75">
      <c r="B63" s="315" t="s">
        <v>316</v>
      </c>
      <c r="C63" s="325"/>
      <c r="D63" s="316" t="e">
        <f>+'Inversión total en programas'!B61</f>
        <v>#REF!</v>
      </c>
      <c r="E63" s="316"/>
      <c r="F63" s="317"/>
      <c r="G63" s="362">
        <f>1733333+1733333+1733333+4083400+4080816+2040408+2057471+2057471+1657471</f>
        <v>21177036</v>
      </c>
    </row>
    <row r="64" spans="2:7" ht="12.75">
      <c r="B64" s="315" t="s">
        <v>255</v>
      </c>
      <c r="C64" s="325"/>
      <c r="D64" s="316" t="e">
        <f>+'Inversión total en programas'!B62</f>
        <v>#REF!</v>
      </c>
      <c r="E64" s="316"/>
      <c r="F64" s="317"/>
      <c r="G64" s="362"/>
    </row>
    <row r="65" spans="2:7" ht="12.75">
      <c r="B65" s="322" t="s">
        <v>77</v>
      </c>
      <c r="C65" s="326"/>
      <c r="D65" s="316" t="e">
        <f>+'Inversión total en programas'!B63</f>
        <v>#REF!</v>
      </c>
      <c r="E65" s="320"/>
      <c r="F65" s="317" t="e">
        <f>+D65/E113</f>
        <v>#REF!</v>
      </c>
      <c r="G65" s="362">
        <f>+G63</f>
        <v>21177036</v>
      </c>
    </row>
    <row r="66" spans="2:7" ht="12.75">
      <c r="B66" s="315"/>
      <c r="C66" s="316"/>
      <c r="D66" s="316"/>
      <c r="E66" s="316"/>
      <c r="F66" s="318"/>
      <c r="G66" s="362"/>
    </row>
    <row r="67" spans="2:7" ht="12.75">
      <c r="B67" s="319" t="s">
        <v>36</v>
      </c>
      <c r="C67" s="316"/>
      <c r="D67" s="320" t="e">
        <f>+D68+D72</f>
        <v>#REF!</v>
      </c>
      <c r="E67" s="320" t="e">
        <f>+D68+D72</f>
        <v>#REF!</v>
      </c>
      <c r="F67" s="321" t="e">
        <f>+E67/E113</f>
        <v>#REF!</v>
      </c>
      <c r="G67" s="363" t="e">
        <f>+G68+G72</f>
        <v>#REF!</v>
      </c>
    </row>
    <row r="68" spans="2:7" ht="12.75">
      <c r="B68" s="322" t="s">
        <v>73</v>
      </c>
      <c r="C68" s="316"/>
      <c r="D68" s="327">
        <f>+'Inversión total en programas'!B66</f>
        <v>340000000</v>
      </c>
      <c r="E68" s="320"/>
      <c r="F68" s="317" t="e">
        <f>+D68/E113</f>
        <v>#REF!</v>
      </c>
      <c r="G68" s="362">
        <v>194637521</v>
      </c>
    </row>
    <row r="69" spans="2:7" ht="12.75">
      <c r="B69" s="315" t="s">
        <v>74</v>
      </c>
      <c r="C69" s="316"/>
      <c r="D69" s="325" t="e">
        <f>+'Inversión total en programas'!B67</f>
        <v>#REF!</v>
      </c>
      <c r="E69" s="316"/>
      <c r="F69" s="317" t="e">
        <f>+D69/E113</f>
        <v>#REF!</v>
      </c>
      <c r="G69" s="362" t="e">
        <f>+#REF!</f>
        <v>#REF!</v>
      </c>
    </row>
    <row r="70" spans="2:7" ht="12.75">
      <c r="B70" s="315" t="s">
        <v>239</v>
      </c>
      <c r="C70" s="316"/>
      <c r="D70" s="325" t="e">
        <f>+'Inversión total en programas'!B68</f>
        <v>#REF!</v>
      </c>
      <c r="E70" s="316"/>
      <c r="F70" s="317" t="e">
        <f>+D70/E113</f>
        <v>#REF!</v>
      </c>
      <c r="G70" s="362"/>
    </row>
    <row r="71" spans="2:7" ht="12.75">
      <c r="B71" s="315" t="s">
        <v>240</v>
      </c>
      <c r="C71" s="316"/>
      <c r="D71" s="325" t="e">
        <f>+'Inversión total en programas'!B69</f>
        <v>#REF!</v>
      </c>
      <c r="E71" s="316"/>
      <c r="F71" s="317" t="e">
        <f>+D71/E113</f>
        <v>#REF!</v>
      </c>
      <c r="G71" s="362"/>
    </row>
    <row r="72" spans="2:7" ht="12.75">
      <c r="B72" s="322" t="s">
        <v>77</v>
      </c>
      <c r="C72" s="316"/>
      <c r="D72" s="325" t="e">
        <f>+'Inversión total en programas'!B70</f>
        <v>#REF!</v>
      </c>
      <c r="E72" s="320"/>
      <c r="F72" s="317" t="e">
        <f>+D72/E113</f>
        <v>#REF!</v>
      </c>
      <c r="G72" s="364" t="e">
        <f>+G69</f>
        <v>#REF!</v>
      </c>
    </row>
    <row r="73" spans="2:7" ht="12.75">
      <c r="B73" s="315"/>
      <c r="C73" s="316"/>
      <c r="D73" s="325"/>
      <c r="E73" s="316"/>
      <c r="F73" s="317"/>
      <c r="G73" s="362"/>
    </row>
    <row r="74" spans="2:7" ht="12.75">
      <c r="B74" s="319" t="s">
        <v>241</v>
      </c>
      <c r="C74" s="316"/>
      <c r="D74" s="326" t="e">
        <f>+D75+D81</f>
        <v>#REF!</v>
      </c>
      <c r="E74" s="320" t="e">
        <f>+D75+D81</f>
        <v>#REF!</v>
      </c>
      <c r="F74" s="321" t="e">
        <f>+E74/E113</f>
        <v>#REF!</v>
      </c>
      <c r="G74" s="362"/>
    </row>
    <row r="75" spans="2:7" ht="12.75">
      <c r="B75" s="319" t="s">
        <v>73</v>
      </c>
      <c r="C75" s="316"/>
      <c r="D75" s="325">
        <f>+'Inversión total en programas'!B73</f>
        <v>472548000</v>
      </c>
      <c r="E75" s="320"/>
      <c r="F75" s="317" t="e">
        <f>+D75/E113</f>
        <v>#REF!</v>
      </c>
      <c r="G75" s="362"/>
    </row>
    <row r="76" spans="2:7" ht="12.75">
      <c r="B76" s="315" t="s">
        <v>244</v>
      </c>
      <c r="C76" s="328"/>
      <c r="D76" s="325">
        <f>+'Inversión total en programas'!B74</f>
        <v>258000000</v>
      </c>
      <c r="E76" s="328"/>
      <c r="F76" s="329" t="e">
        <f>+D76/E113</f>
        <v>#REF!</v>
      </c>
      <c r="G76" s="362"/>
    </row>
    <row r="77" spans="2:7" ht="12.75">
      <c r="B77" s="324" t="s">
        <v>245</v>
      </c>
      <c r="C77" s="316"/>
      <c r="D77" s="325">
        <f>+'Inversión total en programas'!B75</f>
        <v>74148000</v>
      </c>
      <c r="E77" s="320"/>
      <c r="F77" s="317" t="e">
        <f>+D77/E113</f>
        <v>#REF!</v>
      </c>
      <c r="G77" s="362"/>
    </row>
    <row r="78" spans="2:7" ht="12.75">
      <c r="B78" s="315" t="s">
        <v>289</v>
      </c>
      <c r="C78" s="316"/>
      <c r="D78" s="325">
        <f>+'Inversión total en programas'!B76</f>
        <v>130400000</v>
      </c>
      <c r="E78" s="316"/>
      <c r="F78" s="317" t="e">
        <f>+D78/E113</f>
        <v>#REF!</v>
      </c>
      <c r="G78" s="362"/>
    </row>
    <row r="79" spans="2:7" ht="12.75">
      <c r="B79" s="315" t="s">
        <v>242</v>
      </c>
      <c r="C79" s="316"/>
      <c r="D79" s="325">
        <f>+'Inversión total en programas'!B77</f>
        <v>10000000</v>
      </c>
      <c r="E79" s="316"/>
      <c r="F79" s="258" t="e">
        <f>+D79/E113</f>
        <v>#REF!</v>
      </c>
      <c r="G79" s="362"/>
    </row>
    <row r="80" spans="2:7" ht="12.75">
      <c r="B80" s="315" t="s">
        <v>243</v>
      </c>
      <c r="C80" s="316"/>
      <c r="D80" s="316" t="e">
        <f>+'Inversión total en programas'!B78</f>
        <v>#REF!</v>
      </c>
      <c r="E80" s="316"/>
      <c r="F80" s="258" t="e">
        <f>+D80/E113</f>
        <v>#REF!</v>
      </c>
      <c r="G80" s="362"/>
    </row>
    <row r="81" spans="2:7" ht="12.75">
      <c r="B81" s="319" t="s">
        <v>77</v>
      </c>
      <c r="C81" s="316"/>
      <c r="D81" s="316" t="e">
        <f>+'Inversión total en programas'!B79</f>
        <v>#REF!</v>
      </c>
      <c r="E81" s="320"/>
      <c r="F81" s="317" t="e">
        <f>+D81/E113</f>
        <v>#REF!</v>
      </c>
      <c r="G81" s="362"/>
    </row>
    <row r="82" spans="2:7" ht="12.75">
      <c r="B82" s="322"/>
      <c r="C82" s="316"/>
      <c r="D82" s="327"/>
      <c r="E82" s="320"/>
      <c r="F82" s="321"/>
      <c r="G82" s="362"/>
    </row>
    <row r="83" spans="2:7" ht="12.75">
      <c r="B83" s="322" t="s">
        <v>37</v>
      </c>
      <c r="C83" s="316"/>
      <c r="D83" s="323" t="e">
        <f>+D84+D93</f>
        <v>#REF!</v>
      </c>
      <c r="E83" s="320" t="e">
        <f>+D84+D93</f>
        <v>#REF!</v>
      </c>
      <c r="F83" s="321" t="e">
        <f>+E83/E113</f>
        <v>#REF!</v>
      </c>
      <c r="G83" s="363" t="e">
        <f>+G84+G93</f>
        <v>#REF!</v>
      </c>
    </row>
    <row r="84" spans="2:7" ht="12.75">
      <c r="B84" s="322" t="s">
        <v>73</v>
      </c>
      <c r="C84" s="316"/>
      <c r="D84" s="327">
        <f>SUM(D85:D89)</f>
        <v>452000000</v>
      </c>
      <c r="E84" s="320"/>
      <c r="F84" s="317" t="e">
        <f>+D84/E113</f>
        <v>#REF!</v>
      </c>
      <c r="G84" s="362">
        <v>291311426</v>
      </c>
    </row>
    <row r="85" spans="2:7" ht="12.75">
      <c r="B85" s="315" t="s">
        <v>246</v>
      </c>
      <c r="C85" s="316"/>
      <c r="D85" s="327">
        <f>+'Inversión total en programas'!B83</f>
        <v>220000000</v>
      </c>
      <c r="E85" s="316"/>
      <c r="F85" s="317" t="e">
        <f>+D85/E113</f>
        <v>#REF!</v>
      </c>
      <c r="G85" s="362"/>
    </row>
    <row r="86" spans="2:7" ht="12.75">
      <c r="B86" s="324" t="s">
        <v>69</v>
      </c>
      <c r="C86" s="316"/>
      <c r="D86" s="327">
        <f>+'Inversión total en programas'!B84</f>
        <v>55000000</v>
      </c>
      <c r="E86" s="320"/>
      <c r="F86" s="317" t="e">
        <f>+D86/E113</f>
        <v>#REF!</v>
      </c>
      <c r="G86" s="362"/>
    </row>
    <row r="87" spans="2:7" ht="12.75">
      <c r="B87" s="315" t="s">
        <v>70</v>
      </c>
      <c r="C87" s="316"/>
      <c r="D87" s="327">
        <f>+'Inversión total en programas'!B85</f>
        <v>30000000</v>
      </c>
      <c r="E87" s="316"/>
      <c r="F87" s="317" t="e">
        <f>+D87/E113</f>
        <v>#REF!</v>
      </c>
      <c r="G87" s="362"/>
    </row>
    <row r="88" spans="2:7" ht="12.75">
      <c r="B88" s="315" t="s">
        <v>247</v>
      </c>
      <c r="C88" s="316"/>
      <c r="D88" s="327">
        <f>+'Inversión total en programas'!B86</f>
        <v>117000000</v>
      </c>
      <c r="E88" s="316"/>
      <c r="F88" s="317" t="e">
        <f>+D88/E113</f>
        <v>#REF!</v>
      </c>
      <c r="G88" s="362"/>
    </row>
    <row r="89" spans="2:7" ht="12.75">
      <c r="B89" s="324" t="s">
        <v>279</v>
      </c>
      <c r="C89" s="316"/>
      <c r="D89" s="327">
        <f>+'Inversión total en programas'!B87</f>
        <v>30000000</v>
      </c>
      <c r="E89" s="320"/>
      <c r="F89" s="317" t="e">
        <f>+D89/E113</f>
        <v>#REF!</v>
      </c>
      <c r="G89" s="362"/>
    </row>
    <row r="90" spans="2:8" ht="12.75">
      <c r="B90" s="324" t="s">
        <v>248</v>
      </c>
      <c r="C90" s="316"/>
      <c r="D90" s="327" t="e">
        <f>+'Inversión total en programas'!B88</f>
        <v>#REF!</v>
      </c>
      <c r="E90" s="320"/>
      <c r="F90" s="317" t="e">
        <f>+D90/E113</f>
        <v>#REF!</v>
      </c>
      <c r="G90" s="362">
        <v>14882095</v>
      </c>
      <c r="H90" s="308" t="s">
        <v>319</v>
      </c>
    </row>
    <row r="91" spans="2:7" ht="12.75">
      <c r="B91" s="324" t="s">
        <v>281</v>
      </c>
      <c r="C91" s="316"/>
      <c r="D91" s="327" t="e">
        <f>+'Inversión total en programas'!B89</f>
        <v>#REF!</v>
      </c>
      <c r="E91" s="320"/>
      <c r="F91" s="317" t="e">
        <f>+D91/E113</f>
        <v>#REF!</v>
      </c>
      <c r="G91" s="362"/>
    </row>
    <row r="92" spans="2:7" ht="12.75">
      <c r="B92" s="324" t="s">
        <v>280</v>
      </c>
      <c r="C92" s="316"/>
      <c r="D92" s="327" t="e">
        <f>+'Inversión total en programas'!B90</f>
        <v>#REF!</v>
      </c>
      <c r="E92" s="320"/>
      <c r="F92" s="317" t="e">
        <f>+D92/E113</f>
        <v>#REF!</v>
      </c>
      <c r="G92" s="362" t="e">
        <f>+#REF!</f>
        <v>#REF!</v>
      </c>
    </row>
    <row r="93" spans="2:7" ht="12.75">
      <c r="B93" s="322" t="s">
        <v>77</v>
      </c>
      <c r="C93" s="316"/>
      <c r="D93" s="327" t="e">
        <f>+'Inversión total en programas'!B91</f>
        <v>#REF!</v>
      </c>
      <c r="E93" s="320"/>
      <c r="F93" s="317" t="e">
        <f>+D93/E113</f>
        <v>#REF!</v>
      </c>
      <c r="G93" s="362" t="e">
        <f>SUM(G85:G92)</f>
        <v>#REF!</v>
      </c>
    </row>
    <row r="94" spans="2:7" ht="12.75">
      <c r="B94" s="315"/>
      <c r="C94" s="316"/>
      <c r="D94" s="327"/>
      <c r="E94" s="316"/>
      <c r="F94" s="317"/>
      <c r="G94" s="362"/>
    </row>
    <row r="95" spans="2:7" ht="12.75">
      <c r="B95" s="322"/>
      <c r="C95" s="316"/>
      <c r="D95" s="323"/>
      <c r="E95" s="320"/>
      <c r="F95" s="317"/>
      <c r="G95" s="362"/>
    </row>
    <row r="96" spans="2:7" ht="12.75">
      <c r="B96" s="319" t="s">
        <v>251</v>
      </c>
      <c r="C96" s="316"/>
      <c r="D96" s="323" t="e">
        <f>+D97+D99</f>
        <v>#REF!</v>
      </c>
      <c r="E96" s="320" t="e">
        <f>+D97+D99</f>
        <v>#REF!</v>
      </c>
      <c r="F96" s="321" t="e">
        <f>+E96/E113</f>
        <v>#REF!</v>
      </c>
      <c r="G96" s="363" t="e">
        <f>+G97+G99</f>
        <v>#REF!</v>
      </c>
    </row>
    <row r="97" spans="2:7" ht="12.75">
      <c r="B97" s="319" t="s">
        <v>73</v>
      </c>
      <c r="C97" s="316"/>
      <c r="D97" s="327">
        <f>+'Inversión total en programas'!B95</f>
        <v>73000000</v>
      </c>
      <c r="E97" s="316"/>
      <c r="F97" s="317" t="e">
        <f>+D97/E113</f>
        <v>#REF!</v>
      </c>
      <c r="G97" s="362">
        <v>73568009</v>
      </c>
    </row>
    <row r="98" spans="2:7" ht="12.75">
      <c r="B98" s="324" t="s">
        <v>250</v>
      </c>
      <c r="C98" s="316"/>
      <c r="D98" s="327" t="e">
        <f>+'Inversión total en programas'!B96</f>
        <v>#REF!</v>
      </c>
      <c r="E98" s="320"/>
      <c r="F98" s="317" t="e">
        <f>+D98/E113</f>
        <v>#REF!</v>
      </c>
      <c r="G98" s="362" t="e">
        <f>+#REF!</f>
        <v>#REF!</v>
      </c>
    </row>
    <row r="99" spans="2:7" ht="12.75">
      <c r="B99" s="319" t="s">
        <v>77</v>
      </c>
      <c r="C99" s="316"/>
      <c r="D99" s="323" t="e">
        <f>+'Inversión total en programas'!B97</f>
        <v>#REF!</v>
      </c>
      <c r="E99" s="316"/>
      <c r="F99" s="317" t="e">
        <f>+D99/E113</f>
        <v>#REF!</v>
      </c>
      <c r="G99" s="362" t="e">
        <f>+G98</f>
        <v>#REF!</v>
      </c>
    </row>
    <row r="100" spans="2:7" ht="13.5" thickBot="1">
      <c r="B100" s="366"/>
      <c r="C100" s="367"/>
      <c r="D100" s="368"/>
      <c r="E100" s="367"/>
      <c r="F100" s="369"/>
      <c r="G100" s="362"/>
    </row>
    <row r="101" spans="2:7" ht="13.5" thickBot="1">
      <c r="B101" s="343" t="s">
        <v>268</v>
      </c>
      <c r="C101" s="344" t="e">
        <f>+C9+C12</f>
        <v>#REF!</v>
      </c>
      <c r="D101" s="344" t="e">
        <f>+D96+D83+D74+D67+D56+D47+D37+D30</f>
        <v>#REF!</v>
      </c>
      <c r="E101" s="344" t="e">
        <f>+E9+E12+E28</f>
        <v>#REF!</v>
      </c>
      <c r="F101" s="345" t="e">
        <f>+E101/E113</f>
        <v>#REF!</v>
      </c>
      <c r="G101" s="365"/>
    </row>
    <row r="102" spans="2:7" ht="12.75">
      <c r="B102" s="370"/>
      <c r="C102" s="371"/>
      <c r="D102" s="371"/>
      <c r="E102" s="371"/>
      <c r="F102" s="372"/>
      <c r="G102" s="362"/>
    </row>
    <row r="103" spans="2:7" ht="12.75">
      <c r="B103" s="319" t="s">
        <v>290</v>
      </c>
      <c r="C103" s="316"/>
      <c r="D103" s="316"/>
      <c r="E103" s="320">
        <f>+'Inversión total en programas'!C99</f>
        <v>751974537.8590117</v>
      </c>
      <c r="F103" s="321" t="e">
        <f>+E103/E113</f>
        <v>#REF!</v>
      </c>
      <c r="G103" s="362"/>
    </row>
    <row r="104" spans="2:7" ht="12.75">
      <c r="B104" s="315"/>
      <c r="C104" s="316"/>
      <c r="D104" s="316"/>
      <c r="E104" s="316"/>
      <c r="F104" s="318"/>
      <c r="G104" s="362"/>
    </row>
    <row r="105" spans="2:7" ht="12.75">
      <c r="B105" s="319" t="s">
        <v>269</v>
      </c>
      <c r="C105" s="316"/>
      <c r="D105" s="316"/>
      <c r="E105" s="316"/>
      <c r="F105" s="318"/>
      <c r="G105" s="362"/>
    </row>
    <row r="106" spans="2:7" ht="13.5" thickBot="1">
      <c r="B106" s="330"/>
      <c r="C106" s="331"/>
      <c r="D106" s="331"/>
      <c r="E106" s="331"/>
      <c r="F106" s="332"/>
      <c r="G106" s="362"/>
    </row>
    <row r="107" spans="2:7" ht="13.5" thickBot="1">
      <c r="B107" s="333" t="s">
        <v>270</v>
      </c>
      <c r="C107" s="334"/>
      <c r="D107" s="334"/>
      <c r="E107" s="334" t="e">
        <f>+E105+E103+E101</f>
        <v>#REF!</v>
      </c>
      <c r="F107" s="335" t="e">
        <f>+F103+F28+F12+F9</f>
        <v>#REF!</v>
      </c>
      <c r="G107" s="365"/>
    </row>
    <row r="108" spans="2:7" ht="12.75">
      <c r="B108" s="336"/>
      <c r="C108" s="337"/>
      <c r="D108" s="337"/>
      <c r="E108" s="337"/>
      <c r="F108" s="338"/>
      <c r="G108" s="362"/>
    </row>
    <row r="109" spans="2:7" ht="12.75">
      <c r="B109" s="319" t="s">
        <v>307</v>
      </c>
      <c r="C109" s="316"/>
      <c r="D109" s="316"/>
      <c r="E109" s="320" t="e">
        <f>+E110+E111</f>
        <v>#REF!</v>
      </c>
      <c r="F109" s="321" t="e">
        <f>+E109/$E$113</f>
        <v>#REF!</v>
      </c>
      <c r="G109" s="362"/>
    </row>
    <row r="110" spans="2:7" ht="12.75">
      <c r="B110" s="324" t="s">
        <v>291</v>
      </c>
      <c r="C110" s="316"/>
      <c r="D110" s="327"/>
      <c r="E110" s="316" t="e">
        <f>+SUPERAVIT2005_FNP</f>
        <v>#REF!</v>
      </c>
      <c r="F110" s="317" t="e">
        <f>+E110/$E$113</f>
        <v>#REF!</v>
      </c>
      <c r="G110" s="362"/>
    </row>
    <row r="111" spans="2:7" ht="12.75">
      <c r="B111" s="324" t="s">
        <v>282</v>
      </c>
      <c r="C111" s="316"/>
      <c r="D111" s="327"/>
      <c r="E111" s="316" t="e">
        <f>+SUPERAVITPPC_2005</f>
        <v>#REF!</v>
      </c>
      <c r="F111" s="317" t="e">
        <f>+E111/$E$113</f>
        <v>#REF!</v>
      </c>
      <c r="G111" s="362"/>
    </row>
    <row r="112" spans="2:7" ht="13.5" thickBot="1">
      <c r="B112" s="339"/>
      <c r="C112" s="340"/>
      <c r="D112" s="341"/>
      <c r="E112" s="340"/>
      <c r="F112" s="342"/>
      <c r="G112" s="362"/>
    </row>
    <row r="113" spans="2:7" ht="13.5" thickBot="1">
      <c r="B113" s="343" t="s">
        <v>271</v>
      </c>
      <c r="C113" s="344"/>
      <c r="D113" s="344"/>
      <c r="E113" s="344" t="e">
        <f>+E107+E109</f>
        <v>#REF!</v>
      </c>
      <c r="F113" s="345">
        <v>1</v>
      </c>
      <c r="G113" s="365"/>
    </row>
    <row r="114" spans="2:7" ht="15">
      <c r="B114" s="346"/>
      <c r="C114" s="347" t="s">
        <v>314</v>
      </c>
      <c r="D114" s="347"/>
      <c r="E114" s="347">
        <f>+'Anexo 1 Minagricultura'!D40</f>
        <v>16036317526.753788</v>
      </c>
      <c r="F114" s="346"/>
      <c r="G114" s="314"/>
    </row>
    <row r="115" spans="2:7" ht="15">
      <c r="B115" s="346"/>
      <c r="C115" s="347" t="s">
        <v>223</v>
      </c>
      <c r="D115" s="347"/>
      <c r="E115" s="347" t="e">
        <f>+E114-E113</f>
        <v>#REF!</v>
      </c>
      <c r="F115" s="346"/>
      <c r="G115" s="314"/>
    </row>
    <row r="116" spans="2:7" ht="15">
      <c r="B116" s="346"/>
      <c r="C116" s="347"/>
      <c r="D116" s="347"/>
      <c r="E116" s="347"/>
      <c r="F116" s="346"/>
      <c r="G116" s="314"/>
    </row>
    <row r="117" spans="2:7" ht="15">
      <c r="B117" s="346"/>
      <c r="C117" s="347"/>
      <c r="D117" s="347"/>
      <c r="E117" s="347"/>
      <c r="F117" s="346"/>
      <c r="G117" s="314"/>
    </row>
    <row r="118" spans="2:7" ht="15">
      <c r="B118" s="259" t="s">
        <v>295</v>
      </c>
      <c r="C118" s="348"/>
      <c r="D118" s="347"/>
      <c r="E118" s="347"/>
      <c r="F118" s="346"/>
      <c r="G118" s="314"/>
    </row>
    <row r="119" spans="2:7" ht="15">
      <c r="B119" s="349" t="s">
        <v>296</v>
      </c>
      <c r="C119" s="348"/>
      <c r="D119" s="347"/>
      <c r="E119" s="347"/>
      <c r="F119" s="346"/>
      <c r="G119" s="314"/>
    </row>
    <row r="120" spans="2:7" ht="12.75">
      <c r="B120" s="348" t="s">
        <v>225</v>
      </c>
      <c r="C120" s="350" t="e">
        <f>+#REF!</f>
        <v>#REF!</v>
      </c>
      <c r="D120" s="308"/>
      <c r="E120" s="308"/>
      <c r="F120" s="308"/>
      <c r="G120" s="314"/>
    </row>
    <row r="121" spans="2:7" ht="12.75">
      <c r="B121" s="259" t="s">
        <v>300</v>
      </c>
      <c r="C121" s="348" t="e">
        <f>+#REF!-#REF!</f>
        <v>#REF!</v>
      </c>
      <c r="D121" s="308"/>
      <c r="E121" s="308"/>
      <c r="F121" s="308"/>
      <c r="G121" s="314"/>
    </row>
    <row r="122" spans="2:7" ht="12.75">
      <c r="B122" s="259" t="s">
        <v>296</v>
      </c>
      <c r="C122" s="351">
        <f>+'Anexo 1 Minagricultura'!D15</f>
        <v>5639809033.942587</v>
      </c>
      <c r="D122" s="308"/>
      <c r="E122" s="308"/>
      <c r="F122" s="308"/>
      <c r="G122" s="314"/>
    </row>
    <row r="123" spans="2:7" ht="12.75">
      <c r="B123" s="348" t="s">
        <v>234</v>
      </c>
      <c r="C123" s="352">
        <f>+'Anexo 1 Minagricultura'!D29</f>
        <v>33000000</v>
      </c>
      <c r="D123" s="308"/>
      <c r="E123" s="308"/>
      <c r="F123" s="308"/>
      <c r="G123" s="314"/>
    </row>
    <row r="124" spans="2:7" ht="12.75">
      <c r="B124" s="348" t="s">
        <v>237</v>
      </c>
      <c r="C124" s="348" t="e">
        <f>+C123+C122+C121+C120</f>
        <v>#REF!</v>
      </c>
      <c r="D124" s="308"/>
      <c r="E124" s="308"/>
      <c r="F124" s="308"/>
      <c r="G124" s="314"/>
    </row>
    <row r="125" spans="2:7" ht="12.75">
      <c r="B125" s="348" t="s">
        <v>301</v>
      </c>
      <c r="C125" s="348"/>
      <c r="D125" s="308"/>
      <c r="E125" s="353"/>
      <c r="F125" s="308"/>
      <c r="G125" s="314"/>
    </row>
    <row r="126" spans="2:7" ht="12.75">
      <c r="B126" s="259" t="s">
        <v>305</v>
      </c>
      <c r="C126" s="352" t="e">
        <f>+#REF!-#REF!-#REF!</f>
        <v>#REF!</v>
      </c>
      <c r="D126" s="308"/>
      <c r="E126" s="353"/>
      <c r="F126" s="308"/>
      <c r="G126" s="314"/>
    </row>
    <row r="127" spans="2:7" ht="12.75">
      <c r="B127" s="348" t="s">
        <v>304</v>
      </c>
      <c r="C127" s="351" t="e">
        <f>+C124-C126</f>
        <v>#REF!</v>
      </c>
      <c r="D127" s="308"/>
      <c r="E127" s="353"/>
      <c r="F127" s="308"/>
      <c r="G127" s="314"/>
    </row>
    <row r="128" spans="2:7" ht="12.75">
      <c r="B128" s="348"/>
      <c r="C128" s="351"/>
      <c r="D128" s="308"/>
      <c r="E128" s="308"/>
      <c r="F128" s="308"/>
      <c r="G128" s="314"/>
    </row>
    <row r="129" spans="2:7" ht="12.75">
      <c r="B129" s="349" t="s">
        <v>297</v>
      </c>
      <c r="C129" s="348"/>
      <c r="F129" s="355"/>
      <c r="G129" s="314"/>
    </row>
    <row r="130" spans="2:7" ht="12.75">
      <c r="B130" s="348" t="s">
        <v>225</v>
      </c>
      <c r="C130" s="350" t="e">
        <f>+#REF!</f>
        <v>#REF!</v>
      </c>
      <c r="D130" s="355"/>
      <c r="G130" s="314"/>
    </row>
    <row r="131" spans="2:7" ht="12.75">
      <c r="B131" s="259" t="s">
        <v>300</v>
      </c>
      <c r="C131" s="348" t="e">
        <f>+#REF!</f>
        <v>#REF!</v>
      </c>
      <c r="D131" s="355"/>
      <c r="G131" s="314"/>
    </row>
    <row r="132" spans="2:7" ht="12.75">
      <c r="B132" s="259" t="s">
        <v>298</v>
      </c>
      <c r="C132" s="348">
        <f>+CUOTAPPC2005</f>
        <v>1879936344.6475291</v>
      </c>
      <c r="D132" s="355"/>
      <c r="G132" s="314"/>
    </row>
    <row r="133" spans="2:7" ht="12.75">
      <c r="B133" s="348" t="s">
        <v>299</v>
      </c>
      <c r="C133" s="352">
        <f>+VTAS2005</f>
        <v>3946232500</v>
      </c>
      <c r="G133" s="314"/>
    </row>
    <row r="134" spans="2:7" ht="12.75">
      <c r="B134" s="348" t="s">
        <v>237</v>
      </c>
      <c r="C134" s="348" t="e">
        <f>SUM(C130:C133)</f>
        <v>#REF!</v>
      </c>
      <c r="G134" s="314"/>
    </row>
    <row r="135" spans="2:7" ht="12.75">
      <c r="B135" s="348" t="s">
        <v>301</v>
      </c>
      <c r="C135" s="348"/>
      <c r="G135" s="314"/>
    </row>
    <row r="136" spans="2:7" ht="12.75">
      <c r="B136" s="348" t="s">
        <v>302</v>
      </c>
      <c r="C136" s="348" t="e">
        <f>+GTOSEPPC</f>
        <v>#REF!</v>
      </c>
      <c r="G136" s="314"/>
    </row>
    <row r="137" spans="2:7" ht="12.75">
      <c r="B137" s="348" t="s">
        <v>303</v>
      </c>
      <c r="C137" s="352">
        <f>DIAG_PPC</f>
        <v>117000000</v>
      </c>
      <c r="G137" s="314"/>
    </row>
    <row r="138" spans="2:7" ht="12.75">
      <c r="B138" s="348" t="s">
        <v>304</v>
      </c>
      <c r="C138" s="348" t="e">
        <f>+C134-C136-C137</f>
        <v>#REF!</v>
      </c>
      <c r="G138" s="314"/>
    </row>
    <row r="139" ht="12.75">
      <c r="G139" s="314"/>
    </row>
    <row r="140" ht="12.75">
      <c r="G140" s="314"/>
    </row>
    <row r="141" ht="12.75">
      <c r="G141" s="314"/>
    </row>
    <row r="142" ht="12.75">
      <c r="G142" s="314"/>
    </row>
    <row r="143" ht="12.75">
      <c r="G143" s="314"/>
    </row>
    <row r="144" ht="12.75">
      <c r="G144" s="314"/>
    </row>
    <row r="145" ht="12.75">
      <c r="G145" s="314"/>
    </row>
    <row r="146" ht="12.75">
      <c r="G146" s="314"/>
    </row>
    <row r="147" ht="12.75">
      <c r="G147" s="314"/>
    </row>
    <row r="148" ht="12.75">
      <c r="G148" s="314"/>
    </row>
    <row r="149" ht="12.75">
      <c r="G149" s="314"/>
    </row>
    <row r="150" ht="12.75">
      <c r="G150" s="314"/>
    </row>
    <row r="151" ht="12.75">
      <c r="G151" s="314"/>
    </row>
    <row r="152" ht="12.75">
      <c r="G152" s="314"/>
    </row>
    <row r="153" ht="12.75">
      <c r="G153" s="314"/>
    </row>
    <row r="154" ht="12.75">
      <c r="G154" s="314"/>
    </row>
    <row r="155" ht="12.75">
      <c r="G155" s="314"/>
    </row>
    <row r="156" ht="12.75">
      <c r="G156" s="314"/>
    </row>
    <row r="157" ht="12.75">
      <c r="G157" s="314"/>
    </row>
    <row r="158" ht="12.75">
      <c r="G158" s="314"/>
    </row>
    <row r="159" ht="12.75">
      <c r="G159" s="314"/>
    </row>
    <row r="160" ht="12.75">
      <c r="G160" s="314"/>
    </row>
    <row r="161" ht="12.75">
      <c r="G161" s="314"/>
    </row>
    <row r="162" ht="12.75">
      <c r="G162" s="314"/>
    </row>
    <row r="163" ht="12.75">
      <c r="G163" s="314"/>
    </row>
    <row r="164" ht="12.75">
      <c r="G164" s="314"/>
    </row>
    <row r="165" ht="12.75">
      <c r="G165" s="314"/>
    </row>
    <row r="166" ht="12.75">
      <c r="G166" s="314"/>
    </row>
    <row r="167" ht="12.75">
      <c r="G167" s="314"/>
    </row>
    <row r="168" ht="12.75">
      <c r="G168" s="314"/>
    </row>
    <row r="169" ht="12.75">
      <c r="G169" s="314"/>
    </row>
    <row r="170" ht="12.75">
      <c r="G170" s="314"/>
    </row>
    <row r="171" ht="12.75">
      <c r="G171" s="314"/>
    </row>
    <row r="172" ht="12.75">
      <c r="G172" s="314"/>
    </row>
    <row r="173" ht="12.75">
      <c r="G173" s="314"/>
    </row>
    <row r="174" ht="12.75">
      <c r="G174" s="314"/>
    </row>
    <row r="175" ht="12.75">
      <c r="G175" s="314"/>
    </row>
    <row r="176" ht="12.75">
      <c r="G176" s="314"/>
    </row>
    <row r="177" ht="12.75">
      <c r="G177" s="314"/>
    </row>
    <row r="178" ht="12.75">
      <c r="G178" s="314"/>
    </row>
    <row r="179" ht="12.75">
      <c r="G179" s="314"/>
    </row>
    <row r="180" ht="12.75">
      <c r="G180" s="314"/>
    </row>
    <row r="181" ht="12.75">
      <c r="G181" s="314"/>
    </row>
    <row r="182" ht="12.75">
      <c r="G182" s="314"/>
    </row>
    <row r="183" ht="12.75">
      <c r="G183" s="314"/>
    </row>
    <row r="184" ht="12.75">
      <c r="G184" s="314"/>
    </row>
    <row r="185" ht="12.75">
      <c r="G185" s="314"/>
    </row>
    <row r="186" ht="12.75">
      <c r="G186" s="314"/>
    </row>
    <row r="187" ht="12.75">
      <c r="G187" s="314"/>
    </row>
    <row r="188" ht="12.75">
      <c r="G188" s="314"/>
    </row>
    <row r="189" ht="12.75">
      <c r="G189" s="314"/>
    </row>
    <row r="190" ht="12.75">
      <c r="G190" s="314"/>
    </row>
    <row r="191" ht="12.75">
      <c r="G191" s="314"/>
    </row>
    <row r="192" ht="12.75">
      <c r="G192" s="314"/>
    </row>
    <row r="193" ht="12.75">
      <c r="G193" s="314"/>
    </row>
    <row r="194" ht="12.75">
      <c r="G194" s="314"/>
    </row>
    <row r="195" ht="12.75">
      <c r="G195" s="314"/>
    </row>
    <row r="196" ht="12.75">
      <c r="G196" s="314"/>
    </row>
    <row r="197" ht="12.75">
      <c r="G197" s="314"/>
    </row>
    <row r="198" ht="12.75">
      <c r="G198" s="314"/>
    </row>
    <row r="199" ht="12.75">
      <c r="G199" s="314"/>
    </row>
    <row r="200" ht="12.75">
      <c r="G200" s="314"/>
    </row>
    <row r="201" ht="12.75">
      <c r="G201" s="314"/>
    </row>
    <row r="202" ht="12.75">
      <c r="G202" s="314"/>
    </row>
    <row r="203" ht="12.75">
      <c r="G203" s="314"/>
    </row>
    <row r="204" ht="12.75">
      <c r="G204" s="314"/>
    </row>
    <row r="205" ht="12.75">
      <c r="G205" s="314"/>
    </row>
    <row r="206" ht="12.75">
      <c r="G206" s="314"/>
    </row>
    <row r="207" ht="12.75">
      <c r="G207" s="314"/>
    </row>
    <row r="208" ht="12.75">
      <c r="G208" s="314"/>
    </row>
    <row r="209" ht="12.75">
      <c r="G209" s="314"/>
    </row>
    <row r="210" ht="12.75">
      <c r="G210" s="314"/>
    </row>
    <row r="211" ht="12.75">
      <c r="G211" s="314"/>
    </row>
    <row r="212" ht="12.75">
      <c r="G212" s="314"/>
    </row>
    <row r="213" ht="12.75">
      <c r="G213" s="314"/>
    </row>
    <row r="214" ht="12.75">
      <c r="G214" s="314"/>
    </row>
    <row r="215" ht="12.75">
      <c r="G215" s="314"/>
    </row>
    <row r="216" ht="12.75">
      <c r="G216" s="314"/>
    </row>
    <row r="217" ht="12.75">
      <c r="G217" s="314"/>
    </row>
    <row r="218" ht="12.75">
      <c r="G218" s="314"/>
    </row>
    <row r="219" ht="12.75">
      <c r="G219" s="314"/>
    </row>
    <row r="220" ht="12.75">
      <c r="G220" s="314"/>
    </row>
    <row r="221" ht="12.75">
      <c r="G221" s="314"/>
    </row>
    <row r="222" ht="12.75">
      <c r="G222" s="314"/>
    </row>
    <row r="223" ht="12.75">
      <c r="G223" s="314"/>
    </row>
    <row r="224" ht="12.75">
      <c r="G224" s="314"/>
    </row>
    <row r="225" ht="12.75">
      <c r="G225" s="314"/>
    </row>
    <row r="226" ht="12.75">
      <c r="G226" s="314"/>
    </row>
    <row r="227" ht="12.75">
      <c r="G227" s="314"/>
    </row>
    <row r="228" ht="12.75">
      <c r="G228" s="314"/>
    </row>
    <row r="229" ht="12.75">
      <c r="G229" s="314"/>
    </row>
    <row r="230" ht="12.75">
      <c r="G230" s="314"/>
    </row>
    <row r="231" ht="12.75">
      <c r="G231" s="314"/>
    </row>
    <row r="232" ht="12.75">
      <c r="G232" s="314"/>
    </row>
    <row r="233" ht="12.75">
      <c r="G233" s="314"/>
    </row>
    <row r="234" ht="12.75">
      <c r="G234" s="314"/>
    </row>
    <row r="235" ht="12.75">
      <c r="G235" s="314"/>
    </row>
    <row r="236" ht="12.75">
      <c r="G236" s="314"/>
    </row>
    <row r="237" ht="12.75">
      <c r="G237" s="314"/>
    </row>
    <row r="238" ht="12.75">
      <c r="G238" s="314"/>
    </row>
    <row r="239" ht="12.75">
      <c r="G239" s="314"/>
    </row>
    <row r="240" ht="12.75">
      <c r="G240" s="314"/>
    </row>
    <row r="241" ht="12.75">
      <c r="G241" s="314"/>
    </row>
    <row r="242" ht="12.75">
      <c r="G242" s="314"/>
    </row>
    <row r="243" ht="12.75">
      <c r="G243" s="314"/>
    </row>
    <row r="244" ht="12.75">
      <c r="G244" s="314"/>
    </row>
    <row r="245" ht="12.75">
      <c r="G245" s="314"/>
    </row>
    <row r="246" ht="12.75">
      <c r="G246" s="314"/>
    </row>
    <row r="247" ht="12.75">
      <c r="G247" s="314"/>
    </row>
    <row r="248" ht="12.75">
      <c r="G248" s="314"/>
    </row>
    <row r="249" ht="12.75">
      <c r="G249" s="314"/>
    </row>
    <row r="250" ht="12.75">
      <c r="G250" s="314"/>
    </row>
    <row r="251" ht="12.75">
      <c r="G251" s="314"/>
    </row>
    <row r="252" ht="12.75">
      <c r="G252" s="314"/>
    </row>
    <row r="253" ht="12.75">
      <c r="G253" s="314"/>
    </row>
    <row r="254" ht="12.75">
      <c r="G254" s="314"/>
    </row>
    <row r="255" ht="12.75">
      <c r="G255" s="314"/>
    </row>
    <row r="256" ht="12.75">
      <c r="G256" s="314"/>
    </row>
    <row r="257" ht="12.75">
      <c r="G257" s="314"/>
    </row>
    <row r="258" ht="12.75">
      <c r="G258" s="314"/>
    </row>
    <row r="259" ht="12.75">
      <c r="G259" s="314"/>
    </row>
    <row r="260" ht="12.75">
      <c r="G260" s="314"/>
    </row>
    <row r="261" ht="12.75">
      <c r="G261" s="314"/>
    </row>
    <row r="262" ht="12.75">
      <c r="G262" s="314"/>
    </row>
    <row r="263" ht="12.75">
      <c r="G263" s="314"/>
    </row>
    <row r="264" ht="12.75">
      <c r="G264" s="314"/>
    </row>
    <row r="265" ht="12.75">
      <c r="G265" s="314"/>
    </row>
    <row r="266" ht="12.75">
      <c r="G266" s="314"/>
    </row>
    <row r="267" ht="12.75">
      <c r="G267" s="314"/>
    </row>
    <row r="268" ht="12.75">
      <c r="G268" s="314"/>
    </row>
    <row r="269" ht="12.75">
      <c r="G269" s="314"/>
    </row>
    <row r="270" ht="12.75">
      <c r="G270" s="314"/>
    </row>
    <row r="271" ht="12.75">
      <c r="G271" s="314"/>
    </row>
    <row r="272" ht="12.75">
      <c r="G272" s="314"/>
    </row>
    <row r="273" ht="12.75">
      <c r="G273" s="314"/>
    </row>
    <row r="274" ht="12.75">
      <c r="G274" s="314"/>
    </row>
    <row r="275" ht="12.75">
      <c r="G275" s="314"/>
    </row>
    <row r="276" ht="12.75">
      <c r="G276" s="314"/>
    </row>
    <row r="277" ht="12.75">
      <c r="G277" s="314"/>
    </row>
    <row r="278" ht="12.75">
      <c r="G278" s="314"/>
    </row>
    <row r="279" ht="12.75">
      <c r="G279" s="314"/>
    </row>
    <row r="280" ht="12.75">
      <c r="G280" s="314"/>
    </row>
    <row r="281" ht="12.75">
      <c r="G281" s="314"/>
    </row>
    <row r="282" ht="12.75">
      <c r="G282" s="314"/>
    </row>
    <row r="283" ht="12.75">
      <c r="G283" s="314"/>
    </row>
    <row r="284" ht="12.75">
      <c r="G284" s="314"/>
    </row>
    <row r="285" ht="12.75">
      <c r="G285" s="314"/>
    </row>
    <row r="286" ht="12.75">
      <c r="G286" s="314"/>
    </row>
    <row r="287" ht="12.75">
      <c r="G287" s="314"/>
    </row>
    <row r="288" ht="12.75">
      <c r="G288" s="314"/>
    </row>
    <row r="289" ht="12.75">
      <c r="G289" s="314"/>
    </row>
    <row r="290" ht="12.75">
      <c r="G290" s="314"/>
    </row>
    <row r="291" ht="12.75">
      <c r="G291" s="314"/>
    </row>
    <row r="292" ht="12.75">
      <c r="G292" s="314"/>
    </row>
    <row r="293" ht="12.75">
      <c r="G293" s="314"/>
    </row>
    <row r="294" ht="12.75">
      <c r="G294" s="314"/>
    </row>
    <row r="295" ht="12.75">
      <c r="G295" s="314"/>
    </row>
    <row r="296" ht="12.75">
      <c r="G296" s="314"/>
    </row>
    <row r="297" ht="12.75">
      <c r="G297" s="314"/>
    </row>
    <row r="298" ht="12.75">
      <c r="G298" s="314"/>
    </row>
    <row r="299" ht="12.75">
      <c r="G299" s="314"/>
    </row>
    <row r="300" ht="12.75">
      <c r="G300" s="314"/>
    </row>
    <row r="301" ht="12.75">
      <c r="G301" s="314"/>
    </row>
    <row r="302" ht="12.75">
      <c r="G302" s="314"/>
    </row>
    <row r="303" ht="12.75">
      <c r="G303" s="314"/>
    </row>
    <row r="304" ht="12.75">
      <c r="G304" s="314"/>
    </row>
    <row r="305" ht="12.75">
      <c r="G305" s="314"/>
    </row>
    <row r="306" ht="12.75">
      <c r="G306" s="314"/>
    </row>
    <row r="307" ht="12.75">
      <c r="G307" s="314"/>
    </row>
    <row r="308" ht="12.75">
      <c r="G308" s="314"/>
    </row>
    <row r="309" ht="12.75">
      <c r="G309" s="314"/>
    </row>
    <row r="310" ht="12.75">
      <c r="G310" s="314"/>
    </row>
    <row r="311" ht="12.75">
      <c r="G311" s="314"/>
    </row>
    <row r="312" ht="12.75">
      <c r="G312" s="314"/>
    </row>
    <row r="313" ht="12.75">
      <c r="G313" s="314"/>
    </row>
    <row r="314" ht="12.75">
      <c r="G314" s="314"/>
    </row>
    <row r="315" ht="12.75">
      <c r="G315" s="314"/>
    </row>
    <row r="316" ht="12.75">
      <c r="G316" s="314"/>
    </row>
    <row r="317" ht="12.75">
      <c r="G317" s="314"/>
    </row>
    <row r="318" ht="12.75">
      <c r="G318" s="314"/>
    </row>
    <row r="319" ht="12.75">
      <c r="G319" s="314"/>
    </row>
    <row r="320" ht="12.75">
      <c r="G320" s="314"/>
    </row>
    <row r="321" ht="12.75">
      <c r="G321" s="314"/>
    </row>
    <row r="322" ht="12.75">
      <c r="G322" s="314"/>
    </row>
    <row r="323" ht="12.75">
      <c r="G323" s="314"/>
    </row>
    <row r="324" ht="12.75">
      <c r="G324" s="314"/>
    </row>
    <row r="325" ht="12.75">
      <c r="G325" s="314"/>
    </row>
    <row r="326" ht="12.75">
      <c r="G326" s="314"/>
    </row>
    <row r="327" ht="12.75">
      <c r="G327" s="314"/>
    </row>
    <row r="328" ht="12.75">
      <c r="G328" s="314"/>
    </row>
    <row r="329" ht="12.75">
      <c r="G329" s="314"/>
    </row>
    <row r="330" ht="12.75">
      <c r="G330" s="314"/>
    </row>
    <row r="331" ht="12.75">
      <c r="G331" s="314"/>
    </row>
    <row r="332" ht="12.75">
      <c r="G332" s="314"/>
    </row>
    <row r="333" ht="12.75">
      <c r="G333" s="314"/>
    </row>
    <row r="334" ht="12.75">
      <c r="G334" s="314"/>
    </row>
    <row r="335" ht="12.75">
      <c r="G335" s="314"/>
    </row>
    <row r="336" ht="12.75">
      <c r="G336" s="314"/>
    </row>
    <row r="337" ht="12.75">
      <c r="G337" s="314"/>
    </row>
    <row r="338" ht="12.75">
      <c r="G338" s="314"/>
    </row>
    <row r="339" ht="12.75">
      <c r="G339" s="314"/>
    </row>
    <row r="340" ht="12.75">
      <c r="G340" s="314"/>
    </row>
    <row r="341" ht="12.75">
      <c r="G341" s="314"/>
    </row>
    <row r="342" ht="12.75">
      <c r="G342" s="314"/>
    </row>
    <row r="343" ht="12.75">
      <c r="G343" s="314"/>
    </row>
    <row r="344" ht="12.75">
      <c r="G344" s="314"/>
    </row>
    <row r="345" ht="12.75">
      <c r="G345" s="314"/>
    </row>
    <row r="346" ht="12.75">
      <c r="G346" s="314"/>
    </row>
    <row r="347" ht="12.75">
      <c r="G347" s="314"/>
    </row>
    <row r="348" ht="12.75">
      <c r="G348" s="314"/>
    </row>
    <row r="349" ht="12.75">
      <c r="G349" s="314"/>
    </row>
    <row r="350" ht="12.75">
      <c r="G350" s="314"/>
    </row>
    <row r="351" ht="12.75">
      <c r="G351" s="314"/>
    </row>
    <row r="352" ht="12.75">
      <c r="G352" s="314"/>
    </row>
    <row r="353" ht="12.75">
      <c r="G353" s="314"/>
    </row>
    <row r="354" ht="12.75">
      <c r="G354" s="314"/>
    </row>
    <row r="355" ht="12.75">
      <c r="G355" s="314"/>
    </row>
    <row r="356" ht="12.75">
      <c r="G356" s="314"/>
    </row>
    <row r="357" ht="12.75">
      <c r="G357" s="314"/>
    </row>
    <row r="358" ht="12.75">
      <c r="G358" s="314"/>
    </row>
    <row r="359" ht="12.75">
      <c r="G359" s="314"/>
    </row>
    <row r="360" ht="12.75">
      <c r="G360" s="314"/>
    </row>
    <row r="361" ht="12.75">
      <c r="G361" s="314"/>
    </row>
    <row r="362" ht="12.75">
      <c r="G362" s="314"/>
    </row>
    <row r="363" ht="12.75">
      <c r="G363" s="314"/>
    </row>
    <row r="364" ht="12.75">
      <c r="G364" s="314"/>
    </row>
    <row r="365" ht="12.75">
      <c r="G365" s="314"/>
    </row>
    <row r="366" ht="12.75">
      <c r="G366" s="314"/>
    </row>
    <row r="367" ht="12.75">
      <c r="G367" s="314"/>
    </row>
    <row r="368" ht="12.75">
      <c r="G368" s="314"/>
    </row>
    <row r="369" ht="12.75">
      <c r="G369" s="314"/>
    </row>
    <row r="370" ht="12.75">
      <c r="G370" s="314"/>
    </row>
    <row r="371" ht="12.75">
      <c r="G371" s="314"/>
    </row>
    <row r="372" ht="12.75">
      <c r="G372" s="314"/>
    </row>
    <row r="373" ht="12.75">
      <c r="G373" s="314"/>
    </row>
    <row r="374" ht="12.75">
      <c r="G374" s="314"/>
    </row>
    <row r="375" ht="12.75">
      <c r="G375" s="314"/>
    </row>
    <row r="376" ht="12.75">
      <c r="G376" s="314"/>
    </row>
    <row r="377" ht="12.75">
      <c r="G377" s="314"/>
    </row>
    <row r="378" ht="12.75">
      <c r="G378" s="314"/>
    </row>
    <row r="379" ht="12.75">
      <c r="G379" s="314"/>
    </row>
    <row r="380" ht="12.75">
      <c r="G380" s="314"/>
    </row>
    <row r="381" ht="12.75">
      <c r="G381" s="314"/>
    </row>
    <row r="382" ht="12.75">
      <c r="G382" s="314"/>
    </row>
    <row r="383" ht="12.75">
      <c r="G383" s="314"/>
    </row>
    <row r="384" ht="12.75">
      <c r="G384" s="314"/>
    </row>
    <row r="385" ht="12.75">
      <c r="G385" s="314"/>
    </row>
    <row r="386" ht="12.75">
      <c r="G386" s="314"/>
    </row>
    <row r="387" ht="12.75">
      <c r="G387" s="314"/>
    </row>
    <row r="388" ht="12.75">
      <c r="G388" s="314"/>
    </row>
    <row r="389" ht="12.75">
      <c r="G389" s="314"/>
    </row>
    <row r="390" ht="12.75">
      <c r="G390" s="314"/>
    </row>
    <row r="391" ht="12.75">
      <c r="G391" s="314"/>
    </row>
    <row r="392" ht="12.75">
      <c r="G392" s="314"/>
    </row>
    <row r="393" ht="12.75">
      <c r="G393" s="314"/>
    </row>
    <row r="394" ht="12.75">
      <c r="G394" s="314"/>
    </row>
    <row r="395" ht="12.75">
      <c r="G395" s="314"/>
    </row>
    <row r="396" ht="12.75">
      <c r="G396" s="314"/>
    </row>
    <row r="397" ht="12.75">
      <c r="G397" s="314"/>
    </row>
    <row r="398" ht="12.75">
      <c r="G398" s="314"/>
    </row>
    <row r="399" ht="12.75">
      <c r="G399" s="314"/>
    </row>
    <row r="400" ht="12.75">
      <c r="G400" s="314"/>
    </row>
    <row r="401" ht="12.75">
      <c r="G401" s="314"/>
    </row>
    <row r="402" ht="12.75">
      <c r="G402" s="314"/>
    </row>
    <row r="403" ht="12.75">
      <c r="G403" s="314"/>
    </row>
    <row r="404" ht="12.75">
      <c r="G404" s="314"/>
    </row>
    <row r="405" ht="12.75">
      <c r="G405" s="314"/>
    </row>
    <row r="406" ht="12.75">
      <c r="G406" s="314"/>
    </row>
    <row r="407" ht="12.75">
      <c r="G407" s="314"/>
    </row>
    <row r="408" ht="12.75">
      <c r="G408" s="314"/>
    </row>
    <row r="409" ht="12.75">
      <c r="G409" s="314"/>
    </row>
    <row r="410" ht="12.75">
      <c r="G410" s="314"/>
    </row>
    <row r="411" ht="12.75">
      <c r="G411" s="314"/>
    </row>
    <row r="412" ht="12.75">
      <c r="G412" s="314"/>
    </row>
    <row r="413" ht="12.75">
      <c r="G413" s="314"/>
    </row>
    <row r="414" ht="12.75">
      <c r="G414" s="314"/>
    </row>
    <row r="415" ht="12.75">
      <c r="G415" s="314"/>
    </row>
    <row r="416" ht="12.75">
      <c r="G416" s="314"/>
    </row>
    <row r="417" ht="12.75">
      <c r="G417" s="314"/>
    </row>
    <row r="418" ht="12.75">
      <c r="G418" s="314"/>
    </row>
    <row r="419" ht="12.75">
      <c r="G419" s="314"/>
    </row>
    <row r="420" ht="12.75">
      <c r="G420" s="314"/>
    </row>
    <row r="421" ht="12.75">
      <c r="G421" s="314"/>
    </row>
    <row r="422" ht="12.75">
      <c r="G422" s="314"/>
    </row>
    <row r="423" ht="12.75">
      <c r="G423" s="314"/>
    </row>
    <row r="424" ht="12.75">
      <c r="G424" s="314"/>
    </row>
    <row r="425" ht="12.75">
      <c r="G425" s="314"/>
    </row>
    <row r="426" ht="12.75">
      <c r="G426" s="314"/>
    </row>
    <row r="427" ht="12.75">
      <c r="G427" s="314"/>
    </row>
    <row r="428" ht="12.75">
      <c r="G428" s="314"/>
    </row>
    <row r="429" ht="12.75">
      <c r="G429" s="314"/>
    </row>
    <row r="430" ht="12.75">
      <c r="G430" s="314"/>
    </row>
    <row r="431" ht="12.75">
      <c r="G431" s="314"/>
    </row>
    <row r="432" ht="12.75">
      <c r="G432" s="314"/>
    </row>
    <row r="433" ht="12.75">
      <c r="G433" s="314"/>
    </row>
    <row r="434" ht="12.75">
      <c r="G434" s="314"/>
    </row>
    <row r="435" ht="12.75">
      <c r="G435" s="314"/>
    </row>
    <row r="436" ht="12.75">
      <c r="G436" s="314"/>
    </row>
    <row r="437" ht="12.75">
      <c r="G437" s="314"/>
    </row>
    <row r="438" ht="12.75">
      <c r="G438" s="314"/>
    </row>
    <row r="439" ht="12.75">
      <c r="G439" s="314"/>
    </row>
    <row r="440" ht="12.75">
      <c r="G440" s="314"/>
    </row>
    <row r="441" ht="12.75">
      <c r="G441" s="314"/>
    </row>
    <row r="442" ht="12.75">
      <c r="G442" s="314"/>
    </row>
    <row r="443" ht="12.75">
      <c r="G443" s="314"/>
    </row>
    <row r="444" ht="12.75">
      <c r="G444" s="314"/>
    </row>
    <row r="445" ht="12.75">
      <c r="G445" s="314"/>
    </row>
    <row r="446" ht="12.75">
      <c r="G446" s="314"/>
    </row>
    <row r="447" ht="12.75">
      <c r="G447" s="314"/>
    </row>
    <row r="448" ht="12.75">
      <c r="G448" s="314"/>
    </row>
    <row r="449" ht="12.75">
      <c r="G449" s="314"/>
    </row>
    <row r="450" ht="12.75">
      <c r="G450" s="314"/>
    </row>
    <row r="451" ht="12.75">
      <c r="G451" s="314"/>
    </row>
    <row r="452" ht="12.75">
      <c r="G452" s="314"/>
    </row>
    <row r="453" ht="12.75">
      <c r="G453" s="314"/>
    </row>
    <row r="454" ht="12.75">
      <c r="G454" s="314"/>
    </row>
    <row r="455" ht="12.75">
      <c r="G455" s="314"/>
    </row>
    <row r="456" ht="12.75">
      <c r="G456" s="314"/>
    </row>
    <row r="457" ht="12.75">
      <c r="G457" s="314"/>
    </row>
    <row r="458" ht="12.75">
      <c r="G458" s="314"/>
    </row>
    <row r="459" ht="12.75">
      <c r="G459" s="314"/>
    </row>
    <row r="460" ht="12.75">
      <c r="G460" s="314"/>
    </row>
    <row r="461" ht="12.75">
      <c r="G461" s="314"/>
    </row>
    <row r="462" ht="12.75">
      <c r="G462" s="314"/>
    </row>
    <row r="463" ht="12.75">
      <c r="G463" s="314"/>
    </row>
    <row r="464" ht="12.75">
      <c r="G464" s="314"/>
    </row>
    <row r="465" ht="12.75">
      <c r="G465" s="314"/>
    </row>
    <row r="466" ht="12.75">
      <c r="G466" s="314"/>
    </row>
    <row r="467" ht="12.75">
      <c r="G467" s="314"/>
    </row>
    <row r="468" ht="12.75">
      <c r="G468" s="314"/>
    </row>
    <row r="469" ht="12.75">
      <c r="G469" s="314"/>
    </row>
    <row r="470" ht="12.75">
      <c r="G470" s="314"/>
    </row>
    <row r="471" ht="12.75">
      <c r="G471" s="314"/>
    </row>
    <row r="472" ht="12.75">
      <c r="G472" s="314"/>
    </row>
    <row r="473" ht="12.75">
      <c r="G473" s="314"/>
    </row>
    <row r="474" ht="12.75">
      <c r="G474" s="314"/>
    </row>
    <row r="475" ht="12.75">
      <c r="G475" s="314"/>
    </row>
    <row r="476" ht="12.75">
      <c r="G476" s="314"/>
    </row>
    <row r="477" ht="12.75">
      <c r="G477" s="314"/>
    </row>
    <row r="478" ht="12.75">
      <c r="G478" s="314"/>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5"/>
  </sheetPr>
  <dimension ref="A1:Q235"/>
  <sheetViews>
    <sheetView tabSelected="1" view="pageBreakPreview" zoomScale="75" zoomScaleNormal="75" zoomScaleSheetLayoutView="75" zoomScalePageLayoutView="0" workbookViewId="0" topLeftCell="A1">
      <pane xSplit="1" ySplit="6" topLeftCell="H7" activePane="bottomRight" state="frozen"/>
      <selection pane="topLeft" activeCell="A1" sqref="A1"/>
      <selection pane="topRight" activeCell="B1" sqref="B1"/>
      <selection pane="bottomLeft" activeCell="A7" sqref="A7"/>
      <selection pane="bottomRight" activeCell="A11" sqref="A11"/>
    </sheetView>
  </sheetViews>
  <sheetFormatPr defaultColWidth="11.421875" defaultRowHeight="12.75" outlineLevelRow="2" outlineLevelCol="1"/>
  <cols>
    <col min="1" max="1" width="47.421875" style="0" customWidth="1"/>
    <col min="2" max="2" width="17.8515625" style="0" hidden="1" customWidth="1" outlineLevel="1"/>
    <col min="3" max="3" width="15.28125" style="0" hidden="1" customWidth="1" outlineLevel="1"/>
    <col min="4" max="4" width="18.57421875" style="0" hidden="1" customWidth="1" outlineLevel="1"/>
    <col min="5" max="5" width="16.7109375" style="0" hidden="1" customWidth="1" outlineLevel="1"/>
    <col min="6" max="6" width="19.00390625" style="0" hidden="1" customWidth="1" outlineLevel="1"/>
    <col min="7" max="7" width="15.8515625" style="0" hidden="1" customWidth="1" outlineLevel="1"/>
    <col min="8" max="8" width="18.28125" style="0" customWidth="1" collapsed="1"/>
    <col min="9" max="11" width="18.28125" style="0" customWidth="1"/>
    <col min="12" max="12" width="19.421875" style="0" customWidth="1"/>
    <col min="13" max="13" width="18.140625" style="0" customWidth="1"/>
    <col min="14" max="14" width="15.57421875" style="0" customWidth="1"/>
    <col min="15" max="18" width="14.57421875" style="0" customWidth="1"/>
  </cols>
  <sheetData>
    <row r="1" spans="1:14" ht="15" outlineLevel="1">
      <c r="A1" s="755" t="s">
        <v>28</v>
      </c>
      <c r="B1" s="755"/>
      <c r="C1" s="755"/>
      <c r="D1" s="755"/>
      <c r="E1" s="755"/>
      <c r="F1" s="755"/>
      <c r="G1" s="755"/>
      <c r="H1" s="755"/>
      <c r="I1" s="755"/>
      <c r="J1" s="755"/>
      <c r="K1" s="755"/>
      <c r="L1" s="755"/>
      <c r="M1" s="755"/>
      <c r="N1" s="755"/>
    </row>
    <row r="2" spans="1:14" ht="15" outlineLevel="1">
      <c r="A2" s="756" t="s">
        <v>61</v>
      </c>
      <c r="B2" s="756"/>
      <c r="C2" s="756"/>
      <c r="D2" s="756"/>
      <c r="E2" s="756"/>
      <c r="F2" s="756"/>
      <c r="G2" s="756"/>
      <c r="H2" s="756"/>
      <c r="I2" s="756"/>
      <c r="J2" s="756"/>
      <c r="K2" s="756"/>
      <c r="L2" s="756"/>
      <c r="M2" s="756"/>
      <c r="N2" s="756"/>
    </row>
    <row r="3" spans="1:14" ht="15" outlineLevel="1">
      <c r="A3" s="756" t="s">
        <v>554</v>
      </c>
      <c r="B3" s="756"/>
      <c r="C3" s="756"/>
      <c r="D3" s="756"/>
      <c r="E3" s="756"/>
      <c r="F3" s="756"/>
      <c r="G3" s="756"/>
      <c r="H3" s="756"/>
      <c r="I3" s="756"/>
      <c r="J3" s="756"/>
      <c r="K3" s="756"/>
      <c r="L3" s="756"/>
      <c r="M3" s="756"/>
      <c r="N3" s="756"/>
    </row>
    <row r="4" spans="1:14" ht="15" outlineLevel="1">
      <c r="A4" s="756" t="s">
        <v>539</v>
      </c>
      <c r="B4" s="756"/>
      <c r="C4" s="756"/>
      <c r="D4" s="756"/>
      <c r="E4" s="756"/>
      <c r="F4" s="756"/>
      <c r="G4" s="756"/>
      <c r="H4" s="756"/>
      <c r="I4" s="756"/>
      <c r="J4" s="756"/>
      <c r="K4" s="756"/>
      <c r="L4" s="756"/>
      <c r="M4" s="756"/>
      <c r="N4" s="756"/>
    </row>
    <row r="5" spans="1:14" ht="15.75" outlineLevel="1" thickBot="1">
      <c r="A5" s="754" t="s">
        <v>517</v>
      </c>
      <c r="B5" s="754"/>
      <c r="C5" s="754"/>
      <c r="D5" s="754"/>
      <c r="E5" s="754"/>
      <c r="F5" s="754"/>
      <c r="G5" s="754"/>
      <c r="H5" s="754"/>
      <c r="I5" s="754"/>
      <c r="J5" s="754"/>
      <c r="K5" s="754"/>
      <c r="L5" s="754"/>
      <c r="M5" s="754"/>
      <c r="N5" s="754"/>
    </row>
    <row r="6" spans="1:14" ht="45.75" thickTop="1">
      <c r="A6" s="571" t="s">
        <v>39</v>
      </c>
      <c r="B6" s="572" t="s">
        <v>329</v>
      </c>
      <c r="C6" s="572" t="s">
        <v>330</v>
      </c>
      <c r="D6" s="572" t="s">
        <v>335</v>
      </c>
      <c r="E6" s="572" t="s">
        <v>331</v>
      </c>
      <c r="F6" s="572" t="s">
        <v>332</v>
      </c>
      <c r="G6" s="572" t="s">
        <v>20</v>
      </c>
      <c r="H6" s="572" t="s">
        <v>35</v>
      </c>
      <c r="I6" s="572" t="s">
        <v>555</v>
      </c>
      <c r="J6" s="572" t="s">
        <v>564</v>
      </c>
      <c r="K6" s="650" t="s">
        <v>556</v>
      </c>
      <c r="L6" s="655" t="s">
        <v>552</v>
      </c>
      <c r="M6" s="572" t="s">
        <v>557</v>
      </c>
      <c r="N6" s="660" t="s">
        <v>559</v>
      </c>
    </row>
    <row r="7" spans="1:14" ht="15">
      <c r="A7" s="560" t="s">
        <v>333</v>
      </c>
      <c r="B7" s="544"/>
      <c r="C7" s="544"/>
      <c r="D7" s="544"/>
      <c r="E7" s="544"/>
      <c r="F7" s="544"/>
      <c r="G7" s="544"/>
      <c r="H7" s="544"/>
      <c r="I7" s="544"/>
      <c r="J7" s="651"/>
      <c r="K7" s="651"/>
      <c r="L7" s="656"/>
      <c r="M7" s="544"/>
      <c r="N7" s="561"/>
    </row>
    <row r="8" spans="1:15" ht="15">
      <c r="A8" s="573" t="s">
        <v>320</v>
      </c>
      <c r="B8" s="562">
        <f>+B9+B10+B11+B12+B13+B14+B15+B16+B17+B18</f>
        <v>162691971</v>
      </c>
      <c r="C8" s="562">
        <f>+C9+C10+C11+C12+C13+C14+C15+C16+C17+C18</f>
        <v>31332032</v>
      </c>
      <c r="D8" s="562">
        <f>+D9+D10+D11+D12+D13+D14+D15+D16+D17+D18</f>
        <v>227037030</v>
      </c>
      <c r="E8" s="562">
        <f>+E9+E10+E11+E12+E13+E14+E15+E16+E17+E18</f>
        <v>68101678</v>
      </c>
      <c r="F8" s="562">
        <f>+F9+F10+F11+F12+F13+F14+F15+F16+F17+F18</f>
        <v>489162711</v>
      </c>
      <c r="G8" s="562">
        <f>+G9+G10+G11+G12+G13+G15+G16+G17+G18</f>
        <v>39960891</v>
      </c>
      <c r="H8" s="562">
        <v>529123702</v>
      </c>
      <c r="I8" s="562"/>
      <c r="J8" s="562">
        <f>+SUM(J9:J19)</f>
        <v>548848</v>
      </c>
      <c r="K8" s="652">
        <f aca="true" t="shared" si="0" ref="K8:K20">+H8+I8+J8</f>
        <v>529672550</v>
      </c>
      <c r="L8" s="657">
        <f>+K8</f>
        <v>529672550</v>
      </c>
      <c r="M8" s="562">
        <f>+M9+M10+M11+M12+M13+M15+M16+M17</f>
        <v>28576398</v>
      </c>
      <c r="N8" s="730">
        <f>+L8/K8</f>
        <v>1</v>
      </c>
      <c r="O8" s="381"/>
    </row>
    <row r="9" spans="1:17" ht="14.25">
      <c r="A9" s="563" t="s">
        <v>336</v>
      </c>
      <c r="B9" s="536">
        <v>110453970</v>
      </c>
      <c r="C9" s="536">
        <v>20667988</v>
      </c>
      <c r="D9" s="536">
        <v>154705437</v>
      </c>
      <c r="E9" s="536">
        <v>48286197</v>
      </c>
      <c r="F9" s="536">
        <f>+B9+C9+D9+E9</f>
        <v>334113592</v>
      </c>
      <c r="G9" s="536">
        <v>27007235</v>
      </c>
      <c r="H9" s="536">
        <f>+F9+G9</f>
        <v>361120827</v>
      </c>
      <c r="I9" s="536"/>
      <c r="J9" s="617">
        <f>-313090-4569995</f>
        <v>-4883085</v>
      </c>
      <c r="K9" s="653">
        <f t="shared" si="0"/>
        <v>356237742</v>
      </c>
      <c r="L9" s="658">
        <v>333651634</v>
      </c>
      <c r="M9" s="536">
        <f>+K9-L9</f>
        <v>22586108</v>
      </c>
      <c r="N9" s="731">
        <f>+L9/K9</f>
        <v>0.9365982170412477</v>
      </c>
      <c r="Q9" s="406"/>
    </row>
    <row r="10" spans="1:17" ht="14.25">
      <c r="A10" s="563" t="s">
        <v>5</v>
      </c>
      <c r="B10" s="536">
        <v>7589247</v>
      </c>
      <c r="C10" s="536">
        <v>1722332</v>
      </c>
      <c r="D10" s="536">
        <v>10048685</v>
      </c>
      <c r="E10" s="536">
        <v>2408600</v>
      </c>
      <c r="F10" s="536">
        <f aca="true" t="shared" si="1" ref="F10:F18">+B10+C10+D10+E10</f>
        <v>21768864</v>
      </c>
      <c r="G10" s="536">
        <v>2064228</v>
      </c>
      <c r="H10" s="536">
        <f aca="true" t="shared" si="2" ref="H10:H18">+F10+G10</f>
        <v>23833092</v>
      </c>
      <c r="I10" s="536"/>
      <c r="J10" s="617">
        <f>102975+70908+1678512+84984+113833</f>
        <v>2051212</v>
      </c>
      <c r="K10" s="653">
        <f t="shared" si="0"/>
        <v>25884304</v>
      </c>
      <c r="L10" s="658">
        <v>25884304</v>
      </c>
      <c r="M10" s="536">
        <f>+K10-L10</f>
        <v>0</v>
      </c>
      <c r="N10" s="731">
        <f aca="true" t="shared" si="3" ref="N10:N19">+L10/K10</f>
        <v>1</v>
      </c>
      <c r="O10" s="410"/>
      <c r="P10" s="4"/>
      <c r="Q10" s="4"/>
    </row>
    <row r="11" spans="1:17" ht="14.25">
      <c r="A11" s="563" t="s">
        <v>6</v>
      </c>
      <c r="B11" s="536">
        <v>910710</v>
      </c>
      <c r="C11" s="536">
        <v>206680</v>
      </c>
      <c r="D11" s="536">
        <v>1205842</v>
      </c>
      <c r="E11" s="536">
        <v>289032</v>
      </c>
      <c r="F11" s="536">
        <f t="shared" si="1"/>
        <v>2612264</v>
      </c>
      <c r="G11" s="536">
        <v>247707</v>
      </c>
      <c r="H11" s="536">
        <f t="shared" si="2"/>
        <v>2859971</v>
      </c>
      <c r="I11" s="536"/>
      <c r="J11" s="617">
        <f>12995+8669+201421+10421+13853</f>
        <v>247359</v>
      </c>
      <c r="K11" s="653">
        <f t="shared" si="0"/>
        <v>3107330</v>
      </c>
      <c r="L11" s="658">
        <v>3107330</v>
      </c>
      <c r="M11" s="536">
        <f>+K11-L11</f>
        <v>0</v>
      </c>
      <c r="N11" s="731">
        <f t="shared" si="3"/>
        <v>1</v>
      </c>
      <c r="O11" s="410"/>
      <c r="P11" s="4"/>
      <c r="Q11" s="4"/>
    </row>
    <row r="12" spans="1:15" ht="14.25">
      <c r="A12" s="563" t="s">
        <v>1</v>
      </c>
      <c r="B12" s="536">
        <v>7589247</v>
      </c>
      <c r="C12" s="536">
        <v>1722332</v>
      </c>
      <c r="D12" s="536">
        <v>10048685</v>
      </c>
      <c r="E12" s="536">
        <v>2408600</v>
      </c>
      <c r="F12" s="536">
        <f t="shared" si="1"/>
        <v>21768864</v>
      </c>
      <c r="G12" s="536">
        <v>2064228</v>
      </c>
      <c r="H12" s="536">
        <f t="shared" si="2"/>
        <v>23833092</v>
      </c>
      <c r="I12" s="536"/>
      <c r="J12" s="617">
        <f>102975+70908+1678512+84984+113833</f>
        <v>2051212</v>
      </c>
      <c r="K12" s="653">
        <f t="shared" si="0"/>
        <v>25884304</v>
      </c>
      <c r="L12" s="658">
        <v>25884304</v>
      </c>
      <c r="M12" s="536">
        <f aca="true" t="shared" si="4" ref="M12:M19">+K12-L12</f>
        <v>0</v>
      </c>
      <c r="N12" s="731">
        <f t="shared" si="3"/>
        <v>1</v>
      </c>
      <c r="O12" s="410"/>
    </row>
    <row r="13" spans="1:15" ht="14.25">
      <c r="A13" s="563" t="s">
        <v>2</v>
      </c>
      <c r="B13" s="536">
        <v>4602249</v>
      </c>
      <c r="C13" s="536">
        <v>861166</v>
      </c>
      <c r="D13" s="536">
        <v>5831967</v>
      </c>
      <c r="E13" s="536">
        <v>2011925</v>
      </c>
      <c r="F13" s="536">
        <f t="shared" si="1"/>
        <v>13307307</v>
      </c>
      <c r="G13" s="536">
        <v>1032014</v>
      </c>
      <c r="H13" s="536">
        <f t="shared" si="2"/>
        <v>14339321</v>
      </c>
      <c r="I13" s="536"/>
      <c r="J13" s="617">
        <f>94145+71278+1011550+146566+59327+100</f>
        <v>1382966</v>
      </c>
      <c r="K13" s="688">
        <f t="shared" si="0"/>
        <v>15722287</v>
      </c>
      <c r="L13" s="689">
        <v>15722287</v>
      </c>
      <c r="M13" s="617">
        <f t="shared" si="4"/>
        <v>0</v>
      </c>
      <c r="N13" s="731">
        <f t="shared" si="3"/>
        <v>1</v>
      </c>
      <c r="O13" s="410"/>
    </row>
    <row r="14" spans="1:15" ht="14.25">
      <c r="A14" s="563" t="s">
        <v>289</v>
      </c>
      <c r="B14" s="536">
        <v>0</v>
      </c>
      <c r="C14" s="536">
        <v>0</v>
      </c>
      <c r="D14" s="536">
        <v>0</v>
      </c>
      <c r="E14" s="536">
        <v>0</v>
      </c>
      <c r="F14" s="536">
        <f t="shared" si="1"/>
        <v>0</v>
      </c>
      <c r="G14" s="536">
        <v>10000000</v>
      </c>
      <c r="H14" s="536">
        <f t="shared" si="2"/>
        <v>10000000</v>
      </c>
      <c r="I14" s="536"/>
      <c r="J14" s="617">
        <v>-410359</v>
      </c>
      <c r="K14" s="653">
        <f t="shared" si="0"/>
        <v>9589641</v>
      </c>
      <c r="L14" s="658">
        <v>0</v>
      </c>
      <c r="M14" s="536">
        <f t="shared" si="4"/>
        <v>9589641</v>
      </c>
      <c r="N14" s="731">
        <f t="shared" si="3"/>
        <v>0</v>
      </c>
      <c r="O14" s="410"/>
    </row>
    <row r="15" spans="1:15" ht="14.25">
      <c r="A15" s="563" t="s">
        <v>3</v>
      </c>
      <c r="B15" s="536">
        <v>22145043</v>
      </c>
      <c r="C15" s="536">
        <v>4307426</v>
      </c>
      <c r="D15" s="536">
        <v>31844299</v>
      </c>
      <c r="E15" s="536">
        <v>8890918</v>
      </c>
      <c r="F15" s="536">
        <f t="shared" si="1"/>
        <v>67187686</v>
      </c>
      <c r="G15" s="536">
        <v>5364146</v>
      </c>
      <c r="H15" s="536">
        <f t="shared" si="2"/>
        <v>72551832</v>
      </c>
      <c r="I15" s="536"/>
      <c r="J15" s="617">
        <v>109394</v>
      </c>
      <c r="K15" s="653">
        <f t="shared" si="0"/>
        <v>72661226</v>
      </c>
      <c r="L15" s="658">
        <v>68388782</v>
      </c>
      <c r="M15" s="536">
        <f t="shared" si="4"/>
        <v>4272444</v>
      </c>
      <c r="N15" s="731">
        <f t="shared" si="3"/>
        <v>0.941200496672049</v>
      </c>
      <c r="O15" s="410"/>
    </row>
    <row r="16" spans="1:15" ht="14.25">
      <c r="A16" s="563" t="s">
        <v>7</v>
      </c>
      <c r="B16" s="536">
        <v>4178447</v>
      </c>
      <c r="C16" s="536">
        <v>819604</v>
      </c>
      <c r="D16" s="536">
        <v>5934273</v>
      </c>
      <c r="E16" s="536">
        <v>1691736</v>
      </c>
      <c r="F16" s="536">
        <f t="shared" si="1"/>
        <v>12624060</v>
      </c>
      <c r="G16" s="536">
        <v>969481</v>
      </c>
      <c r="H16" s="536">
        <f t="shared" si="2"/>
        <v>13593541</v>
      </c>
      <c r="I16" s="536"/>
      <c r="J16" s="686">
        <v>119</v>
      </c>
      <c r="K16" s="653">
        <f t="shared" si="0"/>
        <v>13593660</v>
      </c>
      <c r="L16" s="658">
        <v>12829700</v>
      </c>
      <c r="M16" s="536">
        <f t="shared" si="4"/>
        <v>763960</v>
      </c>
      <c r="N16" s="731">
        <f t="shared" si="3"/>
        <v>0.9438002715972005</v>
      </c>
      <c r="O16" s="410"/>
    </row>
    <row r="17" spans="1:15" ht="14.25">
      <c r="A17" s="563" t="s">
        <v>4</v>
      </c>
      <c r="B17" s="536">
        <v>5223058</v>
      </c>
      <c r="C17" s="536">
        <v>1024504</v>
      </c>
      <c r="D17" s="536">
        <v>7417842</v>
      </c>
      <c r="E17" s="536">
        <v>2114670</v>
      </c>
      <c r="F17" s="536">
        <f t="shared" si="1"/>
        <v>15780074</v>
      </c>
      <c r="G17" s="536">
        <v>1211852</v>
      </c>
      <c r="H17" s="536">
        <f t="shared" si="2"/>
        <v>16991926</v>
      </c>
      <c r="I17" s="536"/>
      <c r="J17" s="617">
        <v>30</v>
      </c>
      <c r="K17" s="653">
        <f t="shared" si="0"/>
        <v>16991956</v>
      </c>
      <c r="L17" s="658">
        <v>16038070</v>
      </c>
      <c r="M17" s="536">
        <f t="shared" si="4"/>
        <v>953886</v>
      </c>
      <c r="N17" s="731">
        <f t="shared" si="3"/>
        <v>0.9438624958774611</v>
      </c>
      <c r="O17" s="410"/>
    </row>
    <row r="18" spans="1:15" ht="14.25">
      <c r="A18" s="563" t="s">
        <v>334</v>
      </c>
      <c r="B18" s="536">
        <v>0</v>
      </c>
      <c r="C18" s="536">
        <v>0</v>
      </c>
      <c r="D18" s="536">
        <v>0</v>
      </c>
      <c r="E18" s="536">
        <v>0</v>
      </c>
      <c r="F18" s="536">
        <f t="shared" si="1"/>
        <v>0</v>
      </c>
      <c r="G18" s="536">
        <v>0</v>
      </c>
      <c r="H18" s="536">
        <f t="shared" si="2"/>
        <v>0</v>
      </c>
      <c r="I18" s="536"/>
      <c r="J18" s="617">
        <v>0</v>
      </c>
      <c r="K18" s="653">
        <f t="shared" si="0"/>
        <v>0</v>
      </c>
      <c r="L18" s="658">
        <v>0</v>
      </c>
      <c r="M18" s="536">
        <f t="shared" si="4"/>
        <v>0</v>
      </c>
      <c r="N18" s="731">
        <v>0</v>
      </c>
      <c r="O18" s="410"/>
    </row>
    <row r="19" spans="1:15" ht="14.25">
      <c r="A19" s="563" t="s">
        <v>30</v>
      </c>
      <c r="B19" s="564">
        <v>7320000</v>
      </c>
      <c r="C19" s="564"/>
      <c r="D19" s="564">
        <v>5087400</v>
      </c>
      <c r="E19" s="564"/>
      <c r="F19" s="536">
        <f>+B19+C19+D19+E19</f>
        <v>12407400</v>
      </c>
      <c r="G19" s="536">
        <v>13970520</v>
      </c>
      <c r="H19" s="536">
        <f>+F19+G19</f>
        <v>26377920</v>
      </c>
      <c r="I19" s="536"/>
      <c r="J19" s="617">
        <v>0</v>
      </c>
      <c r="K19" s="653">
        <f t="shared" si="0"/>
        <v>26377920</v>
      </c>
      <c r="L19" s="658">
        <v>25771920</v>
      </c>
      <c r="M19" s="536">
        <f t="shared" si="4"/>
        <v>606000</v>
      </c>
      <c r="N19" s="731">
        <f t="shared" si="3"/>
        <v>0.9770262401281071</v>
      </c>
      <c r="O19" s="410"/>
    </row>
    <row r="20" spans="1:15" ht="15">
      <c r="A20" s="565" t="s">
        <v>326</v>
      </c>
      <c r="B20" s="537">
        <f>SUM(B9:B19)</f>
        <v>170011971</v>
      </c>
      <c r="C20" s="537">
        <f>SUM(C9:C19)</f>
        <v>31332032</v>
      </c>
      <c r="D20" s="537">
        <f>SUM(D9:D19)</f>
        <v>232124430</v>
      </c>
      <c r="E20" s="537">
        <f>SUM(E9:E19)</f>
        <v>68101678</v>
      </c>
      <c r="F20" s="537">
        <f>+E20+D20+C20+B20</f>
        <v>501570111</v>
      </c>
      <c r="G20" s="537">
        <f>SUM(G9:G19)</f>
        <v>63931411</v>
      </c>
      <c r="H20" s="537">
        <f>+G20+F20</f>
        <v>565501522</v>
      </c>
      <c r="I20" s="537"/>
      <c r="J20" s="742">
        <f>SUM(J9:J19)</f>
        <v>548848</v>
      </c>
      <c r="K20" s="654">
        <f t="shared" si="0"/>
        <v>566050370</v>
      </c>
      <c r="L20" s="659">
        <f>SUM(L9:L19)</f>
        <v>527278331</v>
      </c>
      <c r="M20" s="537">
        <f>SUM(M9:M19)</f>
        <v>38772039</v>
      </c>
      <c r="N20" s="731">
        <f>+L20/K20</f>
        <v>0.9315042599477499</v>
      </c>
      <c r="O20" s="410"/>
    </row>
    <row r="21" spans="1:15" ht="15">
      <c r="A21" s="560" t="s">
        <v>31</v>
      </c>
      <c r="B21" s="544"/>
      <c r="C21" s="544"/>
      <c r="D21" s="544"/>
      <c r="E21" s="544"/>
      <c r="F21" s="536"/>
      <c r="G21" s="537"/>
      <c r="H21" s="536"/>
      <c r="I21" s="536"/>
      <c r="J21" s="617"/>
      <c r="K21" s="653"/>
      <c r="L21" s="658"/>
      <c r="M21" s="536"/>
      <c r="N21" s="717"/>
      <c r="O21" s="410"/>
    </row>
    <row r="22" spans="1:15" ht="14.25">
      <c r="A22" s="566" t="s">
        <v>51</v>
      </c>
      <c r="B22" s="567">
        <v>0</v>
      </c>
      <c r="C22" s="567">
        <v>0</v>
      </c>
      <c r="D22" s="567">
        <v>0</v>
      </c>
      <c r="E22" s="567">
        <v>0</v>
      </c>
      <c r="F22" s="567">
        <f>SUM(B22:E22)</f>
        <v>0</v>
      </c>
      <c r="G22" s="536">
        <v>15000000</v>
      </c>
      <c r="H22" s="536">
        <f>+F22+G22</f>
        <v>15000000</v>
      </c>
      <c r="I22" s="536">
        <v>3500000</v>
      </c>
      <c r="J22" s="617"/>
      <c r="K22" s="653">
        <f>+H22+I22+J22</f>
        <v>18500000</v>
      </c>
      <c r="L22" s="658">
        <v>12628243</v>
      </c>
      <c r="M22" s="536">
        <f>+K22-L22</f>
        <v>5871757</v>
      </c>
      <c r="N22" s="718">
        <f>+L22/K22</f>
        <v>0.6826077297297297</v>
      </c>
      <c r="O22" s="410"/>
    </row>
    <row r="23" spans="1:15" ht="14.25">
      <c r="A23" s="566" t="s">
        <v>52</v>
      </c>
      <c r="B23" s="567">
        <v>0</v>
      </c>
      <c r="C23" s="567">
        <v>0</v>
      </c>
      <c r="D23" s="567">
        <v>0</v>
      </c>
      <c r="E23" s="567"/>
      <c r="F23" s="567">
        <f aca="true" t="shared" si="5" ref="F23:F35">SUM(B23:E23)</f>
        <v>0</v>
      </c>
      <c r="G23" s="536">
        <v>1600000</v>
      </c>
      <c r="H23" s="536">
        <f aca="true" t="shared" si="6" ref="H23:H36">+F23+G23</f>
        <v>1600000</v>
      </c>
      <c r="I23" s="536"/>
      <c r="J23" s="617"/>
      <c r="K23" s="653">
        <f aca="true" t="shared" si="7" ref="K23:K35">+H23+I23+J23</f>
        <v>1600000</v>
      </c>
      <c r="L23" s="658">
        <v>1399080</v>
      </c>
      <c r="M23" s="536">
        <f>+K23-L23</f>
        <v>200920</v>
      </c>
      <c r="N23" s="661">
        <f>+L23/K23</f>
        <v>0.874425</v>
      </c>
      <c r="O23" s="410"/>
    </row>
    <row r="24" spans="1:15" ht="15">
      <c r="A24" s="566" t="s">
        <v>53</v>
      </c>
      <c r="B24" s="567">
        <v>0</v>
      </c>
      <c r="C24" s="567">
        <v>0</v>
      </c>
      <c r="D24" s="567">
        <v>1250000</v>
      </c>
      <c r="E24" s="567"/>
      <c r="F24" s="567">
        <f t="shared" si="5"/>
        <v>1250000</v>
      </c>
      <c r="G24" s="536">
        <v>4037625</v>
      </c>
      <c r="H24" s="536">
        <f t="shared" si="6"/>
        <v>5287625</v>
      </c>
      <c r="I24" s="536"/>
      <c r="J24" s="682"/>
      <c r="K24" s="653">
        <f t="shared" si="7"/>
        <v>5287625</v>
      </c>
      <c r="L24" s="658">
        <v>4138473</v>
      </c>
      <c r="M24" s="536">
        <f aca="true" t="shared" si="8" ref="M24:M35">+K24-L24</f>
        <v>1149152</v>
      </c>
      <c r="N24" s="661">
        <f aca="true" t="shared" si="9" ref="N24:N31">+L24/K24</f>
        <v>0.7826714262074183</v>
      </c>
      <c r="O24" s="410"/>
    </row>
    <row r="25" spans="1:14" s="377" customFormat="1" ht="14.25">
      <c r="A25" s="566" t="s">
        <v>32</v>
      </c>
      <c r="B25" s="567">
        <v>1717000</v>
      </c>
      <c r="C25" s="567">
        <v>1717000</v>
      </c>
      <c r="D25" s="567">
        <v>1717000</v>
      </c>
      <c r="E25" s="567">
        <v>1717000</v>
      </c>
      <c r="F25" s="567">
        <f>SUM(B25:E25)</f>
        <v>6868000</v>
      </c>
      <c r="G25" s="536">
        <v>36000000</v>
      </c>
      <c r="H25" s="536">
        <f>+F25+G25</f>
        <v>42868000</v>
      </c>
      <c r="I25" s="536"/>
      <c r="J25" s="617"/>
      <c r="K25" s="653">
        <f t="shared" si="7"/>
        <v>42868000</v>
      </c>
      <c r="L25" s="658">
        <v>41298232</v>
      </c>
      <c r="M25" s="536">
        <f t="shared" si="8"/>
        <v>1569768</v>
      </c>
      <c r="N25" s="661">
        <f t="shared" si="9"/>
        <v>0.9633813567229635</v>
      </c>
    </row>
    <row r="26" spans="1:14" ht="14.25">
      <c r="A26" s="566" t="s">
        <v>54</v>
      </c>
      <c r="B26" s="536">
        <v>2177603</v>
      </c>
      <c r="C26" s="536">
        <v>1510361</v>
      </c>
      <c r="D26" s="536">
        <v>2937159</v>
      </c>
      <c r="E26" s="536">
        <v>2145007</v>
      </c>
      <c r="F26" s="567">
        <f t="shared" si="5"/>
        <v>8770130</v>
      </c>
      <c r="G26" s="536">
        <v>5901921</v>
      </c>
      <c r="H26" s="536">
        <f t="shared" si="6"/>
        <v>14672051</v>
      </c>
      <c r="I26" s="536"/>
      <c r="J26" s="617">
        <f>-221863-326985</f>
        <v>-548848</v>
      </c>
      <c r="K26" s="653">
        <f>+H26+I26+J26</f>
        <v>14123203</v>
      </c>
      <c r="L26" s="658">
        <v>13729310</v>
      </c>
      <c r="M26" s="536">
        <f>+K26-L26</f>
        <v>393893</v>
      </c>
      <c r="N26" s="661">
        <f t="shared" si="9"/>
        <v>0.9721102217393603</v>
      </c>
    </row>
    <row r="27" spans="1:14" ht="14.25">
      <c r="A27" s="566" t="s">
        <v>33</v>
      </c>
      <c r="B27" s="567"/>
      <c r="C27" s="567"/>
      <c r="D27" s="567">
        <v>394072</v>
      </c>
      <c r="E27" s="567"/>
      <c r="F27" s="567">
        <f t="shared" si="5"/>
        <v>394072</v>
      </c>
      <c r="G27" s="536">
        <v>9780042</v>
      </c>
      <c r="H27" s="536">
        <f t="shared" si="6"/>
        <v>10174114</v>
      </c>
      <c r="I27" s="536"/>
      <c r="J27" s="617"/>
      <c r="K27" s="653">
        <f t="shared" si="7"/>
        <v>10174114</v>
      </c>
      <c r="L27" s="658">
        <v>10172738</v>
      </c>
      <c r="M27" s="536">
        <f t="shared" si="8"/>
        <v>1376</v>
      </c>
      <c r="N27" s="661">
        <f t="shared" si="9"/>
        <v>0.9998647548081336</v>
      </c>
    </row>
    <row r="28" spans="1:14" ht="15">
      <c r="A28" s="566" t="s">
        <v>346</v>
      </c>
      <c r="B28" s="536">
        <v>2500000</v>
      </c>
      <c r="C28" s="536">
        <v>6000000</v>
      </c>
      <c r="D28" s="536">
        <v>35500000</v>
      </c>
      <c r="E28" s="567">
        <v>5000000</v>
      </c>
      <c r="F28" s="567">
        <f t="shared" si="5"/>
        <v>49000000</v>
      </c>
      <c r="G28" s="536">
        <v>3000000</v>
      </c>
      <c r="H28" s="536">
        <f t="shared" si="6"/>
        <v>52000000</v>
      </c>
      <c r="I28" s="536"/>
      <c r="J28" s="682"/>
      <c r="K28" s="653">
        <f t="shared" si="7"/>
        <v>52000000</v>
      </c>
      <c r="L28" s="658">
        <v>47363190</v>
      </c>
      <c r="M28" s="536">
        <f>+K28-L28</f>
        <v>4636810</v>
      </c>
      <c r="N28" s="661">
        <f t="shared" si="9"/>
        <v>0.9108305769230769</v>
      </c>
    </row>
    <row r="29" spans="1:14" ht="14.25">
      <c r="A29" s="566" t="s">
        <v>260</v>
      </c>
      <c r="B29" s="536"/>
      <c r="C29" s="567"/>
      <c r="D29" s="536">
        <v>4000000</v>
      </c>
      <c r="E29" s="567"/>
      <c r="F29" s="567">
        <f t="shared" si="5"/>
        <v>4000000</v>
      </c>
      <c r="G29" s="536">
        <v>3500000</v>
      </c>
      <c r="H29" s="536">
        <f t="shared" si="6"/>
        <v>7500000</v>
      </c>
      <c r="I29" s="536"/>
      <c r="J29" s="617"/>
      <c r="K29" s="653">
        <f t="shared" si="7"/>
        <v>7500000</v>
      </c>
      <c r="L29" s="658">
        <v>2131000</v>
      </c>
      <c r="M29" s="536">
        <f t="shared" si="8"/>
        <v>5369000</v>
      </c>
      <c r="N29" s="661">
        <f t="shared" si="9"/>
        <v>0.28413333333333335</v>
      </c>
    </row>
    <row r="30" spans="1:14" ht="14.25">
      <c r="A30" s="566" t="s">
        <v>34</v>
      </c>
      <c r="B30" s="536">
        <v>10000000</v>
      </c>
      <c r="C30" s="567">
        <v>750000</v>
      </c>
      <c r="D30" s="567">
        <v>8500000</v>
      </c>
      <c r="E30" s="567">
        <v>500000</v>
      </c>
      <c r="F30" s="567">
        <f t="shared" si="5"/>
        <v>19750000</v>
      </c>
      <c r="G30" s="536">
        <v>5000000</v>
      </c>
      <c r="H30" s="536">
        <f t="shared" si="6"/>
        <v>24750000</v>
      </c>
      <c r="I30" s="536"/>
      <c r="J30" s="617"/>
      <c r="K30" s="653">
        <f t="shared" si="7"/>
        <v>24750000</v>
      </c>
      <c r="L30" s="658">
        <v>10776949</v>
      </c>
      <c r="M30" s="536">
        <f t="shared" si="8"/>
        <v>13973051</v>
      </c>
      <c r="N30" s="661">
        <f t="shared" si="9"/>
        <v>0.43543228282828284</v>
      </c>
    </row>
    <row r="31" spans="1:14" ht="14.25">
      <c r="A31" s="566" t="s">
        <v>50</v>
      </c>
      <c r="B31" s="544"/>
      <c r="C31" s="567"/>
      <c r="D31" s="567">
        <v>300000</v>
      </c>
      <c r="E31" s="567"/>
      <c r="F31" s="567">
        <f t="shared" si="5"/>
        <v>300000</v>
      </c>
      <c r="G31" s="536">
        <v>925000</v>
      </c>
      <c r="H31" s="536">
        <f t="shared" si="6"/>
        <v>1225000</v>
      </c>
      <c r="I31" s="536"/>
      <c r="J31" s="617"/>
      <c r="K31" s="653">
        <f t="shared" si="7"/>
        <v>1225000</v>
      </c>
      <c r="L31" s="658">
        <v>972300</v>
      </c>
      <c r="M31" s="536">
        <f t="shared" si="8"/>
        <v>252700</v>
      </c>
      <c r="N31" s="661">
        <f t="shared" si="9"/>
        <v>0.7937142857142857</v>
      </c>
    </row>
    <row r="32" spans="1:14" ht="14.25">
      <c r="A32" s="566" t="s">
        <v>56</v>
      </c>
      <c r="B32" s="567">
        <v>35000000</v>
      </c>
      <c r="C32" s="567">
        <v>5200000</v>
      </c>
      <c r="D32" s="567">
        <v>4500000</v>
      </c>
      <c r="E32" s="567"/>
      <c r="F32" s="567">
        <f t="shared" si="5"/>
        <v>44700000</v>
      </c>
      <c r="G32" s="536">
        <v>2375000</v>
      </c>
      <c r="H32" s="536">
        <f t="shared" si="6"/>
        <v>47075000</v>
      </c>
      <c r="I32" s="536"/>
      <c r="J32" s="686">
        <f>1022645-1688907</f>
        <v>-666262</v>
      </c>
      <c r="K32" s="653">
        <f t="shared" si="7"/>
        <v>46408738</v>
      </c>
      <c r="L32" s="658">
        <v>40524114</v>
      </c>
      <c r="M32" s="536">
        <f>+K32-L32</f>
        <v>5884624</v>
      </c>
      <c r="N32" s="662">
        <f>+L32/K32</f>
        <v>0.8732000857252357</v>
      </c>
    </row>
    <row r="33" spans="1:14" ht="14.25">
      <c r="A33" s="566" t="s">
        <v>57</v>
      </c>
      <c r="B33" s="567"/>
      <c r="C33" s="567"/>
      <c r="D33" s="567">
        <v>0</v>
      </c>
      <c r="E33" s="567"/>
      <c r="F33" s="567">
        <f t="shared" si="5"/>
        <v>0</v>
      </c>
      <c r="G33" s="536">
        <v>4500000</v>
      </c>
      <c r="H33" s="536">
        <f t="shared" si="6"/>
        <v>4500000</v>
      </c>
      <c r="I33" s="536"/>
      <c r="J33" s="617"/>
      <c r="K33" s="653">
        <f t="shared" si="7"/>
        <v>4500000</v>
      </c>
      <c r="L33" s="658">
        <v>3551722</v>
      </c>
      <c r="M33" s="536">
        <f t="shared" si="8"/>
        <v>948278</v>
      </c>
      <c r="N33" s="662">
        <f>+L33/K33</f>
        <v>0.7892715555555555</v>
      </c>
    </row>
    <row r="34" spans="1:14" ht="14.25">
      <c r="A34" s="566" t="s">
        <v>58</v>
      </c>
      <c r="B34" s="567"/>
      <c r="C34" s="567"/>
      <c r="D34" s="567">
        <v>10000000</v>
      </c>
      <c r="E34" s="567"/>
      <c r="F34" s="567">
        <f t="shared" si="5"/>
        <v>10000000</v>
      </c>
      <c r="G34" s="536">
        <v>13750000</v>
      </c>
      <c r="H34" s="536">
        <f t="shared" si="6"/>
        <v>23750000</v>
      </c>
      <c r="I34" s="536"/>
      <c r="J34" s="617">
        <f>-1022645+1688907</f>
        <v>666262</v>
      </c>
      <c r="K34" s="653">
        <f>+H34+I34+J34</f>
        <v>24416262</v>
      </c>
      <c r="L34" s="658">
        <v>23671020</v>
      </c>
      <c r="M34" s="536">
        <f>+K34-L34</f>
        <v>745242</v>
      </c>
      <c r="N34" s="662">
        <f>+L34/K34</f>
        <v>0.9694776374860329</v>
      </c>
    </row>
    <row r="35" spans="1:14" ht="14.25">
      <c r="A35" s="566" t="s">
        <v>59</v>
      </c>
      <c r="B35" s="567"/>
      <c r="C35" s="567"/>
      <c r="D35" s="567">
        <v>0</v>
      </c>
      <c r="E35" s="567"/>
      <c r="F35" s="567">
        <f t="shared" si="5"/>
        <v>0</v>
      </c>
      <c r="G35" s="536"/>
      <c r="H35" s="536">
        <f t="shared" si="6"/>
        <v>0</v>
      </c>
      <c r="I35" s="536"/>
      <c r="J35" s="617"/>
      <c r="K35" s="653">
        <f t="shared" si="7"/>
        <v>0</v>
      </c>
      <c r="L35" s="658"/>
      <c r="M35" s="536">
        <f t="shared" si="8"/>
        <v>0</v>
      </c>
      <c r="N35" s="662">
        <v>0</v>
      </c>
    </row>
    <row r="36" spans="1:14" ht="15">
      <c r="A36" s="565" t="s">
        <v>327</v>
      </c>
      <c r="B36" s="537">
        <f aca="true" t="shared" si="10" ref="B36:G36">SUM(B22:B35)</f>
        <v>51394603</v>
      </c>
      <c r="C36" s="537">
        <f t="shared" si="10"/>
        <v>15177361</v>
      </c>
      <c r="D36" s="537">
        <f t="shared" si="10"/>
        <v>69098231</v>
      </c>
      <c r="E36" s="537">
        <f t="shared" si="10"/>
        <v>9362007</v>
      </c>
      <c r="F36" s="537">
        <f t="shared" si="10"/>
        <v>145032202</v>
      </c>
      <c r="G36" s="537">
        <f t="shared" si="10"/>
        <v>105369588</v>
      </c>
      <c r="H36" s="562">
        <f t="shared" si="6"/>
        <v>250401790</v>
      </c>
      <c r="I36" s="562">
        <f>SUM(I22:I35)</f>
        <v>3500000</v>
      </c>
      <c r="J36" s="682">
        <f>SUM(J22:J35)</f>
        <v>-548848</v>
      </c>
      <c r="K36" s="652">
        <f>+H36+I36+J36</f>
        <v>253352942</v>
      </c>
      <c r="L36" s="657">
        <f>+SUM(L22:L35)</f>
        <v>212356371</v>
      </c>
      <c r="M36" s="562">
        <f>+K36-L36</f>
        <v>40996571</v>
      </c>
      <c r="N36" s="716">
        <f>+L36/K36</f>
        <v>0.8381839552508532</v>
      </c>
    </row>
    <row r="37" spans="1:14" s="377" customFormat="1" ht="15">
      <c r="A37" s="565" t="s">
        <v>328</v>
      </c>
      <c r="B37" s="537">
        <f aca="true" t="shared" si="11" ref="B37:G37">+B36+B20</f>
        <v>221406574</v>
      </c>
      <c r="C37" s="537">
        <f t="shared" si="11"/>
        <v>46509393</v>
      </c>
      <c r="D37" s="537">
        <f t="shared" si="11"/>
        <v>301222661</v>
      </c>
      <c r="E37" s="537">
        <f t="shared" si="11"/>
        <v>77463685</v>
      </c>
      <c r="F37" s="537">
        <f t="shared" si="11"/>
        <v>646602313</v>
      </c>
      <c r="G37" s="537">
        <f t="shared" si="11"/>
        <v>169300999</v>
      </c>
      <c r="H37" s="537">
        <f>+H36+H20</f>
        <v>815903312</v>
      </c>
      <c r="I37" s="537">
        <f>+I36+I20</f>
        <v>3500000</v>
      </c>
      <c r="J37" s="682">
        <f>+J36+J20</f>
        <v>0</v>
      </c>
      <c r="K37" s="654">
        <f aca="true" t="shared" si="12" ref="K37:K71">+H37+I37</f>
        <v>819403312</v>
      </c>
      <c r="L37" s="659">
        <f>+L36+L20</f>
        <v>739634702</v>
      </c>
      <c r="M37" s="537">
        <f>+K37-L37</f>
        <v>79768610</v>
      </c>
      <c r="N37" s="719">
        <f>+L37/K37</f>
        <v>0.9026503690773464</v>
      </c>
    </row>
    <row r="38" spans="1:14" ht="15">
      <c r="A38" s="566"/>
      <c r="B38" s="544"/>
      <c r="C38" s="544"/>
      <c r="D38" s="544"/>
      <c r="E38" s="544"/>
      <c r="F38" s="544"/>
      <c r="G38" s="544"/>
      <c r="H38" s="544"/>
      <c r="I38" s="544"/>
      <c r="J38" s="536"/>
      <c r="K38" s="651"/>
      <c r="L38" s="656"/>
      <c r="M38" s="544"/>
      <c r="N38" s="719"/>
    </row>
    <row r="39" spans="1:14" ht="15">
      <c r="A39" s="565" t="s">
        <v>21</v>
      </c>
      <c r="B39" s="537">
        <f>+B41</f>
        <v>384065948</v>
      </c>
      <c r="C39" s="537">
        <f>+C115</f>
        <v>229353840</v>
      </c>
      <c r="D39" s="537">
        <f>+D148</f>
        <v>1382937601</v>
      </c>
      <c r="E39" s="537">
        <f>+E67</f>
        <v>683296000</v>
      </c>
      <c r="F39" s="537">
        <f>+E39+D39+C39+B39</f>
        <v>2679653389</v>
      </c>
      <c r="G39" s="537">
        <v>0</v>
      </c>
      <c r="H39" s="537">
        <f>+G39+F39</f>
        <v>2679653389</v>
      </c>
      <c r="I39" s="537">
        <f>+I41+I67+I115+I148</f>
        <v>11500000</v>
      </c>
      <c r="J39" s="536"/>
      <c r="K39" s="654">
        <f t="shared" si="12"/>
        <v>2691153389</v>
      </c>
      <c r="L39" s="659">
        <f>+L41+L67+L115+L148</f>
        <v>1990480314</v>
      </c>
      <c r="M39" s="537">
        <f>+M41+M67+M115+M148</f>
        <v>700673075</v>
      </c>
      <c r="N39" s="719">
        <f>+L39/K39</f>
        <v>0.7396383729504317</v>
      </c>
    </row>
    <row r="40" spans="1:15" ht="15">
      <c r="A40" s="566"/>
      <c r="B40" s="544"/>
      <c r="C40" s="544"/>
      <c r="D40" s="544"/>
      <c r="E40" s="544"/>
      <c r="F40" s="536"/>
      <c r="G40" s="544"/>
      <c r="H40" s="544"/>
      <c r="I40" s="544"/>
      <c r="J40" s="562"/>
      <c r="K40" s="651"/>
      <c r="L40" s="656"/>
      <c r="M40" s="544"/>
      <c r="N40" s="720"/>
      <c r="O40" s="4"/>
    </row>
    <row r="41" spans="1:14" ht="15">
      <c r="A41" s="732" t="s">
        <v>9</v>
      </c>
      <c r="B41" s="675">
        <f>+B42+B51+B56+B61</f>
        <v>384065948</v>
      </c>
      <c r="C41" s="676"/>
      <c r="D41" s="676"/>
      <c r="E41" s="677"/>
      <c r="F41" s="676">
        <f>+E41+D41+C41+B41</f>
        <v>384065948</v>
      </c>
      <c r="G41" s="677"/>
      <c r="H41" s="682">
        <f>+G41+F41</f>
        <v>384065948</v>
      </c>
      <c r="I41" s="676"/>
      <c r="J41" s="536"/>
      <c r="K41" s="684">
        <f t="shared" si="12"/>
        <v>384065948</v>
      </c>
      <c r="L41" s="685">
        <f>+L42+L51+L56+L61</f>
        <v>201128885</v>
      </c>
      <c r="M41" s="682">
        <f aca="true" t="shared" si="13" ref="M41:M54">+K41-L41</f>
        <v>182937063</v>
      </c>
      <c r="N41" s="724">
        <f>+L41/K41</f>
        <v>0.5236832008861145</v>
      </c>
    </row>
    <row r="42" spans="1:14" s="375" customFormat="1" ht="14.25">
      <c r="A42" s="681" t="s">
        <v>372</v>
      </c>
      <c r="B42" s="686">
        <f>+B43+B46+B47+B48+B49+B50</f>
        <v>284836756</v>
      </c>
      <c r="C42" s="733"/>
      <c r="D42" s="733"/>
      <c r="E42" s="733"/>
      <c r="F42" s="686">
        <f>+B42+C42+D42+E42</f>
        <v>284836756</v>
      </c>
      <c r="G42" s="733"/>
      <c r="H42" s="686">
        <f aca="true" t="shared" si="14" ref="H42:H65">+G42+F42</f>
        <v>284836756</v>
      </c>
      <c r="I42" s="686"/>
      <c r="J42" s="536"/>
      <c r="K42" s="734">
        <f t="shared" si="12"/>
        <v>284836756</v>
      </c>
      <c r="L42" s="701">
        <f>+L43+L46+L47+L48+L49+L50</f>
        <v>116565753</v>
      </c>
      <c r="M42" s="686">
        <f t="shared" si="13"/>
        <v>168271003</v>
      </c>
      <c r="N42" s="735">
        <f aca="true" t="shared" si="15" ref="N42:N65">+L42/K42</f>
        <v>0.409237047342303</v>
      </c>
    </row>
    <row r="43" spans="1:14" s="375" customFormat="1" ht="14.25" hidden="1" outlineLevel="1">
      <c r="A43" s="681" t="s">
        <v>455</v>
      </c>
      <c r="B43" s="686">
        <f>+B44+B45</f>
        <v>214918895</v>
      </c>
      <c r="C43" s="733"/>
      <c r="D43" s="733"/>
      <c r="E43" s="733"/>
      <c r="F43" s="736">
        <f aca="true" t="shared" si="16" ref="F43:F65">+B43+C43+D43+E43</f>
        <v>214918895</v>
      </c>
      <c r="G43" s="733"/>
      <c r="H43" s="686">
        <f t="shared" si="14"/>
        <v>214918895</v>
      </c>
      <c r="I43" s="686"/>
      <c r="J43" s="536"/>
      <c r="K43" s="734">
        <f t="shared" si="12"/>
        <v>214918895</v>
      </c>
      <c r="L43" s="701">
        <f>+L44+L45</f>
        <v>91717916</v>
      </c>
      <c r="M43" s="686">
        <f t="shared" si="13"/>
        <v>123200979</v>
      </c>
      <c r="N43" s="735">
        <f t="shared" si="15"/>
        <v>0.4267559443761331</v>
      </c>
    </row>
    <row r="44" spans="1:14" s="375" customFormat="1" ht="15" hidden="1" outlineLevel="2">
      <c r="A44" s="681" t="s">
        <v>543</v>
      </c>
      <c r="B44" s="686">
        <v>134152374</v>
      </c>
      <c r="C44" s="686"/>
      <c r="D44" s="733"/>
      <c r="E44" s="733"/>
      <c r="F44" s="736">
        <f>+B44</f>
        <v>134152374</v>
      </c>
      <c r="G44" s="733"/>
      <c r="H44" s="686">
        <f>+F44</f>
        <v>134152374</v>
      </c>
      <c r="I44" s="686"/>
      <c r="J44" s="562"/>
      <c r="K44" s="734">
        <f t="shared" si="12"/>
        <v>134152374</v>
      </c>
      <c r="L44" s="701">
        <v>73374330.4</v>
      </c>
      <c r="M44" s="686">
        <f t="shared" si="13"/>
        <v>60778043.599999994</v>
      </c>
      <c r="N44" s="735">
        <f t="shared" si="15"/>
        <v>0.5469476850256858</v>
      </c>
    </row>
    <row r="45" spans="1:14" s="375" customFormat="1" ht="14.25" hidden="1" outlineLevel="2">
      <c r="A45" s="681" t="s">
        <v>562</v>
      </c>
      <c r="B45" s="686">
        <f>36600688+44165833</f>
        <v>80766521</v>
      </c>
      <c r="C45" s="733"/>
      <c r="D45" s="733"/>
      <c r="E45" s="733"/>
      <c r="F45" s="736">
        <f>+B45</f>
        <v>80766521</v>
      </c>
      <c r="G45" s="733"/>
      <c r="H45" s="686">
        <f>+F45</f>
        <v>80766521</v>
      </c>
      <c r="I45" s="686"/>
      <c r="J45" s="536"/>
      <c r="K45" s="734">
        <f t="shared" si="12"/>
        <v>80766521</v>
      </c>
      <c r="L45" s="701">
        <v>18343585.6</v>
      </c>
      <c r="M45" s="686">
        <f t="shared" si="13"/>
        <v>62422935.4</v>
      </c>
      <c r="N45" s="735">
        <f t="shared" si="15"/>
        <v>0.2271186795330704</v>
      </c>
    </row>
    <row r="46" spans="1:14" s="375" customFormat="1" ht="14.25" hidden="1" outlineLevel="1">
      <c r="A46" s="692" t="s">
        <v>393</v>
      </c>
      <c r="B46" s="686">
        <v>28160993</v>
      </c>
      <c r="C46" s="733"/>
      <c r="D46" s="733"/>
      <c r="E46" s="733"/>
      <c r="F46" s="736">
        <f t="shared" si="16"/>
        <v>28160993</v>
      </c>
      <c r="G46" s="733"/>
      <c r="H46" s="686">
        <f t="shared" si="14"/>
        <v>28160993</v>
      </c>
      <c r="I46" s="686"/>
      <c r="J46" s="536"/>
      <c r="K46" s="734">
        <f t="shared" si="12"/>
        <v>28160993</v>
      </c>
      <c r="L46" s="701">
        <v>1207544</v>
      </c>
      <c r="M46" s="686">
        <f t="shared" si="13"/>
        <v>26953449</v>
      </c>
      <c r="N46" s="735">
        <f t="shared" si="15"/>
        <v>0.042880022021950716</v>
      </c>
    </row>
    <row r="47" spans="1:14" s="375" customFormat="1" ht="14.25" hidden="1" outlineLevel="1">
      <c r="A47" s="692" t="s">
        <v>394</v>
      </c>
      <c r="B47" s="686">
        <v>17330618</v>
      </c>
      <c r="C47" s="686"/>
      <c r="D47" s="733"/>
      <c r="E47" s="733"/>
      <c r="F47" s="736">
        <f t="shared" si="16"/>
        <v>17330618</v>
      </c>
      <c r="G47" s="733"/>
      <c r="H47" s="686">
        <f t="shared" si="14"/>
        <v>17330618</v>
      </c>
      <c r="I47" s="686"/>
      <c r="J47" s="536"/>
      <c r="K47" s="734">
        <f t="shared" si="12"/>
        <v>17330618</v>
      </c>
      <c r="L47" s="701">
        <v>15522479</v>
      </c>
      <c r="M47" s="686">
        <f t="shared" si="13"/>
        <v>1808139</v>
      </c>
      <c r="N47" s="735">
        <f t="shared" si="15"/>
        <v>0.8956679444437584</v>
      </c>
    </row>
    <row r="48" spans="1:14" s="375" customFormat="1" ht="15" hidden="1" outlineLevel="1">
      <c r="A48" s="692" t="s">
        <v>395</v>
      </c>
      <c r="B48" s="686">
        <v>12000000</v>
      </c>
      <c r="C48" s="733"/>
      <c r="D48" s="733"/>
      <c r="E48" s="733"/>
      <c r="F48" s="736">
        <f t="shared" si="16"/>
        <v>12000000</v>
      </c>
      <c r="G48" s="733"/>
      <c r="H48" s="686">
        <f t="shared" si="14"/>
        <v>12000000</v>
      </c>
      <c r="I48" s="686"/>
      <c r="J48" s="562"/>
      <c r="K48" s="734">
        <f t="shared" si="12"/>
        <v>12000000</v>
      </c>
      <c r="L48" s="701">
        <v>2147564</v>
      </c>
      <c r="M48" s="686">
        <f t="shared" si="13"/>
        <v>9852436</v>
      </c>
      <c r="N48" s="735">
        <f t="shared" si="15"/>
        <v>0.17896366666666666</v>
      </c>
    </row>
    <row r="49" spans="1:14" s="375" customFormat="1" ht="14.25" hidden="1" outlineLevel="1">
      <c r="A49" s="692" t="s">
        <v>526</v>
      </c>
      <c r="B49" s="686">
        <v>6126250</v>
      </c>
      <c r="C49" s="733"/>
      <c r="D49" s="733"/>
      <c r="E49" s="733"/>
      <c r="F49" s="736">
        <f t="shared" si="16"/>
        <v>6126250</v>
      </c>
      <c r="G49" s="733"/>
      <c r="H49" s="686">
        <f t="shared" si="14"/>
        <v>6126250</v>
      </c>
      <c r="I49" s="686"/>
      <c r="J49" s="536"/>
      <c r="K49" s="734">
        <f t="shared" si="12"/>
        <v>6126250</v>
      </c>
      <c r="L49" s="701">
        <v>1196250</v>
      </c>
      <c r="M49" s="686">
        <f t="shared" si="13"/>
        <v>4930000</v>
      </c>
      <c r="N49" s="735">
        <f t="shared" si="15"/>
        <v>0.1952662721893491</v>
      </c>
    </row>
    <row r="50" spans="1:14" s="375" customFormat="1" ht="14.25" hidden="1" outlineLevel="1">
      <c r="A50" s="692" t="s">
        <v>547</v>
      </c>
      <c r="B50" s="686">
        <v>6300000</v>
      </c>
      <c r="C50" s="733"/>
      <c r="D50" s="733"/>
      <c r="E50" s="733"/>
      <c r="F50" s="736">
        <f t="shared" si="16"/>
        <v>6300000</v>
      </c>
      <c r="G50" s="733"/>
      <c r="H50" s="686">
        <f t="shared" si="14"/>
        <v>6300000</v>
      </c>
      <c r="I50" s="686"/>
      <c r="J50" s="536"/>
      <c r="K50" s="734">
        <f t="shared" si="12"/>
        <v>6300000</v>
      </c>
      <c r="L50" s="701">
        <v>4774000</v>
      </c>
      <c r="M50" s="686">
        <f t="shared" si="13"/>
        <v>1526000</v>
      </c>
      <c r="N50" s="735">
        <f t="shared" si="15"/>
        <v>0.7577777777777778</v>
      </c>
    </row>
    <row r="51" spans="1:14" s="375" customFormat="1" ht="14.25" collapsed="1">
      <c r="A51" s="681" t="s">
        <v>10</v>
      </c>
      <c r="B51" s="686">
        <f>+B52+B53+B54</f>
        <v>37289892</v>
      </c>
      <c r="C51" s="733"/>
      <c r="D51" s="733"/>
      <c r="E51" s="733"/>
      <c r="F51" s="686">
        <f t="shared" si="16"/>
        <v>37289892</v>
      </c>
      <c r="G51" s="733"/>
      <c r="H51" s="686">
        <f t="shared" si="14"/>
        <v>37289892</v>
      </c>
      <c r="I51" s="686"/>
      <c r="J51" s="536"/>
      <c r="K51" s="734">
        <f t="shared" si="12"/>
        <v>37289892</v>
      </c>
      <c r="L51" s="701">
        <f>+L52+L53+L54</f>
        <v>27146204</v>
      </c>
      <c r="M51" s="686">
        <f t="shared" si="13"/>
        <v>10143688</v>
      </c>
      <c r="N51" s="735">
        <f t="shared" si="15"/>
        <v>0.7279775441559337</v>
      </c>
    </row>
    <row r="52" spans="1:14" s="375" customFormat="1" ht="15" hidden="1" outlineLevel="2">
      <c r="A52" s="692" t="s">
        <v>373</v>
      </c>
      <c r="B52" s="686">
        <v>9689492</v>
      </c>
      <c r="C52" s="733"/>
      <c r="D52" s="733"/>
      <c r="E52" s="733"/>
      <c r="F52" s="736">
        <f t="shared" si="16"/>
        <v>9689492</v>
      </c>
      <c r="G52" s="733"/>
      <c r="H52" s="686">
        <f t="shared" si="14"/>
        <v>9689492</v>
      </c>
      <c r="I52" s="686"/>
      <c r="J52" s="562"/>
      <c r="K52" s="734">
        <f t="shared" si="12"/>
        <v>9689492</v>
      </c>
      <c r="L52" s="701">
        <v>8198850</v>
      </c>
      <c r="M52" s="686">
        <f t="shared" si="13"/>
        <v>1490642</v>
      </c>
      <c r="N52" s="735">
        <f t="shared" si="15"/>
        <v>0.8461589111173218</v>
      </c>
    </row>
    <row r="53" spans="1:14" s="375" customFormat="1" ht="14.25" hidden="1" outlineLevel="2">
      <c r="A53" s="692" t="s">
        <v>374</v>
      </c>
      <c r="B53" s="686">
        <v>13900000</v>
      </c>
      <c r="C53" s="733"/>
      <c r="D53" s="733"/>
      <c r="E53" s="733"/>
      <c r="F53" s="736">
        <f t="shared" si="16"/>
        <v>13900000</v>
      </c>
      <c r="G53" s="733"/>
      <c r="H53" s="686">
        <f t="shared" si="14"/>
        <v>13900000</v>
      </c>
      <c r="I53" s="686"/>
      <c r="J53" s="536"/>
      <c r="K53" s="734">
        <f t="shared" si="12"/>
        <v>13900000</v>
      </c>
      <c r="L53" s="701">
        <v>6047354</v>
      </c>
      <c r="M53" s="686">
        <f t="shared" si="13"/>
        <v>7852646</v>
      </c>
      <c r="N53" s="735">
        <f t="shared" si="15"/>
        <v>0.43506143884892085</v>
      </c>
    </row>
    <row r="54" spans="1:14" s="375" customFormat="1" ht="14.25" hidden="1" outlineLevel="2">
      <c r="A54" s="692" t="s">
        <v>463</v>
      </c>
      <c r="B54" s="686">
        <v>13700400</v>
      </c>
      <c r="C54" s="733"/>
      <c r="D54" s="733"/>
      <c r="E54" s="733"/>
      <c r="F54" s="736">
        <f t="shared" si="16"/>
        <v>13700400</v>
      </c>
      <c r="G54" s="733"/>
      <c r="H54" s="686">
        <f t="shared" si="14"/>
        <v>13700400</v>
      </c>
      <c r="I54" s="686"/>
      <c r="J54" s="536"/>
      <c r="K54" s="734">
        <f t="shared" si="12"/>
        <v>13700400</v>
      </c>
      <c r="L54" s="701">
        <v>12900000</v>
      </c>
      <c r="M54" s="686">
        <f t="shared" si="13"/>
        <v>800400</v>
      </c>
      <c r="N54" s="735">
        <f t="shared" si="15"/>
        <v>0.9415783480774284</v>
      </c>
    </row>
    <row r="55" spans="1:14" s="375" customFormat="1" ht="14.25" hidden="1" outlineLevel="2">
      <c r="A55" s="692"/>
      <c r="B55" s="686"/>
      <c r="C55" s="733"/>
      <c r="D55" s="733"/>
      <c r="E55" s="733"/>
      <c r="F55" s="686"/>
      <c r="G55" s="733"/>
      <c r="H55" s="686"/>
      <c r="I55" s="686"/>
      <c r="J55" s="536"/>
      <c r="K55" s="734"/>
      <c r="L55" s="701"/>
      <c r="M55" s="686"/>
      <c r="N55" s="735"/>
    </row>
    <row r="56" spans="1:14" s="375" customFormat="1" ht="15" collapsed="1">
      <c r="A56" s="681" t="s">
        <v>192</v>
      </c>
      <c r="B56" s="686">
        <f>+B57+B58+B59</f>
        <v>31369300</v>
      </c>
      <c r="C56" s="737"/>
      <c r="D56" s="686"/>
      <c r="E56" s="686"/>
      <c r="F56" s="686">
        <f t="shared" si="16"/>
        <v>31369300</v>
      </c>
      <c r="G56" s="733"/>
      <c r="H56" s="686">
        <f t="shared" si="14"/>
        <v>31369300</v>
      </c>
      <c r="I56" s="686"/>
      <c r="J56" s="562"/>
      <c r="K56" s="734">
        <f t="shared" si="12"/>
        <v>31369300</v>
      </c>
      <c r="L56" s="701">
        <f>+L57+L58+L59</f>
        <v>28559755</v>
      </c>
      <c r="M56" s="686">
        <f>+K56-L56</f>
        <v>2809545</v>
      </c>
      <c r="N56" s="735">
        <f t="shared" si="15"/>
        <v>0.9104364777027221</v>
      </c>
    </row>
    <row r="57" spans="1:14" s="375" customFormat="1" ht="14.25" hidden="1" outlineLevel="1">
      <c r="A57" s="692" t="s">
        <v>341</v>
      </c>
      <c r="B57" s="686">
        <v>24339553</v>
      </c>
      <c r="C57" s="733"/>
      <c r="D57" s="733"/>
      <c r="E57" s="686"/>
      <c r="F57" s="736">
        <f t="shared" si="16"/>
        <v>24339553</v>
      </c>
      <c r="G57" s="733"/>
      <c r="H57" s="686">
        <f t="shared" si="14"/>
        <v>24339553</v>
      </c>
      <c r="I57" s="686"/>
      <c r="J57" s="536"/>
      <c r="K57" s="734">
        <f t="shared" si="12"/>
        <v>24339553</v>
      </c>
      <c r="L57" s="701">
        <v>21862124</v>
      </c>
      <c r="M57" s="686">
        <f>+K57-L57</f>
        <v>2477429</v>
      </c>
      <c r="N57" s="735">
        <f t="shared" si="15"/>
        <v>0.8982138661297518</v>
      </c>
    </row>
    <row r="58" spans="1:14" s="375" customFormat="1" ht="14.25" hidden="1" outlineLevel="1">
      <c r="A58" s="692" t="s">
        <v>396</v>
      </c>
      <c r="B58" s="686">
        <v>7029747</v>
      </c>
      <c r="C58" s="733"/>
      <c r="D58" s="733"/>
      <c r="E58" s="686"/>
      <c r="F58" s="736">
        <f t="shared" si="16"/>
        <v>7029747</v>
      </c>
      <c r="G58" s="733"/>
      <c r="H58" s="686">
        <f t="shared" si="14"/>
        <v>7029747</v>
      </c>
      <c r="I58" s="686"/>
      <c r="J58" s="536"/>
      <c r="K58" s="734">
        <f t="shared" si="12"/>
        <v>7029747</v>
      </c>
      <c r="L58" s="701">
        <v>6697631</v>
      </c>
      <c r="M58" s="686">
        <f>+K58-L58</f>
        <v>332116</v>
      </c>
      <c r="N58" s="735">
        <f t="shared" si="15"/>
        <v>0.9527556254869486</v>
      </c>
    </row>
    <row r="59" spans="1:14" s="375" customFormat="1" ht="28.5" hidden="1" outlineLevel="1">
      <c r="A59" s="738" t="s">
        <v>524</v>
      </c>
      <c r="B59" s="686">
        <v>0</v>
      </c>
      <c r="C59" s="733"/>
      <c r="D59" s="733"/>
      <c r="E59" s="686"/>
      <c r="F59" s="736">
        <f t="shared" si="16"/>
        <v>0</v>
      </c>
      <c r="G59" s="733"/>
      <c r="H59" s="686">
        <f t="shared" si="14"/>
        <v>0</v>
      </c>
      <c r="I59" s="686"/>
      <c r="J59" s="536"/>
      <c r="K59" s="734">
        <f t="shared" si="12"/>
        <v>0</v>
      </c>
      <c r="L59" s="701">
        <v>0</v>
      </c>
      <c r="M59" s="686">
        <f>+K59-L59</f>
        <v>0</v>
      </c>
      <c r="N59" s="735">
        <v>0</v>
      </c>
    </row>
    <row r="60" spans="1:14" s="375" customFormat="1" ht="15" hidden="1" outlineLevel="1">
      <c r="A60" s="692"/>
      <c r="B60" s="686"/>
      <c r="C60" s="733"/>
      <c r="D60" s="733"/>
      <c r="E60" s="686"/>
      <c r="F60" s="686"/>
      <c r="G60" s="733"/>
      <c r="H60" s="686"/>
      <c r="I60" s="686"/>
      <c r="J60" s="562"/>
      <c r="K60" s="734"/>
      <c r="L60" s="701"/>
      <c r="M60" s="686"/>
      <c r="N60" s="735"/>
    </row>
    <row r="61" spans="1:14" s="375" customFormat="1" ht="14.25" collapsed="1">
      <c r="A61" s="681" t="s">
        <v>208</v>
      </c>
      <c r="B61" s="686">
        <f>+B62+B63+B64+B65</f>
        <v>30570000</v>
      </c>
      <c r="C61" s="733"/>
      <c r="D61" s="733"/>
      <c r="E61" s="733"/>
      <c r="F61" s="686">
        <f t="shared" si="16"/>
        <v>30570000</v>
      </c>
      <c r="G61" s="733"/>
      <c r="H61" s="686">
        <f t="shared" si="14"/>
        <v>30570000</v>
      </c>
      <c r="I61" s="686"/>
      <c r="J61" s="536"/>
      <c r="K61" s="734">
        <f t="shared" si="12"/>
        <v>30570000</v>
      </c>
      <c r="L61" s="701">
        <f>+L62+L63+L64+L65</f>
        <v>28857173</v>
      </c>
      <c r="M61" s="686">
        <f>+K61-L61</f>
        <v>1712827</v>
      </c>
      <c r="N61" s="735">
        <f t="shared" si="15"/>
        <v>0.9439703303892705</v>
      </c>
    </row>
    <row r="62" spans="1:14" s="375" customFormat="1" ht="15" hidden="1" outlineLevel="1">
      <c r="A62" s="694" t="s">
        <v>397</v>
      </c>
      <c r="B62" s="691">
        <v>14400000</v>
      </c>
      <c r="C62" s="693"/>
      <c r="D62" s="693"/>
      <c r="E62" s="693"/>
      <c r="F62" s="687">
        <f t="shared" si="16"/>
        <v>14400000</v>
      </c>
      <c r="G62" s="696"/>
      <c r="H62" s="617">
        <f t="shared" si="14"/>
        <v>14400000</v>
      </c>
      <c r="I62" s="617"/>
      <c r="J62" s="536"/>
      <c r="K62" s="688">
        <f t="shared" si="12"/>
        <v>14400000</v>
      </c>
      <c r="L62" s="689">
        <v>14360000</v>
      </c>
      <c r="M62" s="686">
        <f>+K62-L62</f>
        <v>40000</v>
      </c>
      <c r="N62" s="735">
        <f t="shared" si="15"/>
        <v>0.9972222222222222</v>
      </c>
    </row>
    <row r="63" spans="1:14" s="375" customFormat="1" ht="15" hidden="1" outlineLevel="1">
      <c r="A63" s="694" t="s">
        <v>337</v>
      </c>
      <c r="B63" s="691">
        <v>13050000</v>
      </c>
      <c r="C63" s="693"/>
      <c r="D63" s="693"/>
      <c r="E63" s="693"/>
      <c r="F63" s="687">
        <f t="shared" si="16"/>
        <v>13050000</v>
      </c>
      <c r="G63" s="696"/>
      <c r="H63" s="617">
        <f t="shared" si="14"/>
        <v>13050000</v>
      </c>
      <c r="I63" s="617"/>
      <c r="J63" s="536"/>
      <c r="K63" s="688">
        <f t="shared" si="12"/>
        <v>13050000</v>
      </c>
      <c r="L63" s="689">
        <v>11867380</v>
      </c>
      <c r="M63" s="686">
        <f>+K63-L63</f>
        <v>1182620</v>
      </c>
      <c r="N63" s="735">
        <f t="shared" si="15"/>
        <v>0.9093777777777777</v>
      </c>
    </row>
    <row r="64" spans="1:14" s="375" customFormat="1" ht="15" hidden="1" outlineLevel="1">
      <c r="A64" s="697" t="s">
        <v>493</v>
      </c>
      <c r="B64" s="691">
        <v>0</v>
      </c>
      <c r="C64" s="693"/>
      <c r="D64" s="693"/>
      <c r="E64" s="693"/>
      <c r="F64" s="687">
        <f t="shared" si="16"/>
        <v>0</v>
      </c>
      <c r="G64" s="696"/>
      <c r="H64" s="617">
        <f t="shared" si="14"/>
        <v>0</v>
      </c>
      <c r="I64" s="617"/>
      <c r="J64" s="562"/>
      <c r="K64" s="688">
        <f t="shared" si="12"/>
        <v>0</v>
      </c>
      <c r="L64" s="689">
        <v>0</v>
      </c>
      <c r="M64" s="686">
        <f>+K64-L64</f>
        <v>0</v>
      </c>
      <c r="N64" s="735">
        <v>0</v>
      </c>
    </row>
    <row r="65" spans="1:14" s="375" customFormat="1" ht="15" hidden="1" outlineLevel="1">
      <c r="A65" s="698" t="s">
        <v>456</v>
      </c>
      <c r="B65" s="691">
        <v>3120000</v>
      </c>
      <c r="C65" s="693"/>
      <c r="D65" s="693"/>
      <c r="E65" s="693"/>
      <c r="F65" s="687">
        <f t="shared" si="16"/>
        <v>3120000</v>
      </c>
      <c r="G65" s="696"/>
      <c r="H65" s="617">
        <f t="shared" si="14"/>
        <v>3120000</v>
      </c>
      <c r="I65" s="617"/>
      <c r="J65" s="536"/>
      <c r="K65" s="688">
        <f t="shared" si="12"/>
        <v>3120000</v>
      </c>
      <c r="L65" s="689">
        <v>2629793</v>
      </c>
      <c r="M65" s="617">
        <f>+K65-L65</f>
        <v>490207</v>
      </c>
      <c r="N65" s="735">
        <f t="shared" si="15"/>
        <v>0.8428823717948718</v>
      </c>
    </row>
    <row r="66" spans="1:14" s="375" customFormat="1" ht="15" collapsed="1">
      <c r="A66" s="694"/>
      <c r="B66" s="617"/>
      <c r="C66" s="677"/>
      <c r="D66" s="677"/>
      <c r="E66" s="699"/>
      <c r="F66" s="617"/>
      <c r="G66" s="677"/>
      <c r="H66" s="617"/>
      <c r="I66" s="617"/>
      <c r="J66" s="536"/>
      <c r="K66" s="688"/>
      <c r="L66" s="689"/>
      <c r="M66" s="617"/>
      <c r="N66" s="722"/>
    </row>
    <row r="67" spans="1:14" ht="15">
      <c r="A67" s="732" t="s">
        <v>11</v>
      </c>
      <c r="B67" s="683"/>
      <c r="C67" s="682"/>
      <c r="D67" s="682"/>
      <c r="E67" s="682">
        <f>+E68+E74+E82+E90+E99+E109</f>
        <v>683296000</v>
      </c>
      <c r="F67" s="682">
        <f>+E67</f>
        <v>683296000</v>
      </c>
      <c r="G67" s="693"/>
      <c r="H67" s="682">
        <f>+G67+F67</f>
        <v>683296000</v>
      </c>
      <c r="I67" s="682">
        <f>+I68+I74+I82+I90+I99+I109</f>
        <v>6500000</v>
      </c>
      <c r="J67" s="536"/>
      <c r="K67" s="684">
        <f t="shared" si="12"/>
        <v>689796000</v>
      </c>
      <c r="L67" s="685">
        <f>+L68+L74+L82+L90+L99+L109</f>
        <v>454130309</v>
      </c>
      <c r="M67" s="682">
        <f>+M68+M74+M82+M90+M99+M109</f>
        <v>235665691</v>
      </c>
      <c r="N67" s="724">
        <f>+L67/K67</f>
        <v>0.6583545120586376</v>
      </c>
    </row>
    <row r="68" spans="1:14" ht="15">
      <c r="A68" s="680" t="s">
        <v>379</v>
      </c>
      <c r="B68" s="675"/>
      <c r="C68" s="617"/>
      <c r="D68" s="617"/>
      <c r="E68" s="682">
        <f>SUM(E69:E73)</f>
        <v>32000000</v>
      </c>
      <c r="F68" s="676">
        <f>SUM(F69:F73)</f>
        <v>32000000</v>
      </c>
      <c r="G68" s="695"/>
      <c r="H68" s="676">
        <f aca="true" t="shared" si="17" ref="H68:H115">+G68+F68</f>
        <v>32000000</v>
      </c>
      <c r="I68" s="676"/>
      <c r="J68" s="562"/>
      <c r="K68" s="678">
        <f t="shared" si="12"/>
        <v>32000000</v>
      </c>
      <c r="L68" s="701">
        <f>+SUM(L69:L72)</f>
        <v>31980040</v>
      </c>
      <c r="M68" s="676">
        <f>+K68-L68</f>
        <v>19960</v>
      </c>
      <c r="N68" s="721">
        <f aca="true" t="shared" si="18" ref="N68:N113">+L68/K68</f>
        <v>0.99937625</v>
      </c>
    </row>
    <row r="69" spans="1:14" ht="15" hidden="1" outlineLevel="1">
      <c r="A69" s="700" t="s">
        <v>380</v>
      </c>
      <c r="B69" s="675"/>
      <c r="C69" s="617"/>
      <c r="D69" s="617"/>
      <c r="E69" s="686">
        <v>32000000</v>
      </c>
      <c r="F69" s="687">
        <f>SUM(B69:E69)</f>
        <v>32000000</v>
      </c>
      <c r="G69" s="695"/>
      <c r="H69" s="617">
        <f t="shared" si="17"/>
        <v>32000000</v>
      </c>
      <c r="I69" s="617"/>
      <c r="J69" s="536"/>
      <c r="K69" s="688">
        <f t="shared" si="12"/>
        <v>32000000</v>
      </c>
      <c r="L69" s="701">
        <v>31980040</v>
      </c>
      <c r="M69" s="686">
        <f aca="true" t="shared" si="19" ref="M69:M81">+K69-L69</f>
        <v>19960</v>
      </c>
      <c r="N69" s="721">
        <f t="shared" si="18"/>
        <v>0.99937625</v>
      </c>
    </row>
    <row r="70" spans="1:14" ht="15" hidden="1" outlineLevel="1">
      <c r="A70" s="700" t="s">
        <v>381</v>
      </c>
      <c r="B70" s="675"/>
      <c r="C70" s="617"/>
      <c r="D70" s="617"/>
      <c r="E70" s="686">
        <v>0</v>
      </c>
      <c r="F70" s="687">
        <f>SUM(B70:E70)</f>
        <v>0</v>
      </c>
      <c r="G70" s="695"/>
      <c r="H70" s="617">
        <f t="shared" si="17"/>
        <v>0</v>
      </c>
      <c r="I70" s="617"/>
      <c r="J70" s="536"/>
      <c r="K70" s="688">
        <f t="shared" si="12"/>
        <v>0</v>
      </c>
      <c r="L70" s="701">
        <f>+K70</f>
        <v>0</v>
      </c>
      <c r="M70" s="686">
        <f t="shared" si="19"/>
        <v>0</v>
      </c>
      <c r="N70" s="721">
        <v>0</v>
      </c>
    </row>
    <row r="71" spans="1:14" ht="15" hidden="1" outlineLevel="1">
      <c r="A71" s="700" t="s">
        <v>481</v>
      </c>
      <c r="B71" s="675"/>
      <c r="C71" s="617"/>
      <c r="D71" s="617"/>
      <c r="E71" s="686">
        <v>0</v>
      </c>
      <c r="F71" s="687">
        <f>SUM(B71:E71)</f>
        <v>0</v>
      </c>
      <c r="G71" s="695"/>
      <c r="H71" s="617">
        <f t="shared" si="17"/>
        <v>0</v>
      </c>
      <c r="I71" s="617"/>
      <c r="J71" s="536"/>
      <c r="K71" s="688">
        <f t="shared" si="12"/>
        <v>0</v>
      </c>
      <c r="L71" s="701">
        <f>+K71</f>
        <v>0</v>
      </c>
      <c r="M71" s="686">
        <f t="shared" si="19"/>
        <v>0</v>
      </c>
      <c r="N71" s="721">
        <v>0</v>
      </c>
    </row>
    <row r="72" spans="1:14" ht="15" hidden="1" outlineLevel="1">
      <c r="A72" s="700" t="s">
        <v>382</v>
      </c>
      <c r="B72" s="675"/>
      <c r="C72" s="617"/>
      <c r="D72" s="617"/>
      <c r="E72" s="686">
        <v>0</v>
      </c>
      <c r="F72" s="687">
        <f>SUM(B72:E72)</f>
        <v>0</v>
      </c>
      <c r="G72" s="695"/>
      <c r="H72" s="617">
        <f t="shared" si="17"/>
        <v>0</v>
      </c>
      <c r="I72" s="617"/>
      <c r="J72" s="562"/>
      <c r="K72" s="688">
        <f aca="true" t="shared" si="20" ref="K72:K135">+H72+I72</f>
        <v>0</v>
      </c>
      <c r="L72" s="701">
        <f>+K72</f>
        <v>0</v>
      </c>
      <c r="M72" s="686">
        <f t="shared" si="19"/>
        <v>0</v>
      </c>
      <c r="N72" s="721">
        <v>0</v>
      </c>
    </row>
    <row r="73" spans="1:14" ht="29.25" hidden="1" outlineLevel="1">
      <c r="A73" s="702" t="s">
        <v>383</v>
      </c>
      <c r="B73" s="675"/>
      <c r="C73" s="617"/>
      <c r="D73" s="617"/>
      <c r="E73" s="686">
        <v>0</v>
      </c>
      <c r="F73" s="687">
        <f>SUM(B73:E73)</f>
        <v>0</v>
      </c>
      <c r="G73" s="695"/>
      <c r="H73" s="617">
        <f t="shared" si="17"/>
        <v>0</v>
      </c>
      <c r="I73" s="617"/>
      <c r="J73" s="536"/>
      <c r="K73" s="688">
        <f t="shared" si="20"/>
        <v>0</v>
      </c>
      <c r="L73" s="701">
        <f>+K73</f>
        <v>0</v>
      </c>
      <c r="M73" s="686">
        <f t="shared" si="19"/>
        <v>0</v>
      </c>
      <c r="N73" s="721">
        <v>0</v>
      </c>
    </row>
    <row r="74" spans="1:14" ht="17.25" customHeight="1" collapsed="1">
      <c r="A74" s="703" t="s">
        <v>515</v>
      </c>
      <c r="B74" s="675"/>
      <c r="C74" s="617"/>
      <c r="D74" s="617"/>
      <c r="E74" s="682">
        <f>SUM(E75:E81)</f>
        <v>56721000</v>
      </c>
      <c r="F74" s="676">
        <f>SUM(F75:F81)</f>
        <v>56721000</v>
      </c>
      <c r="G74" s="695"/>
      <c r="H74" s="676">
        <f t="shared" si="17"/>
        <v>56721000</v>
      </c>
      <c r="I74" s="676"/>
      <c r="J74" s="536"/>
      <c r="K74" s="678">
        <f t="shared" si="20"/>
        <v>56721000</v>
      </c>
      <c r="L74" s="701">
        <f>SUM(L75:L81)</f>
        <v>37983341</v>
      </c>
      <c r="M74" s="676">
        <f t="shared" si="19"/>
        <v>18737659</v>
      </c>
      <c r="N74" s="721">
        <f t="shared" si="18"/>
        <v>0.6696521746795719</v>
      </c>
    </row>
    <row r="75" spans="1:14" ht="15" hidden="1" outlineLevel="1">
      <c r="A75" s="700" t="s">
        <v>508</v>
      </c>
      <c r="B75" s="675"/>
      <c r="C75" s="617"/>
      <c r="D75" s="617"/>
      <c r="E75" s="686">
        <v>34101000</v>
      </c>
      <c r="F75" s="687">
        <f>SUM(B75:E75)</f>
        <v>34101000</v>
      </c>
      <c r="G75" s="695"/>
      <c r="H75" s="617">
        <f t="shared" si="17"/>
        <v>34101000</v>
      </c>
      <c r="I75" s="617"/>
      <c r="J75" s="536"/>
      <c r="K75" s="688">
        <f t="shared" si="20"/>
        <v>34101000</v>
      </c>
      <c r="L75" s="701">
        <v>28642141</v>
      </c>
      <c r="M75" s="686">
        <f t="shared" si="19"/>
        <v>5458859</v>
      </c>
      <c r="N75" s="721">
        <f t="shared" si="18"/>
        <v>0.8399208527609161</v>
      </c>
    </row>
    <row r="76" spans="1:14" ht="15" hidden="1" outlineLevel="1">
      <c r="A76" s="700" t="s">
        <v>505</v>
      </c>
      <c r="B76" s="675"/>
      <c r="C76" s="617"/>
      <c r="D76" s="617"/>
      <c r="E76" s="686"/>
      <c r="F76" s="687">
        <f>SUM(B76:E76)</f>
        <v>0</v>
      </c>
      <c r="G76" s="695"/>
      <c r="H76" s="617">
        <f t="shared" si="17"/>
        <v>0</v>
      </c>
      <c r="I76" s="617"/>
      <c r="J76" s="562"/>
      <c r="K76" s="688">
        <f t="shared" si="20"/>
        <v>0</v>
      </c>
      <c r="L76" s="701">
        <v>0</v>
      </c>
      <c r="M76" s="686">
        <f t="shared" si="19"/>
        <v>0</v>
      </c>
      <c r="N76" s="721">
        <v>0</v>
      </c>
    </row>
    <row r="77" spans="1:14" ht="15" hidden="1" outlineLevel="1">
      <c r="A77" s="700" t="s">
        <v>506</v>
      </c>
      <c r="B77" s="675"/>
      <c r="C77" s="617"/>
      <c r="D77" s="617"/>
      <c r="E77" s="686">
        <v>5350000</v>
      </c>
      <c r="F77" s="687">
        <f>SUM(B77:E77)</f>
        <v>5350000</v>
      </c>
      <c r="G77" s="695"/>
      <c r="H77" s="617">
        <f t="shared" si="17"/>
        <v>5350000</v>
      </c>
      <c r="I77" s="617"/>
      <c r="J77" s="536"/>
      <c r="K77" s="688">
        <f t="shared" si="20"/>
        <v>5350000</v>
      </c>
      <c r="L77" s="701">
        <v>0</v>
      </c>
      <c r="M77" s="686">
        <f t="shared" si="19"/>
        <v>5350000</v>
      </c>
      <c r="N77" s="721">
        <f t="shared" si="18"/>
        <v>0</v>
      </c>
    </row>
    <row r="78" spans="1:14" ht="15" hidden="1" outlineLevel="1">
      <c r="A78" s="700" t="s">
        <v>544</v>
      </c>
      <c r="B78" s="675"/>
      <c r="C78" s="617"/>
      <c r="D78" s="617"/>
      <c r="E78" s="686">
        <v>0</v>
      </c>
      <c r="F78" s="687">
        <f>SUM(B78:E78)</f>
        <v>0</v>
      </c>
      <c r="G78" s="695"/>
      <c r="H78" s="617">
        <f t="shared" si="17"/>
        <v>0</v>
      </c>
      <c r="I78" s="617"/>
      <c r="J78" s="536"/>
      <c r="K78" s="688">
        <f t="shared" si="20"/>
        <v>0</v>
      </c>
      <c r="L78" s="701">
        <v>0</v>
      </c>
      <c r="M78" s="686">
        <f t="shared" si="19"/>
        <v>0</v>
      </c>
      <c r="N78" s="721">
        <v>0</v>
      </c>
    </row>
    <row r="79" spans="1:14" ht="15" hidden="1" outlineLevel="1">
      <c r="A79" s="700" t="s">
        <v>507</v>
      </c>
      <c r="B79" s="675"/>
      <c r="C79" s="617"/>
      <c r="D79" s="617"/>
      <c r="E79" s="686">
        <v>7000000</v>
      </c>
      <c r="F79" s="687">
        <f>SUM(B79:E79)</f>
        <v>7000000</v>
      </c>
      <c r="G79" s="695"/>
      <c r="H79" s="617">
        <f t="shared" si="17"/>
        <v>7000000</v>
      </c>
      <c r="I79" s="617"/>
      <c r="J79" s="536"/>
      <c r="K79" s="688">
        <f t="shared" si="20"/>
        <v>7000000</v>
      </c>
      <c r="L79" s="701">
        <v>3742400</v>
      </c>
      <c r="M79" s="686">
        <f t="shared" si="19"/>
        <v>3257600</v>
      </c>
      <c r="N79" s="721">
        <f t="shared" si="18"/>
        <v>0.5346285714285715</v>
      </c>
    </row>
    <row r="80" spans="1:14" ht="15" hidden="1" outlineLevel="1">
      <c r="A80" s="700" t="s">
        <v>545</v>
      </c>
      <c r="B80" s="675"/>
      <c r="C80" s="617"/>
      <c r="D80" s="617"/>
      <c r="E80" s="686">
        <v>3300000</v>
      </c>
      <c r="F80" s="687">
        <f>+E80</f>
        <v>3300000</v>
      </c>
      <c r="G80" s="695"/>
      <c r="H80" s="617">
        <f t="shared" si="17"/>
        <v>3300000</v>
      </c>
      <c r="I80" s="617"/>
      <c r="J80" s="562"/>
      <c r="K80" s="688">
        <f t="shared" si="20"/>
        <v>3300000</v>
      </c>
      <c r="L80" s="701">
        <v>3278800</v>
      </c>
      <c r="M80" s="686">
        <f t="shared" si="19"/>
        <v>21200</v>
      </c>
      <c r="N80" s="721">
        <f t="shared" si="18"/>
        <v>0.9935757575757576</v>
      </c>
    </row>
    <row r="81" spans="1:14" ht="15" hidden="1" outlineLevel="1">
      <c r="A81" s="700" t="s">
        <v>546</v>
      </c>
      <c r="B81" s="675"/>
      <c r="C81" s="617"/>
      <c r="D81" s="617"/>
      <c r="E81" s="686">
        <v>6970000</v>
      </c>
      <c r="F81" s="687">
        <f>+E81</f>
        <v>6970000</v>
      </c>
      <c r="G81" s="695"/>
      <c r="H81" s="617">
        <f t="shared" si="17"/>
        <v>6970000</v>
      </c>
      <c r="I81" s="617"/>
      <c r="J81" s="536"/>
      <c r="K81" s="688">
        <f t="shared" si="20"/>
        <v>6970000</v>
      </c>
      <c r="L81" s="701">
        <v>2320000</v>
      </c>
      <c r="M81" s="686">
        <f t="shared" si="19"/>
        <v>4650000</v>
      </c>
      <c r="N81" s="721">
        <f t="shared" si="18"/>
        <v>0.3328550932568149</v>
      </c>
    </row>
    <row r="82" spans="1:14" ht="45" collapsed="1">
      <c r="A82" s="704" t="s">
        <v>514</v>
      </c>
      <c r="B82" s="675"/>
      <c r="C82" s="617"/>
      <c r="D82" s="617"/>
      <c r="E82" s="682">
        <f>SUM(E83:E89)</f>
        <v>47400000</v>
      </c>
      <c r="F82" s="676">
        <f>SUM(F83:F89)</f>
        <v>47400000</v>
      </c>
      <c r="G82" s="695"/>
      <c r="H82" s="676">
        <f t="shared" si="17"/>
        <v>47400000</v>
      </c>
      <c r="I82" s="676"/>
      <c r="J82" s="536"/>
      <c r="K82" s="678">
        <f t="shared" si="20"/>
        <v>47400000</v>
      </c>
      <c r="L82" s="701">
        <f>+SUM(L83:L89)</f>
        <v>40378172</v>
      </c>
      <c r="M82" s="676">
        <f>+K82-L82</f>
        <v>7021828</v>
      </c>
      <c r="N82" s="721">
        <f t="shared" si="18"/>
        <v>0.8518601687763713</v>
      </c>
    </row>
    <row r="83" spans="1:14" ht="15" hidden="1" outlineLevel="1">
      <c r="A83" s="700" t="s">
        <v>509</v>
      </c>
      <c r="B83" s="675"/>
      <c r="C83" s="617"/>
      <c r="D83" s="617"/>
      <c r="E83" s="686">
        <v>10800000</v>
      </c>
      <c r="F83" s="687">
        <f aca="true" t="shared" si="21" ref="F83:F89">SUM(B83:E83)</f>
        <v>10800000</v>
      </c>
      <c r="G83" s="695"/>
      <c r="H83" s="617">
        <f t="shared" si="17"/>
        <v>10800000</v>
      </c>
      <c r="I83" s="617"/>
      <c r="J83" s="536"/>
      <c r="K83" s="688">
        <f t="shared" si="20"/>
        <v>10800000</v>
      </c>
      <c r="L83" s="701">
        <v>6457872</v>
      </c>
      <c r="M83" s="686">
        <f aca="true" t="shared" si="22" ref="M83:M101">+K83-L83</f>
        <v>4342128</v>
      </c>
      <c r="N83" s="721">
        <f t="shared" si="18"/>
        <v>0.5979511111111111</v>
      </c>
    </row>
    <row r="84" spans="1:14" ht="15" hidden="1" outlineLevel="1">
      <c r="A84" s="700" t="s">
        <v>510</v>
      </c>
      <c r="B84" s="675"/>
      <c r="C84" s="617"/>
      <c r="D84" s="617"/>
      <c r="E84" s="686">
        <v>0</v>
      </c>
      <c r="F84" s="687">
        <f t="shared" si="21"/>
        <v>0</v>
      </c>
      <c r="G84" s="695"/>
      <c r="H84" s="617">
        <f t="shared" si="17"/>
        <v>0</v>
      </c>
      <c r="I84" s="617"/>
      <c r="J84" s="562"/>
      <c r="K84" s="688">
        <f t="shared" si="20"/>
        <v>0</v>
      </c>
      <c r="L84" s="701">
        <f>+K84</f>
        <v>0</v>
      </c>
      <c r="M84" s="686">
        <f t="shared" si="22"/>
        <v>0</v>
      </c>
      <c r="N84" s="721">
        <v>0</v>
      </c>
    </row>
    <row r="85" spans="1:14" ht="15" hidden="1" outlineLevel="1">
      <c r="A85" s="700" t="s">
        <v>511</v>
      </c>
      <c r="B85" s="675"/>
      <c r="C85" s="617"/>
      <c r="D85" s="617"/>
      <c r="E85" s="686">
        <v>0</v>
      </c>
      <c r="F85" s="687">
        <f t="shared" si="21"/>
        <v>0</v>
      </c>
      <c r="G85" s="695"/>
      <c r="H85" s="617">
        <f t="shared" si="17"/>
        <v>0</v>
      </c>
      <c r="I85" s="617"/>
      <c r="J85" s="536"/>
      <c r="K85" s="688">
        <f t="shared" si="20"/>
        <v>0</v>
      </c>
      <c r="L85" s="701">
        <f>+K85</f>
        <v>0</v>
      </c>
      <c r="M85" s="686">
        <f t="shared" si="22"/>
        <v>0</v>
      </c>
      <c r="N85" s="721">
        <v>0</v>
      </c>
    </row>
    <row r="86" spans="1:14" ht="15" hidden="1" outlineLevel="1">
      <c r="A86" s="700" t="s">
        <v>512</v>
      </c>
      <c r="B86" s="675"/>
      <c r="C86" s="617"/>
      <c r="D86" s="617"/>
      <c r="E86" s="686">
        <v>36600000</v>
      </c>
      <c r="F86" s="687">
        <f t="shared" si="21"/>
        <v>36600000</v>
      </c>
      <c r="G86" s="695"/>
      <c r="H86" s="617">
        <f t="shared" si="17"/>
        <v>36600000</v>
      </c>
      <c r="I86" s="617"/>
      <c r="J86" s="536"/>
      <c r="K86" s="688">
        <f t="shared" si="20"/>
        <v>36600000</v>
      </c>
      <c r="L86" s="701">
        <v>33920300</v>
      </c>
      <c r="M86" s="686">
        <f t="shared" si="22"/>
        <v>2679700</v>
      </c>
      <c r="N86" s="721">
        <f t="shared" si="18"/>
        <v>0.9267841530054645</v>
      </c>
    </row>
    <row r="87" spans="1:14" ht="15" hidden="1" outlineLevel="1">
      <c r="A87" s="700" t="s">
        <v>513</v>
      </c>
      <c r="B87" s="675"/>
      <c r="C87" s="617"/>
      <c r="D87" s="617"/>
      <c r="E87" s="686">
        <v>0</v>
      </c>
      <c r="F87" s="687">
        <f t="shared" si="21"/>
        <v>0</v>
      </c>
      <c r="G87" s="695"/>
      <c r="H87" s="617">
        <f t="shared" si="17"/>
        <v>0</v>
      </c>
      <c r="I87" s="617"/>
      <c r="J87" s="536"/>
      <c r="K87" s="688">
        <f t="shared" si="20"/>
        <v>0</v>
      </c>
      <c r="L87" s="701">
        <f>+K87</f>
        <v>0</v>
      </c>
      <c r="M87" s="686">
        <f t="shared" si="22"/>
        <v>0</v>
      </c>
      <c r="N87" s="721">
        <v>0</v>
      </c>
    </row>
    <row r="88" spans="1:14" ht="15" hidden="1" outlineLevel="1">
      <c r="A88" s="700" t="s">
        <v>506</v>
      </c>
      <c r="B88" s="675"/>
      <c r="C88" s="617"/>
      <c r="D88" s="617"/>
      <c r="E88" s="686">
        <v>0</v>
      </c>
      <c r="F88" s="687">
        <f t="shared" si="21"/>
        <v>0</v>
      </c>
      <c r="G88" s="695"/>
      <c r="H88" s="617">
        <f t="shared" si="17"/>
        <v>0</v>
      </c>
      <c r="I88" s="617"/>
      <c r="J88" s="562"/>
      <c r="K88" s="688">
        <f t="shared" si="20"/>
        <v>0</v>
      </c>
      <c r="L88" s="701">
        <f>+K88</f>
        <v>0</v>
      </c>
      <c r="M88" s="686">
        <f t="shared" si="22"/>
        <v>0</v>
      </c>
      <c r="N88" s="721">
        <v>0</v>
      </c>
    </row>
    <row r="89" spans="1:14" ht="15" hidden="1" outlineLevel="1">
      <c r="A89" s="700" t="s">
        <v>537</v>
      </c>
      <c r="B89" s="675"/>
      <c r="C89" s="617"/>
      <c r="D89" s="617"/>
      <c r="E89" s="686">
        <v>0</v>
      </c>
      <c r="F89" s="687">
        <f t="shared" si="21"/>
        <v>0</v>
      </c>
      <c r="G89" s="695"/>
      <c r="H89" s="617">
        <f t="shared" si="17"/>
        <v>0</v>
      </c>
      <c r="I89" s="617"/>
      <c r="J89" s="536"/>
      <c r="K89" s="688">
        <f t="shared" si="20"/>
        <v>0</v>
      </c>
      <c r="L89" s="701">
        <f>+K89</f>
        <v>0</v>
      </c>
      <c r="M89" s="686">
        <f t="shared" si="22"/>
        <v>0</v>
      </c>
      <c r="N89" s="721">
        <v>0</v>
      </c>
    </row>
    <row r="90" spans="1:14" ht="15" collapsed="1">
      <c r="A90" s="703" t="s">
        <v>464</v>
      </c>
      <c r="B90" s="675"/>
      <c r="C90" s="617"/>
      <c r="D90" s="617"/>
      <c r="E90" s="682">
        <f>SUM(E91:E98)</f>
        <v>360300000</v>
      </c>
      <c r="F90" s="682">
        <f>SUM(F91:F98)</f>
        <v>360300000</v>
      </c>
      <c r="G90" s="695"/>
      <c r="H90" s="676">
        <f t="shared" si="17"/>
        <v>360300000</v>
      </c>
      <c r="I90" s="676"/>
      <c r="J90" s="536"/>
      <c r="K90" s="678">
        <f t="shared" si="20"/>
        <v>360300000</v>
      </c>
      <c r="L90" s="701">
        <f>SUM(L91:L98)</f>
        <v>226007058</v>
      </c>
      <c r="M90" s="676">
        <f t="shared" si="22"/>
        <v>134292942</v>
      </c>
      <c r="N90" s="721">
        <f t="shared" si="18"/>
        <v>0.6272746544546212</v>
      </c>
    </row>
    <row r="91" spans="1:14" ht="15" hidden="1" outlineLevel="1">
      <c r="A91" s="705" t="s">
        <v>548</v>
      </c>
      <c r="B91" s="675"/>
      <c r="C91" s="617"/>
      <c r="D91" s="617"/>
      <c r="E91" s="686">
        <v>200000000</v>
      </c>
      <c r="F91" s="687">
        <f aca="true" t="shared" si="23" ref="F91:F98">SUM(B91:E91)</f>
        <v>200000000</v>
      </c>
      <c r="G91" s="695"/>
      <c r="H91" s="617">
        <f t="shared" si="17"/>
        <v>200000000</v>
      </c>
      <c r="I91" s="617"/>
      <c r="J91" s="536"/>
      <c r="K91" s="688">
        <f t="shared" si="20"/>
        <v>200000000</v>
      </c>
      <c r="L91" s="701">
        <v>182404885</v>
      </c>
      <c r="M91" s="686">
        <f t="shared" si="22"/>
        <v>17595115</v>
      </c>
      <c r="N91" s="721">
        <f t="shared" si="18"/>
        <v>0.912024425</v>
      </c>
    </row>
    <row r="92" spans="1:14" ht="15" hidden="1" outlineLevel="1">
      <c r="A92" s="700" t="s">
        <v>465</v>
      </c>
      <c r="B92" s="675"/>
      <c r="C92" s="617"/>
      <c r="D92" s="617"/>
      <c r="E92" s="686">
        <v>100000000</v>
      </c>
      <c r="F92" s="687">
        <f t="shared" si="23"/>
        <v>100000000</v>
      </c>
      <c r="G92" s="695"/>
      <c r="H92" s="617">
        <f t="shared" si="17"/>
        <v>100000000</v>
      </c>
      <c r="I92" s="617"/>
      <c r="J92" s="562"/>
      <c r="K92" s="688">
        <f t="shared" si="20"/>
        <v>100000000</v>
      </c>
      <c r="L92" s="701">
        <v>359600</v>
      </c>
      <c r="M92" s="686">
        <f t="shared" si="22"/>
        <v>99640400</v>
      </c>
      <c r="N92" s="721">
        <f t="shared" si="18"/>
        <v>0.003596</v>
      </c>
    </row>
    <row r="93" spans="1:14" ht="15" hidden="1" outlineLevel="1">
      <c r="A93" s="705" t="s">
        <v>466</v>
      </c>
      <c r="B93" s="675"/>
      <c r="C93" s="617"/>
      <c r="D93" s="617"/>
      <c r="E93" s="686">
        <v>0</v>
      </c>
      <c r="F93" s="687">
        <f t="shared" si="23"/>
        <v>0</v>
      </c>
      <c r="G93" s="695"/>
      <c r="H93" s="617">
        <f t="shared" si="17"/>
        <v>0</v>
      </c>
      <c r="I93" s="617"/>
      <c r="J93" s="536"/>
      <c r="K93" s="688">
        <f t="shared" si="20"/>
        <v>0</v>
      </c>
      <c r="L93" s="701">
        <v>0</v>
      </c>
      <c r="M93" s="686">
        <f t="shared" si="22"/>
        <v>0</v>
      </c>
      <c r="N93" s="721">
        <v>0</v>
      </c>
    </row>
    <row r="94" spans="1:14" ht="15" hidden="1" outlineLevel="1">
      <c r="A94" s="700" t="s">
        <v>467</v>
      </c>
      <c r="B94" s="675"/>
      <c r="C94" s="617"/>
      <c r="D94" s="617"/>
      <c r="E94" s="686">
        <v>30000000</v>
      </c>
      <c r="F94" s="687">
        <f t="shared" si="23"/>
        <v>30000000</v>
      </c>
      <c r="G94" s="695"/>
      <c r="H94" s="617">
        <f t="shared" si="17"/>
        <v>30000000</v>
      </c>
      <c r="I94" s="617"/>
      <c r="J94" s="536"/>
      <c r="K94" s="688">
        <f t="shared" si="20"/>
        <v>30000000</v>
      </c>
      <c r="L94" s="701">
        <v>27015140</v>
      </c>
      <c r="M94" s="686">
        <f t="shared" si="22"/>
        <v>2984860</v>
      </c>
      <c r="N94" s="721">
        <f t="shared" si="18"/>
        <v>0.9005046666666666</v>
      </c>
    </row>
    <row r="95" spans="1:14" ht="15" hidden="1" outlineLevel="1">
      <c r="A95" s="700" t="s">
        <v>502</v>
      </c>
      <c r="B95" s="675"/>
      <c r="C95" s="617"/>
      <c r="D95" s="617"/>
      <c r="E95" s="686">
        <v>10000000</v>
      </c>
      <c r="F95" s="687">
        <f t="shared" si="23"/>
        <v>10000000</v>
      </c>
      <c r="G95" s="695"/>
      <c r="H95" s="617">
        <f t="shared" si="17"/>
        <v>10000000</v>
      </c>
      <c r="I95" s="617"/>
      <c r="J95" s="536"/>
      <c r="K95" s="688">
        <f t="shared" si="20"/>
        <v>10000000</v>
      </c>
      <c r="L95" s="701">
        <v>4988000</v>
      </c>
      <c r="M95" s="686">
        <f t="shared" si="22"/>
        <v>5012000</v>
      </c>
      <c r="N95" s="721">
        <f t="shared" si="18"/>
        <v>0.4988</v>
      </c>
    </row>
    <row r="96" spans="1:14" ht="15" hidden="1" outlineLevel="1">
      <c r="A96" s="705" t="s">
        <v>468</v>
      </c>
      <c r="B96" s="675"/>
      <c r="C96" s="617"/>
      <c r="D96" s="617"/>
      <c r="E96" s="686">
        <v>3000000</v>
      </c>
      <c r="F96" s="687">
        <f t="shared" si="23"/>
        <v>3000000</v>
      </c>
      <c r="G96" s="695"/>
      <c r="H96" s="617">
        <f t="shared" si="17"/>
        <v>3000000</v>
      </c>
      <c r="I96" s="617"/>
      <c r="J96" s="562"/>
      <c r="K96" s="688">
        <f t="shared" si="20"/>
        <v>3000000</v>
      </c>
      <c r="L96" s="701"/>
      <c r="M96" s="686">
        <f t="shared" si="22"/>
        <v>3000000</v>
      </c>
      <c r="N96" s="721">
        <f t="shared" si="18"/>
        <v>0</v>
      </c>
    </row>
    <row r="97" spans="1:14" ht="15" hidden="1" outlineLevel="1">
      <c r="A97" s="705" t="s">
        <v>501</v>
      </c>
      <c r="B97" s="675"/>
      <c r="C97" s="617"/>
      <c r="D97" s="617"/>
      <c r="E97" s="686">
        <v>3300000</v>
      </c>
      <c r="F97" s="687">
        <f t="shared" si="23"/>
        <v>3300000</v>
      </c>
      <c r="G97" s="695"/>
      <c r="H97" s="617">
        <f t="shared" si="17"/>
        <v>3300000</v>
      </c>
      <c r="I97" s="617"/>
      <c r="J97" s="536"/>
      <c r="K97" s="688">
        <f t="shared" si="20"/>
        <v>3300000</v>
      </c>
      <c r="L97" s="701"/>
      <c r="M97" s="686">
        <f t="shared" si="22"/>
        <v>3300000</v>
      </c>
      <c r="N97" s="721">
        <f t="shared" si="18"/>
        <v>0</v>
      </c>
    </row>
    <row r="98" spans="1:14" ht="15" hidden="1" outlineLevel="1">
      <c r="A98" s="705" t="s">
        <v>469</v>
      </c>
      <c r="B98" s="675"/>
      <c r="C98" s="617"/>
      <c r="D98" s="617"/>
      <c r="E98" s="686">
        <v>14000000</v>
      </c>
      <c r="F98" s="687">
        <f t="shared" si="23"/>
        <v>14000000</v>
      </c>
      <c r="G98" s="695"/>
      <c r="H98" s="617">
        <f t="shared" si="17"/>
        <v>14000000</v>
      </c>
      <c r="I98" s="617"/>
      <c r="J98" s="536"/>
      <c r="K98" s="688">
        <f t="shared" si="20"/>
        <v>14000000</v>
      </c>
      <c r="L98" s="701">
        <v>11239433</v>
      </c>
      <c r="M98" s="686">
        <f t="shared" si="22"/>
        <v>2760567</v>
      </c>
      <c r="N98" s="721">
        <f t="shared" si="18"/>
        <v>0.8028166428571428</v>
      </c>
    </row>
    <row r="99" spans="1:14" ht="15" collapsed="1">
      <c r="A99" s="703" t="s">
        <v>384</v>
      </c>
      <c r="B99" s="675"/>
      <c r="C99" s="617"/>
      <c r="D99" s="617"/>
      <c r="E99" s="682">
        <f>+E100+E101+E102+E106+E107</f>
        <v>46875000</v>
      </c>
      <c r="F99" s="676">
        <f>+F100+F101+F102+F106+F107</f>
        <v>46875000</v>
      </c>
      <c r="G99" s="695"/>
      <c r="H99" s="676">
        <f t="shared" si="17"/>
        <v>46875000</v>
      </c>
      <c r="I99" s="676">
        <f>+I100+I101+I102+I106+I107</f>
        <v>6500000</v>
      </c>
      <c r="J99" s="536"/>
      <c r="K99" s="678">
        <f t="shared" si="20"/>
        <v>53375000</v>
      </c>
      <c r="L99" s="685">
        <f>+L100+L101+L102+L106+L107</f>
        <v>47070452</v>
      </c>
      <c r="M99" s="676">
        <f t="shared" si="22"/>
        <v>6304548</v>
      </c>
      <c r="N99" s="721">
        <f t="shared" si="18"/>
        <v>0.8818820046838407</v>
      </c>
    </row>
    <row r="100" spans="1:14" ht="15" hidden="1" outlineLevel="1">
      <c r="A100" s="706" t="s">
        <v>470</v>
      </c>
      <c r="B100" s="675"/>
      <c r="C100" s="617"/>
      <c r="D100" s="617"/>
      <c r="E100" s="617">
        <v>37575000</v>
      </c>
      <c r="F100" s="687">
        <f aca="true" t="shared" si="24" ref="F100:F107">SUM(B100:E100)</f>
        <v>37575000</v>
      </c>
      <c r="G100" s="695"/>
      <c r="H100" s="617">
        <f t="shared" si="17"/>
        <v>37575000</v>
      </c>
      <c r="I100" s="617">
        <v>6500000</v>
      </c>
      <c r="J100" s="562"/>
      <c r="K100" s="688">
        <f t="shared" si="20"/>
        <v>44075000</v>
      </c>
      <c r="L100" s="701">
        <v>42258888</v>
      </c>
      <c r="M100" s="686">
        <f t="shared" si="22"/>
        <v>1816112</v>
      </c>
      <c r="N100" s="721">
        <f t="shared" si="18"/>
        <v>0.9587949631310266</v>
      </c>
    </row>
    <row r="101" spans="1:14" ht="15" hidden="1" outlineLevel="1">
      <c r="A101" s="706" t="s">
        <v>471</v>
      </c>
      <c r="B101" s="675"/>
      <c r="C101" s="617"/>
      <c r="D101" s="617"/>
      <c r="E101" s="617">
        <v>6800000</v>
      </c>
      <c r="F101" s="687">
        <f t="shared" si="24"/>
        <v>6800000</v>
      </c>
      <c r="G101" s="695"/>
      <c r="H101" s="617">
        <f t="shared" si="17"/>
        <v>6800000</v>
      </c>
      <c r="I101" s="617"/>
      <c r="J101" s="536"/>
      <c r="K101" s="688">
        <f t="shared" si="20"/>
        <v>6800000</v>
      </c>
      <c r="L101" s="701">
        <v>3477204</v>
      </c>
      <c r="M101" s="686">
        <f t="shared" si="22"/>
        <v>3322796</v>
      </c>
      <c r="N101" s="721">
        <f t="shared" si="18"/>
        <v>0.5113535294117647</v>
      </c>
    </row>
    <row r="102" spans="1:14" ht="15" hidden="1" outlineLevel="1">
      <c r="A102" s="706" t="s">
        <v>457</v>
      </c>
      <c r="B102" s="675"/>
      <c r="C102" s="617"/>
      <c r="D102" s="617"/>
      <c r="E102" s="617">
        <f>+E103+E104+E105</f>
        <v>0</v>
      </c>
      <c r="F102" s="687">
        <f t="shared" si="24"/>
        <v>0</v>
      </c>
      <c r="G102" s="695"/>
      <c r="H102" s="617">
        <f t="shared" si="17"/>
        <v>0</v>
      </c>
      <c r="I102" s="617"/>
      <c r="J102" s="536"/>
      <c r="K102" s="688">
        <f t="shared" si="20"/>
        <v>0</v>
      </c>
      <c r="L102" s="701">
        <f>+SUM(L103:L105)</f>
        <v>0</v>
      </c>
      <c r="M102" s="686">
        <f aca="true" t="shared" si="25" ref="M102:M107">+K102-L102</f>
        <v>0</v>
      </c>
      <c r="N102" s="721">
        <v>0</v>
      </c>
    </row>
    <row r="103" spans="1:14" ht="15" hidden="1" outlineLevel="2">
      <c r="A103" s="706" t="s">
        <v>472</v>
      </c>
      <c r="B103" s="675"/>
      <c r="C103" s="617"/>
      <c r="D103" s="617"/>
      <c r="E103" s="617">
        <v>0</v>
      </c>
      <c r="F103" s="687">
        <f t="shared" si="24"/>
        <v>0</v>
      </c>
      <c r="G103" s="695"/>
      <c r="H103" s="617">
        <f t="shared" si="17"/>
        <v>0</v>
      </c>
      <c r="I103" s="617"/>
      <c r="J103" s="536"/>
      <c r="K103" s="688">
        <f t="shared" si="20"/>
        <v>0</v>
      </c>
      <c r="L103" s="701">
        <f>+K103</f>
        <v>0</v>
      </c>
      <c r="M103" s="686">
        <f t="shared" si="25"/>
        <v>0</v>
      </c>
      <c r="N103" s="721">
        <v>0</v>
      </c>
    </row>
    <row r="104" spans="1:14" ht="15" hidden="1" outlineLevel="2">
      <c r="A104" s="706" t="s">
        <v>473</v>
      </c>
      <c r="B104" s="675"/>
      <c r="C104" s="617"/>
      <c r="D104" s="617"/>
      <c r="E104" s="617">
        <v>0</v>
      </c>
      <c r="F104" s="687">
        <f t="shared" si="24"/>
        <v>0</v>
      </c>
      <c r="G104" s="695"/>
      <c r="H104" s="617">
        <f t="shared" si="17"/>
        <v>0</v>
      </c>
      <c r="I104" s="617"/>
      <c r="J104" s="562"/>
      <c r="K104" s="688">
        <f t="shared" si="20"/>
        <v>0</v>
      </c>
      <c r="L104" s="701">
        <f>+K104</f>
        <v>0</v>
      </c>
      <c r="M104" s="686">
        <f t="shared" si="25"/>
        <v>0</v>
      </c>
      <c r="N104" s="721">
        <v>0</v>
      </c>
    </row>
    <row r="105" spans="1:14" ht="15" hidden="1" outlineLevel="2">
      <c r="A105" s="706" t="s">
        <v>474</v>
      </c>
      <c r="B105" s="675"/>
      <c r="C105" s="617"/>
      <c r="D105" s="617"/>
      <c r="E105" s="617">
        <v>0</v>
      </c>
      <c r="F105" s="687">
        <f t="shared" si="24"/>
        <v>0</v>
      </c>
      <c r="G105" s="695"/>
      <c r="H105" s="617">
        <f t="shared" si="17"/>
        <v>0</v>
      </c>
      <c r="I105" s="617"/>
      <c r="J105" s="536"/>
      <c r="K105" s="688">
        <f t="shared" si="20"/>
        <v>0</v>
      </c>
      <c r="L105" s="701">
        <f>+K105</f>
        <v>0</v>
      </c>
      <c r="M105" s="686">
        <f t="shared" si="25"/>
        <v>0</v>
      </c>
      <c r="N105" s="721">
        <v>0</v>
      </c>
    </row>
    <row r="106" spans="1:14" ht="15" hidden="1" outlineLevel="1">
      <c r="A106" s="706" t="s">
        <v>475</v>
      </c>
      <c r="B106" s="675"/>
      <c r="C106" s="617"/>
      <c r="D106" s="617"/>
      <c r="E106" s="617">
        <v>2500000</v>
      </c>
      <c r="F106" s="687">
        <f t="shared" si="24"/>
        <v>2500000</v>
      </c>
      <c r="G106" s="695"/>
      <c r="H106" s="617">
        <f t="shared" si="17"/>
        <v>2500000</v>
      </c>
      <c r="I106" s="617"/>
      <c r="J106" s="536"/>
      <c r="K106" s="688">
        <f t="shared" si="20"/>
        <v>2500000</v>
      </c>
      <c r="L106" s="701">
        <v>1334360</v>
      </c>
      <c r="M106" s="676">
        <f t="shared" si="25"/>
        <v>1165640</v>
      </c>
      <c r="N106" s="721">
        <f t="shared" si="18"/>
        <v>0.533744</v>
      </c>
    </row>
    <row r="107" spans="1:14" ht="15" hidden="1" outlineLevel="1">
      <c r="A107" s="706" t="s">
        <v>476</v>
      </c>
      <c r="B107" s="675"/>
      <c r="C107" s="617"/>
      <c r="D107" s="617"/>
      <c r="E107" s="617">
        <v>0</v>
      </c>
      <c r="F107" s="687">
        <f t="shared" si="24"/>
        <v>0</v>
      </c>
      <c r="G107" s="695"/>
      <c r="H107" s="617">
        <f t="shared" si="17"/>
        <v>0</v>
      </c>
      <c r="I107" s="617"/>
      <c r="J107" s="536"/>
      <c r="K107" s="688">
        <f t="shared" si="20"/>
        <v>0</v>
      </c>
      <c r="L107" s="701">
        <f>+K107</f>
        <v>0</v>
      </c>
      <c r="M107" s="686">
        <f t="shared" si="25"/>
        <v>0</v>
      </c>
      <c r="N107" s="721">
        <v>0</v>
      </c>
    </row>
    <row r="108" spans="1:14" ht="15" hidden="1" outlineLevel="1">
      <c r="A108" s="700"/>
      <c r="B108" s="675"/>
      <c r="C108" s="617"/>
      <c r="D108" s="617"/>
      <c r="E108" s="686"/>
      <c r="F108" s="686"/>
      <c r="G108" s="695"/>
      <c r="H108" s="676"/>
      <c r="I108" s="676"/>
      <c r="J108" s="562"/>
      <c r="K108" s="678"/>
      <c r="L108" s="701"/>
      <c r="M108" s="676"/>
      <c r="N108" s="721"/>
    </row>
    <row r="109" spans="1:14" ht="15" collapsed="1">
      <c r="A109" s="703" t="s">
        <v>477</v>
      </c>
      <c r="B109" s="675"/>
      <c r="C109" s="617"/>
      <c r="D109" s="617"/>
      <c r="E109" s="682">
        <f>SUM(E110:E113)</f>
        <v>140000000</v>
      </c>
      <c r="F109" s="676">
        <f>SUM(F110:F113)</f>
        <v>140000000</v>
      </c>
      <c r="G109" s="695"/>
      <c r="H109" s="676">
        <f t="shared" si="17"/>
        <v>140000000</v>
      </c>
      <c r="I109" s="676"/>
      <c r="J109" s="536"/>
      <c r="K109" s="678">
        <f t="shared" si="20"/>
        <v>140000000</v>
      </c>
      <c r="L109" s="701">
        <f>+L110+L111+L112+L113</f>
        <v>70711246</v>
      </c>
      <c r="M109" s="676">
        <f>+K109-L109</f>
        <v>69288754</v>
      </c>
      <c r="N109" s="721">
        <f t="shared" si="18"/>
        <v>0.5050803285714286</v>
      </c>
    </row>
    <row r="110" spans="1:14" ht="15" hidden="1" outlineLevel="1">
      <c r="A110" s="705" t="s">
        <v>478</v>
      </c>
      <c r="B110" s="675"/>
      <c r="C110" s="617"/>
      <c r="D110" s="617"/>
      <c r="E110" s="686">
        <v>30000000</v>
      </c>
      <c r="F110" s="687">
        <f>SUM(B110:E110)</f>
        <v>30000000</v>
      </c>
      <c r="G110" s="695"/>
      <c r="H110" s="617">
        <f t="shared" si="17"/>
        <v>30000000</v>
      </c>
      <c r="I110" s="617"/>
      <c r="J110" s="536"/>
      <c r="K110" s="688">
        <f t="shared" si="20"/>
        <v>30000000</v>
      </c>
      <c r="L110" s="701">
        <v>28456160</v>
      </c>
      <c r="M110" s="617">
        <f>+K110-L110</f>
        <v>1543840</v>
      </c>
      <c r="N110" s="721">
        <f t="shared" si="18"/>
        <v>0.9485386666666666</v>
      </c>
    </row>
    <row r="111" spans="1:14" ht="15" hidden="1" outlineLevel="1">
      <c r="A111" s="705" t="s">
        <v>479</v>
      </c>
      <c r="B111" s="675"/>
      <c r="C111" s="617"/>
      <c r="D111" s="617"/>
      <c r="E111" s="686">
        <v>100000000</v>
      </c>
      <c r="F111" s="687">
        <f>SUM(B111:E111)</f>
        <v>100000000</v>
      </c>
      <c r="G111" s="695"/>
      <c r="H111" s="617">
        <f t="shared" si="17"/>
        <v>100000000</v>
      </c>
      <c r="I111" s="617"/>
      <c r="J111" s="536"/>
      <c r="K111" s="688">
        <f t="shared" si="20"/>
        <v>100000000</v>
      </c>
      <c r="L111" s="701">
        <v>39720986</v>
      </c>
      <c r="M111" s="617">
        <f>+K111-L111</f>
        <v>60279014</v>
      </c>
      <c r="N111" s="721">
        <f t="shared" si="18"/>
        <v>0.39720986</v>
      </c>
    </row>
    <row r="112" spans="1:14" ht="15" hidden="1" outlineLevel="1">
      <c r="A112" s="705" t="s">
        <v>503</v>
      </c>
      <c r="B112" s="675"/>
      <c r="C112" s="617"/>
      <c r="D112" s="617"/>
      <c r="E112" s="686"/>
      <c r="F112" s="687">
        <f>SUM(B112:E112)</f>
        <v>0</v>
      </c>
      <c r="G112" s="695"/>
      <c r="H112" s="617">
        <f t="shared" si="17"/>
        <v>0</v>
      </c>
      <c r="I112" s="617"/>
      <c r="J112" s="562"/>
      <c r="K112" s="688">
        <f t="shared" si="20"/>
        <v>0</v>
      </c>
      <c r="L112" s="701">
        <v>0</v>
      </c>
      <c r="M112" s="617">
        <f>+K112-L112</f>
        <v>0</v>
      </c>
      <c r="N112" s="721">
        <v>0</v>
      </c>
    </row>
    <row r="113" spans="1:14" ht="15" hidden="1" outlineLevel="1">
      <c r="A113" s="705" t="s">
        <v>480</v>
      </c>
      <c r="B113" s="675"/>
      <c r="C113" s="617"/>
      <c r="D113" s="617"/>
      <c r="E113" s="686">
        <v>10000000</v>
      </c>
      <c r="F113" s="687">
        <f>SUM(B113:E113)</f>
        <v>10000000</v>
      </c>
      <c r="G113" s="695"/>
      <c r="H113" s="617">
        <f t="shared" si="17"/>
        <v>10000000</v>
      </c>
      <c r="I113" s="617"/>
      <c r="J113" s="536"/>
      <c r="K113" s="688">
        <f t="shared" si="20"/>
        <v>10000000</v>
      </c>
      <c r="L113" s="701">
        <v>2534100</v>
      </c>
      <c r="M113" s="617">
        <f>+K113-L113</f>
        <v>7465900</v>
      </c>
      <c r="N113" s="721">
        <f t="shared" si="18"/>
        <v>0.25341</v>
      </c>
    </row>
    <row r="114" spans="1:14" ht="15" collapsed="1">
      <c r="A114" s="705"/>
      <c r="B114" s="675"/>
      <c r="C114" s="617"/>
      <c r="D114" s="617"/>
      <c r="E114" s="686"/>
      <c r="F114" s="686"/>
      <c r="G114" s="695"/>
      <c r="H114" s="676"/>
      <c r="I114" s="676"/>
      <c r="J114" s="536"/>
      <c r="K114" s="678"/>
      <c r="L114" s="679"/>
      <c r="M114" s="676"/>
      <c r="N114" s="723"/>
    </row>
    <row r="115" spans="1:14" s="375" customFormat="1" ht="15.75" customHeight="1">
      <c r="A115" s="732" t="s">
        <v>12</v>
      </c>
      <c r="B115" s="683"/>
      <c r="C115" s="682">
        <f>+C116+C121+C133+C141</f>
        <v>229353840</v>
      </c>
      <c r="D115" s="682"/>
      <c r="E115" s="693"/>
      <c r="F115" s="682">
        <f>SUM(B115:E115)</f>
        <v>229353840</v>
      </c>
      <c r="G115" s="682"/>
      <c r="H115" s="682">
        <f t="shared" si="17"/>
        <v>229353840</v>
      </c>
      <c r="I115" s="682">
        <f>+I116+I121+I133+I141</f>
        <v>5000000</v>
      </c>
      <c r="J115" s="536"/>
      <c r="K115" s="684">
        <f t="shared" si="20"/>
        <v>234353840</v>
      </c>
      <c r="L115" s="685">
        <f>+L116+L121+L133+L141</f>
        <v>170916910</v>
      </c>
      <c r="M115" s="682">
        <f>+K115-L115</f>
        <v>63436930</v>
      </c>
      <c r="N115" s="724">
        <f>+L115/K115</f>
        <v>0.7293113268380839</v>
      </c>
    </row>
    <row r="116" spans="1:14" s="375" customFormat="1" ht="15">
      <c r="A116" s="680" t="s">
        <v>242</v>
      </c>
      <c r="B116" s="675"/>
      <c r="C116" s="675">
        <f>SUM(C117:C119)</f>
        <v>15603840</v>
      </c>
      <c r="D116" s="617"/>
      <c r="E116" s="695"/>
      <c r="F116" s="683">
        <f>+E116+D116+C116+B116</f>
        <v>15603840</v>
      </c>
      <c r="G116" s="695"/>
      <c r="H116" s="736">
        <f>+F116+G116</f>
        <v>15603840</v>
      </c>
      <c r="I116" s="736"/>
      <c r="J116" s="562"/>
      <c r="K116" s="739">
        <f t="shared" si="20"/>
        <v>15603840</v>
      </c>
      <c r="L116" s="740">
        <f>+L117+L118+L119</f>
        <v>469800</v>
      </c>
      <c r="M116" s="736">
        <f>+K116-L116</f>
        <v>15134040</v>
      </c>
      <c r="N116" s="735">
        <f>+L116/K116</f>
        <v>0.03010797342192691</v>
      </c>
    </row>
    <row r="117" spans="1:14" s="375" customFormat="1" ht="15" hidden="1" outlineLevel="1">
      <c r="A117" s="707" t="s">
        <v>419</v>
      </c>
      <c r="B117" s="675"/>
      <c r="C117" s="687">
        <v>1103840</v>
      </c>
      <c r="D117" s="617"/>
      <c r="E117" s="696"/>
      <c r="F117" s="687">
        <f aca="true" t="shared" si="26" ref="F117:F146">+E117+D117+C117+B117</f>
        <v>1103840</v>
      </c>
      <c r="G117" s="696"/>
      <c r="H117" s="736">
        <f>+F117+G117</f>
        <v>1103840</v>
      </c>
      <c r="I117" s="736"/>
      <c r="J117" s="536"/>
      <c r="K117" s="739">
        <f t="shared" si="20"/>
        <v>1103840</v>
      </c>
      <c r="L117" s="740">
        <v>0</v>
      </c>
      <c r="M117" s="736">
        <f>+K117-L117</f>
        <v>1103840</v>
      </c>
      <c r="N117" s="735">
        <f>+L117/K117</f>
        <v>0</v>
      </c>
    </row>
    <row r="118" spans="1:14" s="375" customFormat="1" ht="15" hidden="1" outlineLevel="1">
      <c r="A118" s="707" t="s">
        <v>420</v>
      </c>
      <c r="B118" s="675"/>
      <c r="C118" s="687">
        <v>14000000</v>
      </c>
      <c r="D118" s="617"/>
      <c r="E118" s="696"/>
      <c r="F118" s="687">
        <f t="shared" si="26"/>
        <v>14000000</v>
      </c>
      <c r="G118" s="696"/>
      <c r="H118" s="736">
        <f>+F118+G118</f>
        <v>14000000</v>
      </c>
      <c r="I118" s="736"/>
      <c r="J118" s="536"/>
      <c r="K118" s="739">
        <f t="shared" si="20"/>
        <v>14000000</v>
      </c>
      <c r="L118" s="740">
        <v>0</v>
      </c>
      <c r="M118" s="736">
        <f>+K118-L118</f>
        <v>14000000</v>
      </c>
      <c r="N118" s="735">
        <f>+L118/K118</f>
        <v>0</v>
      </c>
    </row>
    <row r="119" spans="1:14" s="375" customFormat="1" ht="15" hidden="1" outlineLevel="1">
      <c r="A119" s="707" t="s">
        <v>421</v>
      </c>
      <c r="B119" s="675"/>
      <c r="C119" s="687">
        <v>500000</v>
      </c>
      <c r="D119" s="617"/>
      <c r="E119" s="696"/>
      <c r="F119" s="687">
        <f t="shared" si="26"/>
        <v>500000</v>
      </c>
      <c r="G119" s="696"/>
      <c r="H119" s="736">
        <f>+F119+G119</f>
        <v>500000</v>
      </c>
      <c r="I119" s="736"/>
      <c r="J119" s="536"/>
      <c r="K119" s="739">
        <f t="shared" si="20"/>
        <v>500000</v>
      </c>
      <c r="L119" s="740">
        <v>469800</v>
      </c>
      <c r="M119" s="736">
        <f>+K119-L119</f>
        <v>30200</v>
      </c>
      <c r="N119" s="735">
        <f>+L119/K119</f>
        <v>0.9396</v>
      </c>
    </row>
    <row r="120" spans="1:14" s="375" customFormat="1" ht="15" hidden="1" outlineLevel="1">
      <c r="A120" s="680"/>
      <c r="B120" s="675"/>
      <c r="C120" s="675"/>
      <c r="D120" s="617"/>
      <c r="E120" s="695"/>
      <c r="F120" s="676"/>
      <c r="G120" s="695"/>
      <c r="H120" s="686"/>
      <c r="I120" s="686"/>
      <c r="J120" s="562"/>
      <c r="K120" s="734"/>
      <c r="L120" s="701"/>
      <c r="M120" s="686"/>
      <c r="N120" s="741"/>
    </row>
    <row r="121" spans="1:14" s="375" customFormat="1" ht="15" collapsed="1">
      <c r="A121" s="680" t="s">
        <v>13</v>
      </c>
      <c r="B121" s="676"/>
      <c r="C121" s="676">
        <f>+C122+C125+C131</f>
        <v>113075000</v>
      </c>
      <c r="D121" s="695"/>
      <c r="E121" s="695"/>
      <c r="F121" s="676">
        <f t="shared" si="26"/>
        <v>113075000</v>
      </c>
      <c r="G121" s="695"/>
      <c r="H121" s="686">
        <f>+G121+F121</f>
        <v>113075000</v>
      </c>
      <c r="I121" s="686"/>
      <c r="J121" s="536"/>
      <c r="K121" s="734">
        <f t="shared" si="20"/>
        <v>113075000</v>
      </c>
      <c r="L121" s="701">
        <f>+L122+L125+L131</f>
        <v>79647385</v>
      </c>
      <c r="M121" s="686">
        <f>+K121-L121</f>
        <v>33427615</v>
      </c>
      <c r="N121" s="735">
        <f>+L121/K121</f>
        <v>0.7043766084457219</v>
      </c>
    </row>
    <row r="122" spans="1:14" s="375" customFormat="1" ht="14.25" hidden="1" outlineLevel="1">
      <c r="A122" s="705" t="s">
        <v>14</v>
      </c>
      <c r="B122" s="617"/>
      <c r="C122" s="686">
        <f>+C123+C124</f>
        <v>46950000</v>
      </c>
      <c r="D122" s="695"/>
      <c r="E122" s="695"/>
      <c r="F122" s="687">
        <f t="shared" si="26"/>
        <v>46950000</v>
      </c>
      <c r="G122" s="695"/>
      <c r="H122" s="686">
        <f aca="true" t="shared" si="27" ref="H122:H131">+G122+F122</f>
        <v>46950000</v>
      </c>
      <c r="I122" s="686"/>
      <c r="J122" s="536"/>
      <c r="K122" s="734">
        <f t="shared" si="20"/>
        <v>46950000</v>
      </c>
      <c r="L122" s="701">
        <f>+L123+L124</f>
        <v>31730464</v>
      </c>
      <c r="M122" s="686">
        <f>+K122-L122</f>
        <v>15219536</v>
      </c>
      <c r="N122" s="735">
        <f aca="true" t="shared" si="28" ref="N122:N131">+L122/K122</f>
        <v>0.6758352289669861</v>
      </c>
    </row>
    <row r="123" spans="1:14" s="375" customFormat="1" ht="14.25" hidden="1" outlineLevel="2">
      <c r="A123" s="694" t="s">
        <v>458</v>
      </c>
      <c r="B123" s="617"/>
      <c r="C123" s="617">
        <v>24000000</v>
      </c>
      <c r="D123" s="695"/>
      <c r="E123" s="695"/>
      <c r="F123" s="687">
        <f t="shared" si="26"/>
        <v>24000000</v>
      </c>
      <c r="G123" s="695"/>
      <c r="H123" s="686">
        <f t="shared" si="27"/>
        <v>24000000</v>
      </c>
      <c r="I123" s="686"/>
      <c r="J123" s="536"/>
      <c r="K123" s="734">
        <f t="shared" si="20"/>
        <v>24000000</v>
      </c>
      <c r="L123" s="701">
        <v>14435664</v>
      </c>
      <c r="M123" s="686">
        <f aca="true" t="shared" si="29" ref="M123:M131">+K123-L123</f>
        <v>9564336</v>
      </c>
      <c r="N123" s="735">
        <f t="shared" si="28"/>
        <v>0.601486</v>
      </c>
    </row>
    <row r="124" spans="1:14" s="375" customFormat="1" ht="15" hidden="1" outlineLevel="2">
      <c r="A124" s="694" t="s">
        <v>482</v>
      </c>
      <c r="B124" s="617"/>
      <c r="C124" s="617">
        <v>22950000</v>
      </c>
      <c r="D124" s="695"/>
      <c r="E124" s="695"/>
      <c r="F124" s="687">
        <f t="shared" si="26"/>
        <v>22950000</v>
      </c>
      <c r="G124" s="695"/>
      <c r="H124" s="686">
        <f t="shared" si="27"/>
        <v>22950000</v>
      </c>
      <c r="I124" s="686"/>
      <c r="J124" s="562"/>
      <c r="K124" s="734">
        <f t="shared" si="20"/>
        <v>22950000</v>
      </c>
      <c r="L124" s="701">
        <v>17294800</v>
      </c>
      <c r="M124" s="686">
        <f t="shared" si="29"/>
        <v>5655200</v>
      </c>
      <c r="N124" s="735">
        <f t="shared" si="28"/>
        <v>0.7535860566448802</v>
      </c>
    </row>
    <row r="125" spans="1:14" s="375" customFormat="1" ht="14.25" hidden="1" outlineLevel="1">
      <c r="A125" s="705" t="s">
        <v>483</v>
      </c>
      <c r="B125" s="617"/>
      <c r="C125" s="686">
        <f>SUM(C126:C130)</f>
        <v>17625000</v>
      </c>
      <c r="D125" s="695"/>
      <c r="E125" s="695"/>
      <c r="F125" s="687">
        <f t="shared" si="26"/>
        <v>17625000</v>
      </c>
      <c r="G125" s="695"/>
      <c r="H125" s="686">
        <f t="shared" si="27"/>
        <v>17625000</v>
      </c>
      <c r="I125" s="686"/>
      <c r="J125" s="536"/>
      <c r="K125" s="734">
        <f t="shared" si="20"/>
        <v>17625000</v>
      </c>
      <c r="L125" s="701">
        <f>+L126+L127+L128+L129+L130</f>
        <v>15832133</v>
      </c>
      <c r="M125" s="686">
        <f t="shared" si="29"/>
        <v>1792867</v>
      </c>
      <c r="N125" s="735">
        <f t="shared" si="28"/>
        <v>0.8982770496453901</v>
      </c>
    </row>
    <row r="126" spans="1:14" s="375" customFormat="1" ht="14.25" hidden="1" outlineLevel="2">
      <c r="A126" s="694" t="s">
        <v>484</v>
      </c>
      <c r="B126" s="617"/>
      <c r="C126" s="617">
        <f>1750000+4200000</f>
        <v>5950000</v>
      </c>
      <c r="D126" s="695"/>
      <c r="E126" s="695"/>
      <c r="F126" s="687">
        <f t="shared" si="26"/>
        <v>5950000</v>
      </c>
      <c r="G126" s="695"/>
      <c r="H126" s="686">
        <f t="shared" si="27"/>
        <v>5950000</v>
      </c>
      <c r="I126" s="686"/>
      <c r="J126" s="536"/>
      <c r="K126" s="734">
        <f t="shared" si="20"/>
        <v>5950000</v>
      </c>
      <c r="L126" s="701">
        <v>4950765</v>
      </c>
      <c r="M126" s="686">
        <f t="shared" si="29"/>
        <v>999235</v>
      </c>
      <c r="N126" s="735">
        <f t="shared" si="28"/>
        <v>0.8320613445378151</v>
      </c>
    </row>
    <row r="127" spans="1:14" s="375" customFormat="1" ht="14.25" hidden="1" outlineLevel="2">
      <c r="A127" s="694" t="s">
        <v>485</v>
      </c>
      <c r="B127" s="617"/>
      <c r="C127" s="617">
        <v>625000</v>
      </c>
      <c r="D127" s="695"/>
      <c r="E127" s="695"/>
      <c r="F127" s="687">
        <f t="shared" si="26"/>
        <v>625000</v>
      </c>
      <c r="G127" s="695"/>
      <c r="H127" s="686">
        <f t="shared" si="27"/>
        <v>625000</v>
      </c>
      <c r="I127" s="686"/>
      <c r="J127" s="536"/>
      <c r="K127" s="734">
        <f t="shared" si="20"/>
        <v>625000</v>
      </c>
      <c r="L127" s="701">
        <v>277500</v>
      </c>
      <c r="M127" s="686">
        <f t="shared" si="29"/>
        <v>347500</v>
      </c>
      <c r="N127" s="735">
        <f t="shared" si="28"/>
        <v>0.444</v>
      </c>
    </row>
    <row r="128" spans="1:14" s="375" customFormat="1" ht="15" hidden="1" outlineLevel="2">
      <c r="A128" s="694" t="s">
        <v>486</v>
      </c>
      <c r="B128" s="617"/>
      <c r="C128" s="617">
        <v>2550000</v>
      </c>
      <c r="D128" s="695"/>
      <c r="E128" s="695"/>
      <c r="F128" s="687">
        <f t="shared" si="26"/>
        <v>2550000</v>
      </c>
      <c r="G128" s="695"/>
      <c r="H128" s="686">
        <f t="shared" si="27"/>
        <v>2550000</v>
      </c>
      <c r="I128" s="686"/>
      <c r="J128" s="562"/>
      <c r="K128" s="734">
        <f t="shared" si="20"/>
        <v>2550000</v>
      </c>
      <c r="L128" s="701">
        <v>2103868</v>
      </c>
      <c r="M128" s="686">
        <f t="shared" si="29"/>
        <v>446132</v>
      </c>
      <c r="N128" s="735">
        <f t="shared" si="28"/>
        <v>0.825046274509804</v>
      </c>
    </row>
    <row r="129" spans="1:14" s="375" customFormat="1" ht="14.25" hidden="1" outlineLevel="2">
      <c r="A129" s="694" t="s">
        <v>459</v>
      </c>
      <c r="B129" s="617"/>
      <c r="C129" s="617">
        <v>5000000</v>
      </c>
      <c r="D129" s="695"/>
      <c r="E129" s="695"/>
      <c r="F129" s="687">
        <f>+E129+D129+C129+B129</f>
        <v>5000000</v>
      </c>
      <c r="G129" s="695"/>
      <c r="H129" s="686">
        <f>+G129+F129</f>
        <v>5000000</v>
      </c>
      <c r="I129" s="686"/>
      <c r="J129" s="536"/>
      <c r="K129" s="734">
        <f t="shared" si="20"/>
        <v>5000000</v>
      </c>
      <c r="L129" s="701">
        <v>5000000</v>
      </c>
      <c r="M129" s="686">
        <f t="shared" si="29"/>
        <v>0</v>
      </c>
      <c r="N129" s="735">
        <f t="shared" si="28"/>
        <v>1</v>
      </c>
    </row>
    <row r="130" spans="1:14" s="375" customFormat="1" ht="14.25" hidden="1" outlineLevel="2">
      <c r="A130" s="694" t="s">
        <v>522</v>
      </c>
      <c r="B130" s="617"/>
      <c r="C130" s="617">
        <v>3500000</v>
      </c>
      <c r="D130" s="695"/>
      <c r="E130" s="695"/>
      <c r="F130" s="687">
        <f t="shared" si="26"/>
        <v>3500000</v>
      </c>
      <c r="G130" s="695"/>
      <c r="H130" s="686">
        <f t="shared" si="27"/>
        <v>3500000</v>
      </c>
      <c r="I130" s="686"/>
      <c r="J130" s="536"/>
      <c r="K130" s="734">
        <f t="shared" si="20"/>
        <v>3500000</v>
      </c>
      <c r="L130" s="701">
        <v>3500000</v>
      </c>
      <c r="M130" s="686">
        <f t="shared" si="29"/>
        <v>0</v>
      </c>
      <c r="N130" s="735">
        <f t="shared" si="28"/>
        <v>1</v>
      </c>
    </row>
    <row r="131" spans="1:14" s="375" customFormat="1" ht="14.25" hidden="1" outlineLevel="1">
      <c r="A131" s="705" t="s">
        <v>487</v>
      </c>
      <c r="B131" s="617"/>
      <c r="C131" s="617">
        <f>45500000+3000000</f>
        <v>48500000</v>
      </c>
      <c r="D131" s="695"/>
      <c r="E131" s="695"/>
      <c r="F131" s="687">
        <f t="shared" si="26"/>
        <v>48500000</v>
      </c>
      <c r="G131" s="695"/>
      <c r="H131" s="686">
        <f t="shared" si="27"/>
        <v>48500000</v>
      </c>
      <c r="I131" s="686"/>
      <c r="J131" s="536"/>
      <c r="K131" s="734">
        <f t="shared" si="20"/>
        <v>48500000</v>
      </c>
      <c r="L131" s="701">
        <v>32084788</v>
      </c>
      <c r="M131" s="686">
        <f t="shared" si="29"/>
        <v>16415212</v>
      </c>
      <c r="N131" s="735">
        <f t="shared" si="28"/>
        <v>0.6615420206185567</v>
      </c>
    </row>
    <row r="132" spans="1:14" s="375" customFormat="1" ht="15" hidden="1" outlineLevel="1">
      <c r="A132" s="705"/>
      <c r="B132" s="617"/>
      <c r="C132" s="617"/>
      <c r="D132" s="695"/>
      <c r="E132" s="695"/>
      <c r="F132" s="617"/>
      <c r="G132" s="695"/>
      <c r="H132" s="686"/>
      <c r="I132" s="686"/>
      <c r="J132" s="562"/>
      <c r="K132" s="734">
        <f t="shared" si="20"/>
        <v>0</v>
      </c>
      <c r="L132" s="701"/>
      <c r="M132" s="686"/>
      <c r="N132" s="741"/>
    </row>
    <row r="133" spans="1:14" s="375" customFormat="1" ht="15" collapsed="1">
      <c r="A133" s="680" t="s">
        <v>0</v>
      </c>
      <c r="B133" s="676"/>
      <c r="C133" s="676">
        <f>+C134+C135+C138</f>
        <v>2500000</v>
      </c>
      <c r="D133" s="695"/>
      <c r="E133" s="695"/>
      <c r="F133" s="676">
        <f t="shared" si="26"/>
        <v>2500000</v>
      </c>
      <c r="G133" s="695"/>
      <c r="H133" s="686">
        <f>+H134+H135+H138</f>
        <v>2500000</v>
      </c>
      <c r="I133" s="686">
        <f>+I134+I135+I138+I139</f>
        <v>5000000</v>
      </c>
      <c r="J133" s="536"/>
      <c r="K133" s="734">
        <f t="shared" si="20"/>
        <v>7500000</v>
      </c>
      <c r="L133" s="701">
        <f>+L134+L135+L138+L139</f>
        <v>4106680</v>
      </c>
      <c r="M133" s="686">
        <f>+K133-L133</f>
        <v>3393320</v>
      </c>
      <c r="N133" s="735">
        <f>+L133/K133</f>
        <v>0.5475573333333333</v>
      </c>
    </row>
    <row r="134" spans="1:14" s="375" customFormat="1" ht="15" hidden="1" outlineLevel="1">
      <c r="A134" s="705" t="s">
        <v>504</v>
      </c>
      <c r="B134" s="676"/>
      <c r="C134" s="617">
        <v>2500000</v>
      </c>
      <c r="D134" s="695"/>
      <c r="E134" s="695"/>
      <c r="F134" s="687">
        <f t="shared" si="26"/>
        <v>2500000</v>
      </c>
      <c r="G134" s="695"/>
      <c r="H134" s="686">
        <f>+F134+G134</f>
        <v>2500000</v>
      </c>
      <c r="I134" s="686"/>
      <c r="J134" s="536"/>
      <c r="K134" s="734">
        <f t="shared" si="20"/>
        <v>2500000</v>
      </c>
      <c r="L134" s="701">
        <v>598000</v>
      </c>
      <c r="M134" s="686">
        <f aca="true" t="shared" si="30" ref="M134:M139">+K134-L134</f>
        <v>1902000</v>
      </c>
      <c r="N134" s="735">
        <f>+L134/K134</f>
        <v>0.2392</v>
      </c>
    </row>
    <row r="135" spans="1:14" s="375" customFormat="1" ht="15" hidden="1" outlineLevel="1">
      <c r="A135" s="705" t="s">
        <v>550</v>
      </c>
      <c r="B135" s="676"/>
      <c r="C135" s="617">
        <v>0</v>
      </c>
      <c r="D135" s="617"/>
      <c r="E135" s="695"/>
      <c r="F135" s="687">
        <f t="shared" si="26"/>
        <v>0</v>
      </c>
      <c r="G135" s="695"/>
      <c r="H135" s="686">
        <f>+F135+G135</f>
        <v>0</v>
      </c>
      <c r="I135" s="686"/>
      <c r="J135" s="536"/>
      <c r="K135" s="734">
        <f t="shared" si="20"/>
        <v>0</v>
      </c>
      <c r="L135" s="701">
        <f>+L136+L137</f>
        <v>0</v>
      </c>
      <c r="M135" s="686">
        <f t="shared" si="30"/>
        <v>0</v>
      </c>
      <c r="N135" s="735">
        <v>0</v>
      </c>
    </row>
    <row r="136" spans="1:14" s="375" customFormat="1" ht="15" hidden="1" outlineLevel="2">
      <c r="A136" s="692" t="s">
        <v>549</v>
      </c>
      <c r="B136" s="676"/>
      <c r="C136" s="617"/>
      <c r="D136" s="617"/>
      <c r="E136" s="695"/>
      <c r="F136" s="687">
        <f t="shared" si="26"/>
        <v>0</v>
      </c>
      <c r="G136" s="695"/>
      <c r="H136" s="686">
        <f>+F136+G136</f>
        <v>0</v>
      </c>
      <c r="I136" s="686"/>
      <c r="J136" s="562"/>
      <c r="K136" s="734">
        <f>+H136+I136</f>
        <v>0</v>
      </c>
      <c r="L136" s="701"/>
      <c r="M136" s="686">
        <f t="shared" si="30"/>
        <v>0</v>
      </c>
      <c r="N136" s="735">
        <v>0</v>
      </c>
    </row>
    <row r="137" spans="1:14" s="375" customFormat="1" ht="15" hidden="1" outlineLevel="2">
      <c r="A137" s="692" t="s">
        <v>370</v>
      </c>
      <c r="B137" s="676"/>
      <c r="C137" s="617"/>
      <c r="D137" s="617"/>
      <c r="E137" s="695"/>
      <c r="F137" s="687">
        <f t="shared" si="26"/>
        <v>0</v>
      </c>
      <c r="G137" s="695"/>
      <c r="H137" s="686">
        <f>+F137+G137</f>
        <v>0</v>
      </c>
      <c r="I137" s="686"/>
      <c r="J137" s="536"/>
      <c r="K137" s="734">
        <f>+H137+I137</f>
        <v>0</v>
      </c>
      <c r="L137" s="701"/>
      <c r="M137" s="686">
        <f t="shared" si="30"/>
        <v>0</v>
      </c>
      <c r="N137" s="735">
        <v>0</v>
      </c>
    </row>
    <row r="138" spans="1:14" s="375" customFormat="1" ht="15" hidden="1" outlineLevel="1">
      <c r="A138" s="705" t="s">
        <v>488</v>
      </c>
      <c r="B138" s="676"/>
      <c r="C138" s="617">
        <v>0</v>
      </c>
      <c r="D138" s="617"/>
      <c r="E138" s="695"/>
      <c r="F138" s="687">
        <f t="shared" si="26"/>
        <v>0</v>
      </c>
      <c r="G138" s="695"/>
      <c r="H138" s="686">
        <f>+F138+G138</f>
        <v>0</v>
      </c>
      <c r="I138" s="686"/>
      <c r="J138" s="536"/>
      <c r="K138" s="734">
        <f>+H138+I138</f>
        <v>0</v>
      </c>
      <c r="L138" s="701">
        <v>0</v>
      </c>
      <c r="M138" s="686">
        <f t="shared" si="30"/>
        <v>0</v>
      </c>
      <c r="N138" s="735">
        <v>0</v>
      </c>
    </row>
    <row r="139" spans="1:14" s="375" customFormat="1" ht="15" hidden="1" outlineLevel="1">
      <c r="A139" s="705" t="s">
        <v>563</v>
      </c>
      <c r="B139" s="676"/>
      <c r="C139" s="617"/>
      <c r="D139" s="617"/>
      <c r="E139" s="695"/>
      <c r="F139" s="687"/>
      <c r="G139" s="695"/>
      <c r="H139" s="686"/>
      <c r="I139" s="686">
        <v>5000000</v>
      </c>
      <c r="J139" s="536"/>
      <c r="K139" s="734">
        <f>+H139+I139</f>
        <v>5000000</v>
      </c>
      <c r="L139" s="701">
        <v>3508680</v>
      </c>
      <c r="M139" s="686">
        <f t="shared" si="30"/>
        <v>1491320</v>
      </c>
      <c r="N139" s="735">
        <f>+L139/K139</f>
        <v>0.701736</v>
      </c>
    </row>
    <row r="140" spans="1:14" s="375" customFormat="1" ht="15" hidden="1" outlineLevel="1">
      <c r="A140" s="708"/>
      <c r="B140" s="676"/>
      <c r="C140" s="617"/>
      <c r="D140" s="617"/>
      <c r="E140" s="695"/>
      <c r="F140" s="691"/>
      <c r="G140" s="695"/>
      <c r="H140" s="686"/>
      <c r="I140" s="686"/>
      <c r="J140" s="562"/>
      <c r="K140" s="734"/>
      <c r="L140" s="701"/>
      <c r="M140" s="686"/>
      <c r="N140" s="741"/>
    </row>
    <row r="141" spans="1:14" s="375" customFormat="1" ht="15" collapsed="1">
      <c r="A141" s="680" t="s">
        <v>371</v>
      </c>
      <c r="B141" s="691"/>
      <c r="C141" s="682">
        <f>SUM(C142:C146)</f>
        <v>98175000</v>
      </c>
      <c r="D141" s="693"/>
      <c r="E141" s="693"/>
      <c r="F141" s="682">
        <f t="shared" si="26"/>
        <v>98175000</v>
      </c>
      <c r="G141" s="693"/>
      <c r="H141" s="686">
        <f aca="true" t="shared" si="31" ref="H141:H146">+G141+F141</f>
        <v>98175000</v>
      </c>
      <c r="I141" s="686"/>
      <c r="J141" s="536"/>
      <c r="K141" s="734">
        <f aca="true" t="shared" si="32" ref="K141:K146">+H141+I141</f>
        <v>98175000</v>
      </c>
      <c r="L141" s="701">
        <f>+L142+L143+L144+L145+L146</f>
        <v>86693045</v>
      </c>
      <c r="M141" s="686">
        <f aca="true" t="shared" si="33" ref="M141:M146">+K141-L141</f>
        <v>11481955</v>
      </c>
      <c r="N141" s="735">
        <f aca="true" t="shared" si="34" ref="N141:N146">+L141/K141</f>
        <v>0.8830460402342756</v>
      </c>
    </row>
    <row r="142" spans="1:14" s="375" customFormat="1" ht="15" hidden="1" outlineLevel="1">
      <c r="A142" s="705" t="s">
        <v>489</v>
      </c>
      <c r="B142" s="676"/>
      <c r="C142" s="686">
        <v>1500000</v>
      </c>
      <c r="D142" s="617"/>
      <c r="E142" s="695"/>
      <c r="F142" s="687">
        <f t="shared" si="26"/>
        <v>1500000</v>
      </c>
      <c r="G142" s="695"/>
      <c r="H142" s="686">
        <f t="shared" si="31"/>
        <v>1500000</v>
      </c>
      <c r="I142" s="686"/>
      <c r="J142" s="536"/>
      <c r="K142" s="734">
        <f t="shared" si="32"/>
        <v>1500000</v>
      </c>
      <c r="L142" s="701">
        <v>0</v>
      </c>
      <c r="M142" s="686">
        <f t="shared" si="33"/>
        <v>1500000</v>
      </c>
      <c r="N142" s="735">
        <f t="shared" si="34"/>
        <v>0</v>
      </c>
    </row>
    <row r="143" spans="1:14" s="375" customFormat="1" ht="15" hidden="1" outlineLevel="1">
      <c r="A143" s="705" t="s">
        <v>496</v>
      </c>
      <c r="B143" s="676"/>
      <c r="C143" s="686">
        <v>3000000</v>
      </c>
      <c r="D143" s="617"/>
      <c r="E143" s="695"/>
      <c r="F143" s="687">
        <f t="shared" si="26"/>
        <v>3000000</v>
      </c>
      <c r="G143" s="695"/>
      <c r="H143" s="686">
        <f t="shared" si="31"/>
        <v>3000000</v>
      </c>
      <c r="I143" s="686"/>
      <c r="J143" s="536"/>
      <c r="K143" s="734">
        <f t="shared" si="32"/>
        <v>3000000</v>
      </c>
      <c r="L143" s="701">
        <v>2342278</v>
      </c>
      <c r="M143" s="686">
        <f t="shared" si="33"/>
        <v>657722</v>
      </c>
      <c r="N143" s="735">
        <f t="shared" si="34"/>
        <v>0.7807593333333334</v>
      </c>
    </row>
    <row r="144" spans="1:14" s="375" customFormat="1" ht="15" hidden="1" outlineLevel="1">
      <c r="A144" s="705" t="s">
        <v>490</v>
      </c>
      <c r="B144" s="676"/>
      <c r="C144" s="686">
        <v>175000</v>
      </c>
      <c r="D144" s="617"/>
      <c r="E144" s="695"/>
      <c r="F144" s="687">
        <f t="shared" si="26"/>
        <v>175000</v>
      </c>
      <c r="G144" s="695"/>
      <c r="H144" s="686">
        <f t="shared" si="31"/>
        <v>175000</v>
      </c>
      <c r="I144" s="686"/>
      <c r="J144" s="562"/>
      <c r="K144" s="734">
        <f t="shared" si="32"/>
        <v>175000</v>
      </c>
      <c r="L144" s="701">
        <v>157500</v>
      </c>
      <c r="M144" s="686">
        <f t="shared" si="33"/>
        <v>17500</v>
      </c>
      <c r="N144" s="735">
        <f t="shared" si="34"/>
        <v>0.9</v>
      </c>
    </row>
    <row r="145" spans="1:14" s="375" customFormat="1" ht="15" hidden="1" outlineLevel="1">
      <c r="A145" s="705" t="s">
        <v>491</v>
      </c>
      <c r="B145" s="676"/>
      <c r="C145" s="686">
        <v>90000000</v>
      </c>
      <c r="D145" s="617"/>
      <c r="E145" s="695"/>
      <c r="F145" s="687">
        <f t="shared" si="26"/>
        <v>90000000</v>
      </c>
      <c r="G145" s="695"/>
      <c r="H145" s="686">
        <f t="shared" si="31"/>
        <v>90000000</v>
      </c>
      <c r="I145" s="686"/>
      <c r="J145" s="536"/>
      <c r="K145" s="734">
        <f t="shared" si="32"/>
        <v>90000000</v>
      </c>
      <c r="L145" s="701">
        <v>81193267</v>
      </c>
      <c r="M145" s="686">
        <f t="shared" si="33"/>
        <v>8806733</v>
      </c>
      <c r="N145" s="735">
        <f t="shared" si="34"/>
        <v>0.9021474111111111</v>
      </c>
    </row>
    <row r="146" spans="1:14" s="375" customFormat="1" ht="15" hidden="1" outlineLevel="1">
      <c r="A146" s="705" t="s">
        <v>492</v>
      </c>
      <c r="B146" s="676"/>
      <c r="C146" s="686">
        <v>3500000</v>
      </c>
      <c r="D146" s="617"/>
      <c r="E146" s="695"/>
      <c r="F146" s="687">
        <f t="shared" si="26"/>
        <v>3500000</v>
      </c>
      <c r="G146" s="695"/>
      <c r="H146" s="686">
        <f t="shared" si="31"/>
        <v>3500000</v>
      </c>
      <c r="I146" s="686"/>
      <c r="J146" s="536"/>
      <c r="K146" s="734">
        <f t="shared" si="32"/>
        <v>3500000</v>
      </c>
      <c r="L146" s="701">
        <v>3000000</v>
      </c>
      <c r="M146" s="686">
        <f t="shared" si="33"/>
        <v>500000</v>
      </c>
      <c r="N146" s="735">
        <f t="shared" si="34"/>
        <v>0.8571428571428571</v>
      </c>
    </row>
    <row r="147" spans="1:14" s="375" customFormat="1" ht="15" collapsed="1">
      <c r="A147" s="694"/>
      <c r="B147" s="676"/>
      <c r="C147" s="617"/>
      <c r="D147" s="695"/>
      <c r="E147" s="617"/>
      <c r="F147" s="676"/>
      <c r="G147" s="695"/>
      <c r="H147" s="686"/>
      <c r="I147" s="686"/>
      <c r="J147" s="536"/>
      <c r="K147" s="734"/>
      <c r="L147" s="701"/>
      <c r="M147" s="686"/>
      <c r="N147" s="741"/>
    </row>
    <row r="148" spans="1:14" ht="15">
      <c r="A148" s="732" t="s">
        <v>64</v>
      </c>
      <c r="B148" s="693"/>
      <c r="C148" s="682"/>
      <c r="D148" s="682">
        <f>+D149+D154+D161+D167+D169</f>
        <v>1382937601</v>
      </c>
      <c r="E148" s="693"/>
      <c r="F148" s="682">
        <f>+F149+F154+F161+F167+F169</f>
        <v>1382937601</v>
      </c>
      <c r="G148" s="693"/>
      <c r="H148" s="682">
        <f>+H149+H154+H161+H167+H169</f>
        <v>1382937601</v>
      </c>
      <c r="I148" s="682"/>
      <c r="J148" s="562"/>
      <c r="K148" s="684">
        <f aca="true" t="shared" si="35" ref="K148:K159">+H148+I148</f>
        <v>1382937601</v>
      </c>
      <c r="L148" s="685">
        <f>+L149+L154+L161+L167+L169</f>
        <v>1164304210</v>
      </c>
      <c r="M148" s="682">
        <f aca="true" t="shared" si="36" ref="M148:M154">+K148-L148</f>
        <v>218633391</v>
      </c>
      <c r="N148" s="724">
        <f aca="true" t="shared" si="37" ref="N148:N157">+L148/K148</f>
        <v>0.8419065394983067</v>
      </c>
    </row>
    <row r="149" spans="1:14" s="375" customFormat="1" ht="15">
      <c r="A149" s="709" t="s">
        <v>190</v>
      </c>
      <c r="B149" s="677"/>
      <c r="C149" s="617"/>
      <c r="D149" s="682">
        <f>+D150+D151+D152+D153</f>
        <v>828298000</v>
      </c>
      <c r="E149" s="695"/>
      <c r="F149" s="676">
        <f>+E149+D149+C149+B149</f>
        <v>828298000</v>
      </c>
      <c r="G149" s="695"/>
      <c r="H149" s="676">
        <f aca="true" t="shared" si="38" ref="H149:H159">+G149+F149</f>
        <v>828298000</v>
      </c>
      <c r="I149" s="676"/>
      <c r="J149" s="536"/>
      <c r="K149" s="678">
        <f t="shared" si="35"/>
        <v>828298000</v>
      </c>
      <c r="L149" s="678">
        <f>+SUM(L150:L153)</f>
        <v>633510047</v>
      </c>
      <c r="M149" s="676">
        <f t="shared" si="36"/>
        <v>194787953</v>
      </c>
      <c r="N149" s="721">
        <f t="shared" si="37"/>
        <v>0.7648334862573615</v>
      </c>
    </row>
    <row r="150" spans="1:14" s="375" customFormat="1" ht="15" hidden="1" outlineLevel="1">
      <c r="A150" s="694" t="s">
        <v>424</v>
      </c>
      <c r="B150" s="677"/>
      <c r="C150" s="617"/>
      <c r="D150" s="691">
        <v>500000000</v>
      </c>
      <c r="E150" s="695"/>
      <c r="F150" s="687">
        <f>+E150+D150+C150+B150</f>
        <v>500000000</v>
      </c>
      <c r="G150" s="695"/>
      <c r="H150" s="617">
        <f t="shared" si="38"/>
        <v>500000000</v>
      </c>
      <c r="I150" s="617"/>
      <c r="J150" s="536"/>
      <c r="K150" s="688">
        <f t="shared" si="35"/>
        <v>500000000</v>
      </c>
      <c r="L150" s="689">
        <v>378349679</v>
      </c>
      <c r="M150" s="617">
        <f t="shared" si="36"/>
        <v>121650321</v>
      </c>
      <c r="N150" s="721">
        <f t="shared" si="37"/>
        <v>0.756699358</v>
      </c>
    </row>
    <row r="151" spans="1:14" s="375" customFormat="1" ht="15" hidden="1" outlineLevel="1">
      <c r="A151" s="694" t="s">
        <v>187</v>
      </c>
      <c r="B151" s="677"/>
      <c r="C151" s="617"/>
      <c r="D151" s="691">
        <v>28748000</v>
      </c>
      <c r="E151" s="695"/>
      <c r="F151" s="687">
        <f>+E151+D151+C151+B151</f>
        <v>28748000</v>
      </c>
      <c r="G151" s="695"/>
      <c r="H151" s="617">
        <f t="shared" si="38"/>
        <v>28748000</v>
      </c>
      <c r="I151" s="617"/>
      <c r="J151" s="536"/>
      <c r="K151" s="688">
        <f t="shared" si="35"/>
        <v>28748000</v>
      </c>
      <c r="L151" s="689">
        <v>28682180</v>
      </c>
      <c r="M151" s="617">
        <f t="shared" si="36"/>
        <v>65820</v>
      </c>
      <c r="N151" s="721">
        <f t="shared" si="37"/>
        <v>0.9977104494225685</v>
      </c>
    </row>
    <row r="152" spans="1:14" s="375" customFormat="1" ht="15" hidden="1" outlineLevel="1">
      <c r="A152" s="694" t="s">
        <v>188</v>
      </c>
      <c r="B152" s="677"/>
      <c r="C152" s="617"/>
      <c r="D152" s="691">
        <v>237800000</v>
      </c>
      <c r="E152" s="695"/>
      <c r="F152" s="687">
        <f>+E152+D152+C152+B152</f>
        <v>237800000</v>
      </c>
      <c r="G152" s="695"/>
      <c r="H152" s="617">
        <f t="shared" si="38"/>
        <v>237800000</v>
      </c>
      <c r="I152" s="617"/>
      <c r="J152" s="562"/>
      <c r="K152" s="688">
        <f t="shared" si="35"/>
        <v>237800000</v>
      </c>
      <c r="L152" s="689">
        <v>173849636</v>
      </c>
      <c r="M152" s="617">
        <f t="shared" si="36"/>
        <v>63950364</v>
      </c>
      <c r="N152" s="721">
        <f t="shared" si="37"/>
        <v>0.7310750042052144</v>
      </c>
    </row>
    <row r="153" spans="1:14" s="375" customFormat="1" ht="15" hidden="1" outlineLevel="1">
      <c r="A153" s="694" t="s">
        <v>423</v>
      </c>
      <c r="B153" s="677"/>
      <c r="C153" s="617"/>
      <c r="D153" s="691">
        <v>61750000</v>
      </c>
      <c r="E153" s="695"/>
      <c r="F153" s="687">
        <f>+E153+D153+C153+B153</f>
        <v>61750000</v>
      </c>
      <c r="G153" s="695"/>
      <c r="H153" s="617">
        <f t="shared" si="38"/>
        <v>61750000</v>
      </c>
      <c r="I153" s="617"/>
      <c r="J153" s="536"/>
      <c r="K153" s="688">
        <f t="shared" si="35"/>
        <v>61750000</v>
      </c>
      <c r="L153" s="689">
        <v>52628552</v>
      </c>
      <c r="M153" s="617">
        <f t="shared" si="36"/>
        <v>9121448</v>
      </c>
      <c r="N153" s="721">
        <f t="shared" si="37"/>
        <v>0.8522842429149797</v>
      </c>
    </row>
    <row r="154" spans="1:14" s="375" customFormat="1" ht="15" collapsed="1">
      <c r="A154" s="709" t="s">
        <v>15</v>
      </c>
      <c r="B154" s="677"/>
      <c r="C154" s="617"/>
      <c r="D154" s="682">
        <f>+D155+D158</f>
        <v>13333333</v>
      </c>
      <c r="E154" s="695"/>
      <c r="F154" s="676">
        <f>+F155+F158</f>
        <v>13333333</v>
      </c>
      <c r="G154" s="695"/>
      <c r="H154" s="676">
        <f t="shared" si="38"/>
        <v>13333333</v>
      </c>
      <c r="I154" s="676"/>
      <c r="J154" s="536"/>
      <c r="K154" s="678">
        <f t="shared" si="35"/>
        <v>13333333</v>
      </c>
      <c r="L154" s="678">
        <f>+L155</f>
        <v>4587783</v>
      </c>
      <c r="M154" s="676">
        <f t="shared" si="36"/>
        <v>8745550</v>
      </c>
      <c r="N154" s="721">
        <f t="shared" si="37"/>
        <v>0.3440837336020933</v>
      </c>
    </row>
    <row r="155" spans="1:14" s="375" customFormat="1" ht="15" hidden="1" outlineLevel="1">
      <c r="A155" s="709" t="s">
        <v>194</v>
      </c>
      <c r="B155" s="677"/>
      <c r="C155" s="617"/>
      <c r="D155" s="682">
        <f>+D156+D157</f>
        <v>13333333</v>
      </c>
      <c r="E155" s="695"/>
      <c r="F155" s="676">
        <f>+F156+F157</f>
        <v>13333333</v>
      </c>
      <c r="G155" s="695"/>
      <c r="H155" s="676">
        <f t="shared" si="38"/>
        <v>13333333</v>
      </c>
      <c r="I155" s="676"/>
      <c r="J155" s="536"/>
      <c r="K155" s="678">
        <f t="shared" si="35"/>
        <v>13333333</v>
      </c>
      <c r="L155" s="678">
        <f>+L156+L157</f>
        <v>4587783</v>
      </c>
      <c r="M155" s="676">
        <f>+M156+M157</f>
        <v>8745550</v>
      </c>
      <c r="N155" s="721">
        <f t="shared" si="37"/>
        <v>0.3440837336020933</v>
      </c>
    </row>
    <row r="156" spans="1:14" s="375" customFormat="1" ht="15" hidden="1" outlineLevel="2">
      <c r="A156" s="694" t="s">
        <v>366</v>
      </c>
      <c r="B156" s="677"/>
      <c r="C156" s="617"/>
      <c r="D156" s="691">
        <v>4000000</v>
      </c>
      <c r="E156" s="695"/>
      <c r="F156" s="687">
        <v>4000000</v>
      </c>
      <c r="G156" s="695"/>
      <c r="H156" s="617">
        <f t="shared" si="38"/>
        <v>4000000</v>
      </c>
      <c r="I156" s="617"/>
      <c r="J156" s="562"/>
      <c r="K156" s="688">
        <f t="shared" si="35"/>
        <v>4000000</v>
      </c>
      <c r="L156" s="689">
        <v>1959500</v>
      </c>
      <c r="M156" s="617">
        <f>+K156-L156</f>
        <v>2040500</v>
      </c>
      <c r="N156" s="721">
        <f t="shared" si="37"/>
        <v>0.489875</v>
      </c>
    </row>
    <row r="157" spans="1:14" s="375" customFormat="1" ht="15" hidden="1" outlineLevel="2">
      <c r="A157" s="694" t="s">
        <v>367</v>
      </c>
      <c r="B157" s="677"/>
      <c r="C157" s="617"/>
      <c r="D157" s="691">
        <v>9333333</v>
      </c>
      <c r="E157" s="695"/>
      <c r="F157" s="687">
        <v>9333333</v>
      </c>
      <c r="G157" s="695"/>
      <c r="H157" s="617">
        <f t="shared" si="38"/>
        <v>9333333</v>
      </c>
      <c r="I157" s="617"/>
      <c r="J157" s="536"/>
      <c r="K157" s="688">
        <f t="shared" si="35"/>
        <v>9333333</v>
      </c>
      <c r="L157" s="689">
        <v>2628283</v>
      </c>
      <c r="M157" s="617">
        <f>+K157-L157</f>
        <v>6705050</v>
      </c>
      <c r="N157" s="721">
        <f t="shared" si="37"/>
        <v>0.2816017600572057</v>
      </c>
    </row>
    <row r="158" spans="1:14" s="375" customFormat="1" ht="15" hidden="1" outlineLevel="1">
      <c r="A158" s="709" t="s">
        <v>193</v>
      </c>
      <c r="B158" s="677"/>
      <c r="C158" s="617"/>
      <c r="D158" s="682">
        <f>+D159</f>
        <v>0</v>
      </c>
      <c r="E158" s="695"/>
      <c r="F158" s="676">
        <f>+F159</f>
        <v>0</v>
      </c>
      <c r="G158" s="695"/>
      <c r="H158" s="676">
        <f t="shared" si="38"/>
        <v>0</v>
      </c>
      <c r="I158" s="676"/>
      <c r="J158" s="536"/>
      <c r="K158" s="678">
        <f t="shared" si="35"/>
        <v>0</v>
      </c>
      <c r="L158" s="679">
        <f>+L159</f>
        <v>0</v>
      </c>
      <c r="M158" s="676">
        <f>+M159</f>
        <v>0</v>
      </c>
      <c r="N158" s="723">
        <f>+N159</f>
        <v>0</v>
      </c>
    </row>
    <row r="159" spans="1:14" s="375" customFormat="1" ht="15" hidden="1" outlineLevel="2">
      <c r="A159" s="694" t="s">
        <v>186</v>
      </c>
      <c r="B159" s="677"/>
      <c r="C159" s="617"/>
      <c r="D159" s="691">
        <v>0</v>
      </c>
      <c r="E159" s="695"/>
      <c r="F159" s="687">
        <f>+D159</f>
        <v>0</v>
      </c>
      <c r="G159" s="695"/>
      <c r="H159" s="617">
        <f t="shared" si="38"/>
        <v>0</v>
      </c>
      <c r="I159" s="617"/>
      <c r="J159" s="536"/>
      <c r="K159" s="688">
        <f t="shared" si="35"/>
        <v>0</v>
      </c>
      <c r="L159" s="689">
        <v>0</v>
      </c>
      <c r="M159" s="617">
        <v>0</v>
      </c>
      <c r="N159" s="722">
        <v>0</v>
      </c>
    </row>
    <row r="160" spans="1:14" s="375" customFormat="1" ht="15" hidden="1" outlineLevel="1">
      <c r="A160" s="694"/>
      <c r="B160" s="677"/>
      <c r="C160" s="617"/>
      <c r="D160" s="691"/>
      <c r="E160" s="695"/>
      <c r="F160" s="617"/>
      <c r="G160" s="695"/>
      <c r="H160" s="617"/>
      <c r="I160" s="617"/>
      <c r="J160" s="562"/>
      <c r="K160" s="688"/>
      <c r="L160" s="689"/>
      <c r="M160" s="617"/>
      <c r="N160" s="722"/>
    </row>
    <row r="161" spans="1:14" s="375" customFormat="1" ht="15" collapsed="1">
      <c r="A161" s="709" t="s">
        <v>189</v>
      </c>
      <c r="B161" s="677"/>
      <c r="C161" s="617"/>
      <c r="D161" s="682">
        <f>+D162+D163+D164+D165+D166</f>
        <v>86900000</v>
      </c>
      <c r="E161" s="617"/>
      <c r="F161" s="676">
        <f aca="true" t="shared" si="39" ref="F161:F166">+E161+D161+C161+B161</f>
        <v>86900000</v>
      </c>
      <c r="G161" s="695"/>
      <c r="H161" s="676">
        <f>+G161+F161</f>
        <v>86900000</v>
      </c>
      <c r="I161" s="676"/>
      <c r="J161" s="536"/>
      <c r="K161" s="678">
        <f aca="true" t="shared" si="40" ref="K161:K177">+H161+I161</f>
        <v>86900000</v>
      </c>
      <c r="L161" s="679">
        <f>+SUM(L162:L166)</f>
        <v>80038816</v>
      </c>
      <c r="M161" s="676">
        <f aca="true" t="shared" si="41" ref="M161:M169">+K161-L161</f>
        <v>6861184</v>
      </c>
      <c r="N161" s="725">
        <f aca="true" t="shared" si="42" ref="N161:N169">+L161/K161</f>
        <v>0.9210450632911392</v>
      </c>
    </row>
    <row r="162" spans="1:14" s="375" customFormat="1" ht="15" hidden="1" outlineLevel="1">
      <c r="A162" s="690" t="s">
        <v>214</v>
      </c>
      <c r="B162" s="677"/>
      <c r="C162" s="617"/>
      <c r="D162" s="691">
        <v>60900000</v>
      </c>
      <c r="E162" s="695"/>
      <c r="F162" s="687">
        <f>+E162+D162+C162+B162</f>
        <v>60900000</v>
      </c>
      <c r="G162" s="696"/>
      <c r="H162" s="617">
        <f>+F162+G162</f>
        <v>60900000</v>
      </c>
      <c r="I162" s="617"/>
      <c r="J162" s="536"/>
      <c r="K162" s="688">
        <f t="shared" si="40"/>
        <v>60900000</v>
      </c>
      <c r="L162" s="689">
        <v>57249948</v>
      </c>
      <c r="M162" s="686">
        <f t="shared" si="41"/>
        <v>3650052</v>
      </c>
      <c r="N162" s="725">
        <f t="shared" si="42"/>
        <v>0.9400648275862069</v>
      </c>
    </row>
    <row r="163" spans="1:14" s="375" customFormat="1" ht="15" hidden="1" outlineLevel="1">
      <c r="A163" s="690" t="s">
        <v>338</v>
      </c>
      <c r="B163" s="677"/>
      <c r="C163" s="617"/>
      <c r="D163" s="691">
        <v>5000000</v>
      </c>
      <c r="E163" s="695"/>
      <c r="F163" s="687">
        <f t="shared" si="39"/>
        <v>5000000</v>
      </c>
      <c r="G163" s="696"/>
      <c r="H163" s="617">
        <v>6230000</v>
      </c>
      <c r="I163" s="617"/>
      <c r="J163" s="536"/>
      <c r="K163" s="688">
        <f t="shared" si="40"/>
        <v>6230000</v>
      </c>
      <c r="L163" s="689">
        <v>6226160</v>
      </c>
      <c r="M163" s="686">
        <f t="shared" si="41"/>
        <v>3840</v>
      </c>
      <c r="N163" s="725">
        <f t="shared" si="42"/>
        <v>0.9993836276083468</v>
      </c>
    </row>
    <row r="164" spans="1:14" s="375" customFormat="1" ht="15" hidden="1" outlineLevel="1">
      <c r="A164" s="690" t="s">
        <v>339</v>
      </c>
      <c r="B164" s="677"/>
      <c r="C164" s="617"/>
      <c r="D164" s="710">
        <v>7500000</v>
      </c>
      <c r="E164" s="695"/>
      <c r="F164" s="687">
        <f t="shared" si="39"/>
        <v>7500000</v>
      </c>
      <c r="G164" s="696"/>
      <c r="H164" s="617">
        <f>+F164+G164</f>
        <v>7500000</v>
      </c>
      <c r="I164" s="617"/>
      <c r="J164" s="562"/>
      <c r="K164" s="688">
        <f t="shared" si="40"/>
        <v>7500000</v>
      </c>
      <c r="L164" s="689">
        <v>6101008</v>
      </c>
      <c r="M164" s="686">
        <f t="shared" si="41"/>
        <v>1398992</v>
      </c>
      <c r="N164" s="725">
        <f t="shared" si="42"/>
        <v>0.8134677333333333</v>
      </c>
    </row>
    <row r="165" spans="1:14" s="375" customFormat="1" ht="15" hidden="1" outlineLevel="1">
      <c r="A165" s="690" t="s">
        <v>340</v>
      </c>
      <c r="B165" s="677"/>
      <c r="C165" s="617"/>
      <c r="D165" s="691">
        <v>2500000</v>
      </c>
      <c r="E165" s="695"/>
      <c r="F165" s="687">
        <f t="shared" si="39"/>
        <v>2500000</v>
      </c>
      <c r="G165" s="696"/>
      <c r="H165" s="617">
        <f>+F165+G165</f>
        <v>2500000</v>
      </c>
      <c r="I165" s="617"/>
      <c r="J165" s="536"/>
      <c r="K165" s="688">
        <f t="shared" si="40"/>
        <v>2500000</v>
      </c>
      <c r="L165" s="689">
        <v>771400</v>
      </c>
      <c r="M165" s="686">
        <f t="shared" si="41"/>
        <v>1728600</v>
      </c>
      <c r="N165" s="725">
        <f t="shared" si="42"/>
        <v>0.30856</v>
      </c>
    </row>
    <row r="166" spans="1:14" s="375" customFormat="1" ht="15" hidden="1" outlineLevel="1">
      <c r="A166" s="690" t="s">
        <v>368</v>
      </c>
      <c r="B166" s="677"/>
      <c r="C166" s="617"/>
      <c r="D166" s="691">
        <v>11000000</v>
      </c>
      <c r="E166" s="693"/>
      <c r="F166" s="687">
        <f t="shared" si="39"/>
        <v>11000000</v>
      </c>
      <c r="G166" s="695"/>
      <c r="H166" s="617">
        <v>9770000</v>
      </c>
      <c r="I166" s="617"/>
      <c r="J166" s="536"/>
      <c r="K166" s="688">
        <f t="shared" si="40"/>
        <v>9770000</v>
      </c>
      <c r="L166" s="689">
        <v>9690300</v>
      </c>
      <c r="M166" s="686">
        <f t="shared" si="41"/>
        <v>79700</v>
      </c>
      <c r="N166" s="725">
        <f t="shared" si="42"/>
        <v>0.991842374616172</v>
      </c>
    </row>
    <row r="167" spans="1:14" ht="15" collapsed="1">
      <c r="A167" s="709" t="s">
        <v>8</v>
      </c>
      <c r="B167" s="695"/>
      <c r="C167" s="617"/>
      <c r="D167" s="682">
        <f>+D168</f>
        <v>37057428</v>
      </c>
      <c r="E167" s="695"/>
      <c r="F167" s="676">
        <f>+F168</f>
        <v>37057428</v>
      </c>
      <c r="G167" s="677"/>
      <c r="H167" s="676">
        <f>+G167+F167</f>
        <v>37057428</v>
      </c>
      <c r="I167" s="676"/>
      <c r="J167" s="536"/>
      <c r="K167" s="678">
        <f t="shared" si="40"/>
        <v>37057428</v>
      </c>
      <c r="L167" s="679">
        <f>+L168</f>
        <v>31789079</v>
      </c>
      <c r="M167" s="676">
        <f t="shared" si="41"/>
        <v>5268349</v>
      </c>
      <c r="N167" s="725">
        <f t="shared" si="42"/>
        <v>0.8578328479785483</v>
      </c>
    </row>
    <row r="168" spans="1:14" ht="15" hidden="1" outlineLevel="1">
      <c r="A168" s="694" t="s">
        <v>191</v>
      </c>
      <c r="B168" s="695"/>
      <c r="C168" s="617"/>
      <c r="D168" s="691">
        <v>37057428</v>
      </c>
      <c r="E168" s="695"/>
      <c r="F168" s="687">
        <f>SUM(B168:E168)</f>
        <v>37057428</v>
      </c>
      <c r="G168" s="677"/>
      <c r="H168" s="617">
        <f>+F168+G168</f>
        <v>37057428</v>
      </c>
      <c r="I168" s="617"/>
      <c r="J168" s="562"/>
      <c r="K168" s="688">
        <f t="shared" si="40"/>
        <v>37057428</v>
      </c>
      <c r="L168" s="689">
        <v>31789079</v>
      </c>
      <c r="M168" s="686">
        <f t="shared" si="41"/>
        <v>5268349</v>
      </c>
      <c r="N168" s="725">
        <f t="shared" si="42"/>
        <v>0.8578328479785483</v>
      </c>
    </row>
    <row r="169" spans="1:14" ht="15.75" customHeight="1" collapsed="1">
      <c r="A169" s="709" t="s">
        <v>369</v>
      </c>
      <c r="B169" s="695"/>
      <c r="C169" s="617"/>
      <c r="D169" s="682">
        <f>+D170+D173+D174+D175+D176+D177</f>
        <v>417348840</v>
      </c>
      <c r="E169" s="695"/>
      <c r="F169" s="682">
        <f>+E169+D169+C169+B169</f>
        <v>417348840</v>
      </c>
      <c r="G169" s="693"/>
      <c r="H169" s="682">
        <f>+G169+F169</f>
        <v>417348840</v>
      </c>
      <c r="I169" s="682"/>
      <c r="J169" s="536"/>
      <c r="K169" s="684">
        <f t="shared" si="40"/>
        <v>417348840</v>
      </c>
      <c r="L169" s="685">
        <f>+L170+L173+L174+L175+L176+L177</f>
        <v>414378485</v>
      </c>
      <c r="M169" s="682">
        <f t="shared" si="41"/>
        <v>2970355</v>
      </c>
      <c r="N169" s="726">
        <f t="shared" si="42"/>
        <v>0.9928828003930716</v>
      </c>
    </row>
    <row r="170" spans="1:14" ht="15.75" customHeight="1" hidden="1" outlineLevel="1">
      <c r="A170" s="705" t="s">
        <v>460</v>
      </c>
      <c r="B170" s="695"/>
      <c r="C170" s="617"/>
      <c r="D170" s="691">
        <f>+D171+D172</f>
        <v>360000000</v>
      </c>
      <c r="E170" s="695"/>
      <c r="F170" s="687">
        <f aca="true" t="shared" si="43" ref="F170:F177">SUM(B170:E170)</f>
        <v>360000000</v>
      </c>
      <c r="G170" s="677"/>
      <c r="H170" s="617">
        <f>+H171+H172</f>
        <v>363020583</v>
      </c>
      <c r="I170" s="617"/>
      <c r="J170" s="536"/>
      <c r="K170" s="688">
        <f t="shared" si="40"/>
        <v>363020583</v>
      </c>
      <c r="L170" s="689">
        <f>+L171+L172</f>
        <v>363020583</v>
      </c>
      <c r="M170" s="686">
        <f aca="true" t="shared" si="44" ref="M170:M177">+K170-L170</f>
        <v>0</v>
      </c>
      <c r="N170" s="726">
        <f aca="true" t="shared" si="45" ref="N170:N177">+L170/K170</f>
        <v>1</v>
      </c>
    </row>
    <row r="171" spans="1:14" ht="15.75" customHeight="1" hidden="1" outlineLevel="2">
      <c r="A171" s="694" t="s">
        <v>453</v>
      </c>
      <c r="B171" s="695"/>
      <c r="C171" s="617"/>
      <c r="D171" s="691">
        <v>344000000</v>
      </c>
      <c r="E171" s="695"/>
      <c r="F171" s="687">
        <f t="shared" si="43"/>
        <v>344000000</v>
      </c>
      <c r="G171" s="677"/>
      <c r="H171" s="617">
        <v>363020583</v>
      </c>
      <c r="I171" s="617"/>
      <c r="J171" s="536"/>
      <c r="K171" s="688">
        <f t="shared" si="40"/>
        <v>363020583</v>
      </c>
      <c r="L171" s="689">
        <v>363020583</v>
      </c>
      <c r="M171" s="686">
        <f t="shared" si="44"/>
        <v>0</v>
      </c>
      <c r="N171" s="726">
        <f t="shared" si="45"/>
        <v>1</v>
      </c>
    </row>
    <row r="172" spans="1:14" ht="15.75" customHeight="1" hidden="1" outlineLevel="2">
      <c r="A172" s="694" t="s">
        <v>179</v>
      </c>
      <c r="B172" s="695"/>
      <c r="C172" s="617"/>
      <c r="D172" s="691">
        <v>16000000</v>
      </c>
      <c r="E172" s="695"/>
      <c r="F172" s="687">
        <f t="shared" si="43"/>
        <v>16000000</v>
      </c>
      <c r="G172" s="677"/>
      <c r="H172" s="617">
        <v>0</v>
      </c>
      <c r="I172" s="617"/>
      <c r="J172" s="562"/>
      <c r="K172" s="688">
        <f t="shared" si="40"/>
        <v>0</v>
      </c>
      <c r="L172" s="689">
        <v>0</v>
      </c>
      <c r="M172" s="686">
        <f t="shared" si="44"/>
        <v>0</v>
      </c>
      <c r="N172" s="726" t="e">
        <f t="shared" si="45"/>
        <v>#DIV/0!</v>
      </c>
    </row>
    <row r="173" spans="1:14" ht="15" hidden="1" outlineLevel="1">
      <c r="A173" s="705" t="s">
        <v>346</v>
      </c>
      <c r="B173" s="695"/>
      <c r="C173" s="617"/>
      <c r="D173" s="691">
        <v>4800000</v>
      </c>
      <c r="E173" s="695"/>
      <c r="F173" s="687">
        <f t="shared" si="43"/>
        <v>4800000</v>
      </c>
      <c r="G173" s="677"/>
      <c r="H173" s="617">
        <f>+F173+G173</f>
        <v>4800000</v>
      </c>
      <c r="I173" s="617"/>
      <c r="J173" s="536"/>
      <c r="K173" s="688">
        <f t="shared" si="40"/>
        <v>4800000</v>
      </c>
      <c r="L173" s="689">
        <v>3790982</v>
      </c>
      <c r="M173" s="686">
        <f t="shared" si="44"/>
        <v>1009018</v>
      </c>
      <c r="N173" s="726">
        <f t="shared" si="45"/>
        <v>0.7897879166666667</v>
      </c>
    </row>
    <row r="174" spans="1:14" ht="15" hidden="1" outlineLevel="1">
      <c r="A174" s="705" t="s">
        <v>454</v>
      </c>
      <c r="B174" s="695"/>
      <c r="C174" s="617"/>
      <c r="D174" s="691">
        <v>4250000</v>
      </c>
      <c r="E174" s="695"/>
      <c r="F174" s="687">
        <f t="shared" si="43"/>
        <v>4250000</v>
      </c>
      <c r="G174" s="677"/>
      <c r="H174" s="617">
        <v>4390000</v>
      </c>
      <c r="I174" s="617"/>
      <c r="J174" s="536"/>
      <c r="K174" s="688">
        <f t="shared" si="40"/>
        <v>4390000</v>
      </c>
      <c r="L174" s="689">
        <v>4387132</v>
      </c>
      <c r="M174" s="686">
        <f t="shared" si="44"/>
        <v>2868</v>
      </c>
      <c r="N174" s="726">
        <f t="shared" si="45"/>
        <v>0.9993466970387244</v>
      </c>
    </row>
    <row r="175" spans="1:14" ht="15" hidden="1" outlineLevel="1">
      <c r="A175" s="705" t="s">
        <v>398</v>
      </c>
      <c r="B175" s="695"/>
      <c r="C175" s="617"/>
      <c r="D175" s="691">
        <v>46998840</v>
      </c>
      <c r="E175" s="695"/>
      <c r="F175" s="687">
        <f t="shared" si="43"/>
        <v>46998840</v>
      </c>
      <c r="G175" s="695"/>
      <c r="H175" s="617">
        <v>43838257</v>
      </c>
      <c r="I175" s="617"/>
      <c r="J175" s="536"/>
      <c r="K175" s="688">
        <f t="shared" si="40"/>
        <v>43838257</v>
      </c>
      <c r="L175" s="689">
        <v>42909048</v>
      </c>
      <c r="M175" s="686">
        <f t="shared" si="44"/>
        <v>929209</v>
      </c>
      <c r="N175" s="726">
        <f t="shared" si="45"/>
        <v>0.9788036965064555</v>
      </c>
    </row>
    <row r="176" spans="1:14" ht="15" hidden="1" outlineLevel="1">
      <c r="A176" s="705" t="s">
        <v>527</v>
      </c>
      <c r="B176" s="695"/>
      <c r="C176" s="617"/>
      <c r="D176" s="691">
        <v>400000</v>
      </c>
      <c r="E176" s="695"/>
      <c r="F176" s="687">
        <f t="shared" si="43"/>
        <v>400000</v>
      </c>
      <c r="G176" s="695"/>
      <c r="H176" s="617">
        <f>+F176+G176</f>
        <v>400000</v>
      </c>
      <c r="I176" s="617"/>
      <c r="J176" s="562"/>
      <c r="K176" s="688">
        <f t="shared" si="40"/>
        <v>400000</v>
      </c>
      <c r="L176" s="689">
        <v>0</v>
      </c>
      <c r="M176" s="686">
        <f t="shared" si="44"/>
        <v>400000</v>
      </c>
      <c r="N176" s="726">
        <f t="shared" si="45"/>
        <v>0</v>
      </c>
    </row>
    <row r="177" spans="1:14" ht="15" hidden="1" outlineLevel="1">
      <c r="A177" s="705" t="s">
        <v>399</v>
      </c>
      <c r="B177" s="695"/>
      <c r="C177" s="617"/>
      <c r="D177" s="691">
        <v>900000</v>
      </c>
      <c r="E177" s="695"/>
      <c r="F177" s="687">
        <f t="shared" si="43"/>
        <v>900000</v>
      </c>
      <c r="G177" s="695"/>
      <c r="H177" s="617">
        <f>+F177+G177</f>
        <v>900000</v>
      </c>
      <c r="I177" s="617"/>
      <c r="J177" s="536"/>
      <c r="K177" s="688">
        <f t="shared" si="40"/>
        <v>900000</v>
      </c>
      <c r="L177" s="689">
        <v>270740</v>
      </c>
      <c r="M177" s="686">
        <f t="shared" si="44"/>
        <v>629260</v>
      </c>
      <c r="N177" s="726">
        <f t="shared" si="45"/>
        <v>0.3008222222222222</v>
      </c>
    </row>
    <row r="178" spans="1:14" ht="14.25" hidden="1" outlineLevel="1">
      <c r="A178" s="694"/>
      <c r="B178" s="695"/>
      <c r="C178" s="617"/>
      <c r="D178" s="691"/>
      <c r="E178" s="695"/>
      <c r="F178" s="617"/>
      <c r="G178" s="695"/>
      <c r="H178" s="617"/>
      <c r="I178" s="617"/>
      <c r="J178" s="536"/>
      <c r="K178" s="688"/>
      <c r="L178" s="689"/>
      <c r="M178" s="686"/>
      <c r="N178" s="722"/>
    </row>
    <row r="179" spans="1:14" ht="14.25" collapsed="1">
      <c r="A179" s="694"/>
      <c r="B179" s="695"/>
      <c r="C179" s="617"/>
      <c r="D179" s="691"/>
      <c r="E179" s="695"/>
      <c r="F179" s="617"/>
      <c r="G179" s="695"/>
      <c r="H179" s="617"/>
      <c r="I179" s="617"/>
      <c r="J179" s="536"/>
      <c r="K179" s="688"/>
      <c r="L179" s="689"/>
      <c r="M179" s="617"/>
      <c r="N179" s="722"/>
    </row>
    <row r="180" spans="1:14" ht="15">
      <c r="A180" s="680" t="s">
        <v>227</v>
      </c>
      <c r="B180" s="695"/>
      <c r="C180" s="695"/>
      <c r="D180" s="695"/>
      <c r="E180" s="617"/>
      <c r="F180" s="617"/>
      <c r="G180" s="676">
        <f>760641205/4</f>
        <v>190160301.25</v>
      </c>
      <c r="H180" s="676">
        <f>+G180</f>
        <v>190160301.25</v>
      </c>
      <c r="I180" s="676"/>
      <c r="J180" s="562"/>
      <c r="K180" s="678">
        <f>+H180+I180</f>
        <v>190160301.25</v>
      </c>
      <c r="L180" s="679">
        <v>152398554</v>
      </c>
      <c r="M180" s="676">
        <f>+K180-L180</f>
        <v>37761747.25</v>
      </c>
      <c r="N180" s="721">
        <f>+L180/K180</f>
        <v>0.8014215006929581</v>
      </c>
    </row>
    <row r="181" spans="1:14" ht="15">
      <c r="A181" s="709"/>
      <c r="B181" s="695"/>
      <c r="C181" s="695"/>
      <c r="D181" s="695"/>
      <c r="E181" s="617"/>
      <c r="F181" s="617"/>
      <c r="G181" s="617"/>
      <c r="H181" s="617"/>
      <c r="I181" s="617"/>
      <c r="J181" s="536"/>
      <c r="K181" s="688"/>
      <c r="L181" s="689"/>
      <c r="M181" s="617"/>
      <c r="N181" s="722"/>
    </row>
    <row r="182" spans="1:14" ht="15">
      <c r="A182" s="709"/>
      <c r="B182" s="695"/>
      <c r="C182" s="695"/>
      <c r="D182" s="695"/>
      <c r="E182" s="617"/>
      <c r="F182" s="617"/>
      <c r="G182" s="617"/>
      <c r="H182" s="617"/>
      <c r="I182" s="617"/>
      <c r="J182" s="536"/>
      <c r="K182" s="688"/>
      <c r="L182" s="689"/>
      <c r="M182" s="617"/>
      <c r="N182" s="722"/>
    </row>
    <row r="183" spans="1:14" ht="15">
      <c r="A183" s="711" t="s">
        <v>425</v>
      </c>
      <c r="B183" s="682">
        <f>+B39+B37</f>
        <v>605472522</v>
      </c>
      <c r="C183" s="682">
        <f>+C115+C37</f>
        <v>275863233</v>
      </c>
      <c r="D183" s="682">
        <f>+D148+D37</f>
        <v>1684160262</v>
      </c>
      <c r="E183" s="682">
        <f>+E67+E37</f>
        <v>760759685</v>
      </c>
      <c r="F183" s="682">
        <f>+F39+F37</f>
        <v>3326255702</v>
      </c>
      <c r="G183" s="682">
        <f>+G180+G37</f>
        <v>359461300.25</v>
      </c>
      <c r="H183" s="682">
        <f>+G183+F183</f>
        <v>3685717002.25</v>
      </c>
      <c r="I183" s="682">
        <f>+I180+I39+I37</f>
        <v>15000000</v>
      </c>
      <c r="J183" s="562">
        <f>+J8+J36</f>
        <v>0</v>
      </c>
      <c r="K183" s="684">
        <f>+H183+I183</f>
        <v>3700717002.25</v>
      </c>
      <c r="L183" s="685">
        <f>+L180+L39+L37</f>
        <v>2882513570</v>
      </c>
      <c r="M183" s="682">
        <f>+M180+M39+M37</f>
        <v>818203432.25</v>
      </c>
      <c r="N183" s="724">
        <f>+L183/K183</f>
        <v>0.7789067816446001</v>
      </c>
    </row>
    <row r="184" spans="1:14" ht="15.75" thickBot="1">
      <c r="A184" s="712"/>
      <c r="B184" s="713"/>
      <c r="C184" s="714"/>
      <c r="D184" s="714"/>
      <c r="E184" s="714"/>
      <c r="F184" s="714"/>
      <c r="G184" s="714"/>
      <c r="H184" s="714"/>
      <c r="I184" s="714"/>
      <c r="J184" s="744"/>
      <c r="K184" s="715"/>
      <c r="L184" s="743">
        <v>2882513570</v>
      </c>
      <c r="M184" s="714"/>
      <c r="N184" s="727"/>
    </row>
    <row r="185" spans="1:13" ht="13.5" thickTop="1">
      <c r="A185" s="1"/>
      <c r="B185" s="1"/>
      <c r="C185" s="1"/>
      <c r="D185" s="1"/>
      <c r="E185" s="1"/>
      <c r="F185" s="1"/>
      <c r="G185" s="1"/>
      <c r="H185" s="1"/>
      <c r="I185" s="1"/>
      <c r="J185" s="1"/>
      <c r="K185" s="1"/>
      <c r="L185" s="1"/>
      <c r="M185" s="1"/>
    </row>
    <row r="186" spans="1:13" ht="12.75">
      <c r="A186" s="1"/>
      <c r="B186" s="1"/>
      <c r="C186" s="3"/>
      <c r="D186" s="1"/>
      <c r="E186" s="1"/>
      <c r="F186" s="1"/>
      <c r="G186" s="3"/>
      <c r="H186" s="618"/>
      <c r="I186" s="618"/>
      <c r="J186" s="618"/>
      <c r="K186" s="618"/>
      <c r="L186" s="1"/>
      <c r="M186" s="1"/>
    </row>
    <row r="187" spans="1:13" ht="12.75">
      <c r="A187" s="1"/>
      <c r="B187" s="1"/>
      <c r="C187" s="3"/>
      <c r="D187" s="1"/>
      <c r="E187" s="1"/>
      <c r="F187" s="1"/>
      <c r="G187" s="1"/>
      <c r="H187" s="618"/>
      <c r="I187" s="618"/>
      <c r="J187" s="618"/>
      <c r="K187" s="618"/>
      <c r="L187" s="1"/>
      <c r="M187" s="1"/>
    </row>
    <row r="188" spans="1:13" ht="12.75">
      <c r="A188" s="1"/>
      <c r="B188" s="1"/>
      <c r="C188" s="1"/>
      <c r="D188" s="1"/>
      <c r="E188" s="1"/>
      <c r="F188" s="1"/>
      <c r="G188" s="1"/>
      <c r="H188" s="3"/>
      <c r="I188" s="3"/>
      <c r="J188" s="3"/>
      <c r="K188" s="3"/>
      <c r="L188" s="1"/>
      <c r="M188" s="1"/>
    </row>
    <row r="189" spans="1:13" ht="12.75">
      <c r="A189" s="1"/>
      <c r="B189" s="1"/>
      <c r="C189" s="1"/>
      <c r="D189" s="1"/>
      <c r="E189" s="1"/>
      <c r="F189" s="1"/>
      <c r="G189" s="1"/>
      <c r="H189" s="3"/>
      <c r="I189" s="3"/>
      <c r="J189" s="3"/>
      <c r="K189" s="3"/>
      <c r="L189" s="1"/>
      <c r="M189" s="1"/>
    </row>
    <row r="190" spans="1:13" ht="12.75">
      <c r="A190" s="1"/>
      <c r="B190" s="1"/>
      <c r="C190" s="1"/>
      <c r="D190" s="1"/>
      <c r="E190" s="1"/>
      <c r="F190" s="1"/>
      <c r="G190" s="1"/>
      <c r="H190" s="3"/>
      <c r="I190" s="3"/>
      <c r="J190" s="3"/>
      <c r="K190" s="3"/>
      <c r="L190" s="1"/>
      <c r="M190" s="1"/>
    </row>
    <row r="191" spans="1:13" ht="12.75">
      <c r="A191" s="1"/>
      <c r="B191" s="1"/>
      <c r="C191" s="1"/>
      <c r="D191" s="1"/>
      <c r="E191" s="1"/>
      <c r="F191" s="1"/>
      <c r="G191" s="1"/>
      <c r="H191" s="3"/>
      <c r="I191" s="3"/>
      <c r="J191" s="3"/>
      <c r="K191" s="3"/>
      <c r="L191" s="1"/>
      <c r="M191" s="1"/>
    </row>
    <row r="192" spans="1:13" ht="12.75">
      <c r="A192" s="1"/>
      <c r="B192" s="1"/>
      <c r="C192" s="1"/>
      <c r="D192" s="1"/>
      <c r="E192" s="1"/>
      <c r="F192" s="1"/>
      <c r="G192" s="1"/>
      <c r="H192" s="3"/>
      <c r="I192" s="3"/>
      <c r="J192" s="3"/>
      <c r="K192" s="3"/>
      <c r="L192" s="1"/>
      <c r="M192" s="1"/>
    </row>
    <row r="193" spans="1:13" ht="12.75">
      <c r="A193" s="1"/>
      <c r="B193" s="1"/>
      <c r="C193" s="1"/>
      <c r="D193" s="1"/>
      <c r="E193" s="1"/>
      <c r="F193" s="1"/>
      <c r="G193" s="1"/>
      <c r="H193" s="1"/>
      <c r="I193" s="1"/>
      <c r="J193" s="1"/>
      <c r="K193" s="1"/>
      <c r="L193" s="1"/>
      <c r="M193" s="1"/>
    </row>
    <row r="194" spans="1:13" ht="12.75">
      <c r="A194" s="1"/>
      <c r="B194" s="1"/>
      <c r="C194" s="1"/>
      <c r="D194" s="1"/>
      <c r="E194" s="1"/>
      <c r="F194" s="1"/>
      <c r="G194" s="1"/>
      <c r="H194" s="3"/>
      <c r="I194" s="3"/>
      <c r="J194" s="3"/>
      <c r="K194" s="3"/>
      <c r="L194" s="1"/>
      <c r="M194" s="1"/>
    </row>
    <row r="195" spans="1:13" ht="12.75">
      <c r="A195" s="1"/>
      <c r="B195" s="1"/>
      <c r="C195" s="1"/>
      <c r="D195" s="1"/>
      <c r="E195" s="1"/>
      <c r="F195" s="1"/>
      <c r="G195" s="1"/>
      <c r="H195" s="1"/>
      <c r="I195" s="1"/>
      <c r="J195" s="1"/>
      <c r="K195" s="1"/>
      <c r="L195" s="1"/>
      <c r="M195" s="1"/>
    </row>
    <row r="196" spans="1:13" ht="12.75">
      <c r="A196" s="1"/>
      <c r="B196" s="1"/>
      <c r="C196" s="1"/>
      <c r="D196" s="1"/>
      <c r="E196" s="1"/>
      <c r="F196" s="1"/>
      <c r="G196" s="1"/>
      <c r="H196" s="1"/>
      <c r="I196" s="1"/>
      <c r="J196" s="1"/>
      <c r="K196" s="1"/>
      <c r="L196" s="1"/>
      <c r="M196" s="1"/>
    </row>
    <row r="197" spans="1:13" ht="12.75">
      <c r="A197" s="1"/>
      <c r="B197" s="1"/>
      <c r="C197" s="1"/>
      <c r="D197" s="1"/>
      <c r="E197" s="1"/>
      <c r="F197" s="1"/>
      <c r="G197" s="1"/>
      <c r="H197" s="1"/>
      <c r="I197" s="1"/>
      <c r="J197" s="1"/>
      <c r="K197" s="1"/>
      <c r="L197" s="1"/>
      <c r="M197" s="1"/>
    </row>
    <row r="198" spans="1:13" ht="12.75">
      <c r="A198" s="1"/>
      <c r="B198" s="1"/>
      <c r="C198" s="1"/>
      <c r="D198" s="1"/>
      <c r="E198" s="1"/>
      <c r="F198" s="1"/>
      <c r="G198" s="1"/>
      <c r="H198" s="1"/>
      <c r="I198" s="1"/>
      <c r="J198" s="1"/>
      <c r="K198" s="1"/>
      <c r="L198" s="1"/>
      <c r="M198" s="1"/>
    </row>
    <row r="199" spans="1:13" ht="12.75">
      <c r="A199" s="1"/>
      <c r="B199" s="1"/>
      <c r="C199" s="1"/>
      <c r="D199" s="1"/>
      <c r="E199" s="1"/>
      <c r="F199" s="1"/>
      <c r="G199" s="1"/>
      <c r="H199" s="1"/>
      <c r="I199" s="1"/>
      <c r="J199" s="1"/>
      <c r="K199" s="1"/>
      <c r="L199" s="1"/>
      <c r="M199" s="1"/>
    </row>
    <row r="200" spans="1:13" ht="12.75">
      <c r="A200" s="1"/>
      <c r="B200" s="1"/>
      <c r="C200" s="1"/>
      <c r="D200" s="1"/>
      <c r="E200" s="1"/>
      <c r="F200" s="1"/>
      <c r="G200" s="1"/>
      <c r="H200" s="1"/>
      <c r="I200" s="1"/>
      <c r="J200" s="1"/>
      <c r="K200" s="1"/>
      <c r="L200" s="1"/>
      <c r="M200" s="1"/>
    </row>
    <row r="201" spans="1:13" ht="12.75">
      <c r="A201" s="1"/>
      <c r="B201" s="1"/>
      <c r="C201" s="1"/>
      <c r="D201" s="1"/>
      <c r="E201" s="1"/>
      <c r="F201" s="1"/>
      <c r="G201" s="1"/>
      <c r="H201" s="1"/>
      <c r="I201" s="1"/>
      <c r="J201" s="1"/>
      <c r="K201" s="1"/>
      <c r="L201" s="1"/>
      <c r="M201" s="1"/>
    </row>
    <row r="202" spans="1:13" ht="12.75">
      <c r="A202" s="1"/>
      <c r="B202" s="1"/>
      <c r="C202" s="1"/>
      <c r="D202" s="1"/>
      <c r="E202" s="1"/>
      <c r="F202" s="1"/>
      <c r="G202" s="1"/>
      <c r="H202" s="1"/>
      <c r="I202" s="1"/>
      <c r="J202" s="1"/>
      <c r="K202" s="1"/>
      <c r="L202" s="1"/>
      <c r="M202" s="1"/>
    </row>
    <row r="203" spans="1:13" ht="12.75">
      <c r="A203" s="1"/>
      <c r="B203" s="1"/>
      <c r="C203" s="1"/>
      <c r="D203" s="1"/>
      <c r="E203" s="1"/>
      <c r="F203" s="1"/>
      <c r="G203" s="1"/>
      <c r="H203" s="1"/>
      <c r="I203" s="1"/>
      <c r="J203" s="1"/>
      <c r="K203" s="1"/>
      <c r="L203" s="1"/>
      <c r="M203" s="1"/>
    </row>
    <row r="204" spans="1:13" ht="12.75">
      <c r="A204" s="1"/>
      <c r="B204" s="1"/>
      <c r="C204" s="1"/>
      <c r="D204" s="1"/>
      <c r="E204" s="1"/>
      <c r="F204" s="1"/>
      <c r="G204" s="1"/>
      <c r="H204" s="1"/>
      <c r="I204" s="1"/>
      <c r="J204" s="1"/>
      <c r="K204" s="1"/>
      <c r="L204" s="1"/>
      <c r="M204" s="1"/>
    </row>
    <row r="205" spans="1:13" ht="12.75">
      <c r="A205" s="1"/>
      <c r="B205" s="1"/>
      <c r="C205" s="1"/>
      <c r="D205" s="1"/>
      <c r="E205" s="1"/>
      <c r="F205" s="1"/>
      <c r="G205" s="1"/>
      <c r="H205" s="1"/>
      <c r="I205" s="1"/>
      <c r="J205" s="1"/>
      <c r="K205" s="1"/>
      <c r="L205" s="1"/>
      <c r="M205" s="1"/>
    </row>
    <row r="206" spans="1:13" ht="12.75">
      <c r="A206" s="1"/>
      <c r="B206" s="1"/>
      <c r="C206" s="1"/>
      <c r="D206" s="1"/>
      <c r="E206" s="1"/>
      <c r="F206" s="1"/>
      <c r="G206" s="1"/>
      <c r="H206" s="1"/>
      <c r="I206" s="1"/>
      <c r="J206" s="1"/>
      <c r="K206" s="1"/>
      <c r="L206" s="1"/>
      <c r="M206" s="1"/>
    </row>
    <row r="207" spans="1:13" ht="12.75">
      <c r="A207" s="1"/>
      <c r="B207" s="1"/>
      <c r="C207" s="1"/>
      <c r="D207" s="1"/>
      <c r="E207" s="1"/>
      <c r="F207" s="1"/>
      <c r="G207" s="1"/>
      <c r="H207" s="1"/>
      <c r="I207" s="1"/>
      <c r="J207" s="1"/>
      <c r="K207" s="1"/>
      <c r="L207" s="1"/>
      <c r="M207" s="1"/>
    </row>
    <row r="208" spans="1:13" ht="12.75">
      <c r="A208" s="1"/>
      <c r="B208" s="1"/>
      <c r="C208" s="1"/>
      <c r="D208" s="1"/>
      <c r="E208" s="1"/>
      <c r="F208" s="1"/>
      <c r="G208" s="1"/>
      <c r="H208" s="1"/>
      <c r="I208" s="1"/>
      <c r="J208" s="1"/>
      <c r="K208" s="1"/>
      <c r="L208" s="1"/>
      <c r="M208" s="1"/>
    </row>
    <row r="209" spans="1:13" ht="12.75">
      <c r="A209" s="1"/>
      <c r="B209" s="1"/>
      <c r="C209" s="1"/>
      <c r="D209" s="1"/>
      <c r="E209" s="1"/>
      <c r="F209" s="1"/>
      <c r="G209" s="1"/>
      <c r="H209" s="1"/>
      <c r="I209" s="1"/>
      <c r="J209" s="1"/>
      <c r="K209" s="1"/>
      <c r="L209" s="1"/>
      <c r="M209" s="1"/>
    </row>
    <row r="210" spans="1:13" ht="12.75">
      <c r="A210" s="1"/>
      <c r="B210" s="1"/>
      <c r="C210" s="1"/>
      <c r="D210" s="1"/>
      <c r="E210" s="1"/>
      <c r="F210" s="1"/>
      <c r="G210" s="1"/>
      <c r="H210" s="1"/>
      <c r="I210" s="1"/>
      <c r="J210" s="1"/>
      <c r="K210" s="1"/>
      <c r="L210" s="1"/>
      <c r="M210" s="1"/>
    </row>
    <row r="211" spans="1:13" ht="12.75">
      <c r="A211" s="1"/>
      <c r="B211" s="1"/>
      <c r="C211" s="1"/>
      <c r="D211" s="1"/>
      <c r="E211" s="1"/>
      <c r="F211" s="1"/>
      <c r="G211" s="1"/>
      <c r="H211" s="1"/>
      <c r="I211" s="1"/>
      <c r="J211" s="1"/>
      <c r="K211" s="1"/>
      <c r="L211" s="1"/>
      <c r="M211" s="1"/>
    </row>
    <row r="212" spans="1:13" ht="12.75">
      <c r="A212" s="1"/>
      <c r="B212" s="1"/>
      <c r="C212" s="1"/>
      <c r="D212" s="1"/>
      <c r="E212" s="1"/>
      <c r="F212" s="1"/>
      <c r="G212" s="1"/>
      <c r="H212" s="1"/>
      <c r="I212" s="1"/>
      <c r="J212" s="1"/>
      <c r="K212" s="1"/>
      <c r="L212" s="1"/>
      <c r="M212" s="1"/>
    </row>
    <row r="213" spans="1:13" ht="12.75">
      <c r="A213" s="1"/>
      <c r="B213" s="1"/>
      <c r="C213" s="1"/>
      <c r="D213" s="1"/>
      <c r="E213" s="1"/>
      <c r="F213" s="1"/>
      <c r="G213" s="1"/>
      <c r="H213" s="1"/>
      <c r="I213" s="1"/>
      <c r="J213" s="1"/>
      <c r="K213" s="1"/>
      <c r="L213" s="1"/>
      <c r="M213" s="1"/>
    </row>
    <row r="214" spans="1:13" ht="12.75">
      <c r="A214" s="1"/>
      <c r="B214" s="1"/>
      <c r="C214" s="1"/>
      <c r="D214" s="1"/>
      <c r="E214" s="1"/>
      <c r="F214" s="1"/>
      <c r="G214" s="1"/>
      <c r="H214" s="1"/>
      <c r="I214" s="1"/>
      <c r="J214" s="1"/>
      <c r="K214" s="1"/>
      <c r="L214" s="1"/>
      <c r="M214" s="1"/>
    </row>
    <row r="215" spans="1:13" ht="12.75">
      <c r="A215" s="1"/>
      <c r="B215" s="1"/>
      <c r="C215" s="1"/>
      <c r="D215" s="1"/>
      <c r="E215" s="1"/>
      <c r="F215" s="1"/>
      <c r="G215" s="1"/>
      <c r="H215" s="1"/>
      <c r="I215" s="1"/>
      <c r="J215" s="1"/>
      <c r="K215" s="1"/>
      <c r="L215" s="1"/>
      <c r="M215" s="1"/>
    </row>
    <row r="216" spans="1:13" ht="12.75">
      <c r="A216" s="1"/>
      <c r="B216" s="1"/>
      <c r="C216" s="1"/>
      <c r="D216" s="1"/>
      <c r="E216" s="1"/>
      <c r="F216" s="1"/>
      <c r="G216" s="1"/>
      <c r="H216" s="1"/>
      <c r="I216" s="1"/>
      <c r="J216" s="1"/>
      <c r="K216" s="1"/>
      <c r="L216" s="1"/>
      <c r="M216" s="1"/>
    </row>
    <row r="217" spans="1:13" ht="12.75">
      <c r="A217" s="1"/>
      <c r="B217" s="1"/>
      <c r="C217" s="1"/>
      <c r="D217" s="1"/>
      <c r="E217" s="1"/>
      <c r="F217" s="1"/>
      <c r="G217" s="1"/>
      <c r="H217" s="1"/>
      <c r="I217" s="1"/>
      <c r="J217" s="1"/>
      <c r="K217" s="1"/>
      <c r="L217" s="1"/>
      <c r="M217" s="1"/>
    </row>
    <row r="218" spans="1:13" ht="12.75">
      <c r="A218" s="1"/>
      <c r="B218" s="1"/>
      <c r="C218" s="1"/>
      <c r="D218" s="1"/>
      <c r="E218" s="1"/>
      <c r="F218" s="1"/>
      <c r="G218" s="1"/>
      <c r="H218" s="1"/>
      <c r="I218" s="1"/>
      <c r="J218" s="1"/>
      <c r="K218" s="1"/>
      <c r="L218" s="1"/>
      <c r="M218" s="1"/>
    </row>
    <row r="219" spans="1:13" ht="12.75">
      <c r="A219" s="1"/>
      <c r="B219" s="1"/>
      <c r="C219" s="1"/>
      <c r="D219" s="1"/>
      <c r="E219" s="1"/>
      <c r="F219" s="1"/>
      <c r="G219" s="1"/>
      <c r="H219" s="1"/>
      <c r="I219" s="1"/>
      <c r="J219" s="1"/>
      <c r="K219" s="1"/>
      <c r="L219" s="1"/>
      <c r="M219" s="1"/>
    </row>
    <row r="220" spans="1:13" ht="12.75">
      <c r="A220" s="1"/>
      <c r="B220" s="1"/>
      <c r="C220" s="1"/>
      <c r="D220" s="1"/>
      <c r="E220" s="1"/>
      <c r="F220" s="1"/>
      <c r="G220" s="1"/>
      <c r="H220" s="1"/>
      <c r="I220" s="1"/>
      <c r="J220" s="1"/>
      <c r="K220" s="1"/>
      <c r="L220" s="1"/>
      <c r="M220" s="1"/>
    </row>
    <row r="221" spans="1:13" ht="12.75">
      <c r="A221" s="1"/>
      <c r="B221" s="1"/>
      <c r="C221" s="1"/>
      <c r="D221" s="1"/>
      <c r="E221" s="1"/>
      <c r="F221" s="1"/>
      <c r="G221" s="1"/>
      <c r="H221" s="1"/>
      <c r="I221" s="1"/>
      <c r="J221" s="1"/>
      <c r="K221" s="1"/>
      <c r="L221" s="1"/>
      <c r="M221" s="1"/>
    </row>
    <row r="222" spans="1:13" ht="12.75">
      <c r="A222" s="1"/>
      <c r="B222" s="1"/>
      <c r="C222" s="1"/>
      <c r="D222" s="1"/>
      <c r="E222" s="1"/>
      <c r="F222" s="1"/>
      <c r="G222" s="1"/>
      <c r="H222" s="1"/>
      <c r="I222" s="1"/>
      <c r="J222" s="1"/>
      <c r="K222" s="1"/>
      <c r="L222" s="1"/>
      <c r="M222" s="1"/>
    </row>
    <row r="223" spans="1:13" ht="12.75">
      <c r="A223" s="1"/>
      <c r="B223" s="1"/>
      <c r="C223" s="1"/>
      <c r="D223" s="1"/>
      <c r="E223" s="1"/>
      <c r="F223" s="1"/>
      <c r="G223" s="1"/>
      <c r="H223" s="1"/>
      <c r="I223" s="1"/>
      <c r="J223" s="1"/>
      <c r="K223" s="1"/>
      <c r="L223" s="1"/>
      <c r="M223" s="1"/>
    </row>
    <row r="224" spans="1:13" ht="12.75">
      <c r="A224" s="1"/>
      <c r="B224" s="1"/>
      <c r="C224" s="1"/>
      <c r="D224" s="1"/>
      <c r="E224" s="1"/>
      <c r="F224" s="1"/>
      <c r="G224" s="1"/>
      <c r="H224" s="1"/>
      <c r="I224" s="1"/>
      <c r="J224" s="1"/>
      <c r="K224" s="1"/>
      <c r="L224" s="1"/>
      <c r="M224" s="1"/>
    </row>
    <row r="225" spans="1:13" ht="12.75">
      <c r="A225" s="1"/>
      <c r="B225" s="1"/>
      <c r="C225" s="1"/>
      <c r="D225" s="1"/>
      <c r="E225" s="1"/>
      <c r="F225" s="1"/>
      <c r="G225" s="1"/>
      <c r="H225" s="1"/>
      <c r="I225" s="1"/>
      <c r="J225" s="1"/>
      <c r="K225" s="1"/>
      <c r="L225" s="1"/>
      <c r="M225" s="1"/>
    </row>
    <row r="226" spans="1:13" ht="12.75">
      <c r="A226" s="1"/>
      <c r="B226" s="1"/>
      <c r="C226" s="1"/>
      <c r="D226" s="1"/>
      <c r="E226" s="1"/>
      <c r="F226" s="1"/>
      <c r="G226" s="1"/>
      <c r="H226" s="1"/>
      <c r="I226" s="1"/>
      <c r="J226" s="1"/>
      <c r="K226" s="1"/>
      <c r="L226" s="1"/>
      <c r="M226" s="1"/>
    </row>
    <row r="227" spans="1:13" ht="12.75">
      <c r="A227" s="1"/>
      <c r="B227" s="1"/>
      <c r="C227" s="1"/>
      <c r="D227" s="1"/>
      <c r="E227" s="1"/>
      <c r="F227" s="1"/>
      <c r="G227" s="1"/>
      <c r="H227" s="1"/>
      <c r="I227" s="1"/>
      <c r="J227" s="1"/>
      <c r="K227" s="1"/>
      <c r="L227" s="1"/>
      <c r="M227" s="1"/>
    </row>
    <row r="228" spans="1:13" ht="12.75">
      <c r="A228" s="1"/>
      <c r="B228" s="1"/>
      <c r="C228" s="1"/>
      <c r="D228" s="1"/>
      <c r="E228" s="1"/>
      <c r="F228" s="1"/>
      <c r="G228" s="1"/>
      <c r="H228" s="1"/>
      <c r="I228" s="1"/>
      <c r="J228" s="1"/>
      <c r="K228" s="1"/>
      <c r="L228" s="1"/>
      <c r="M228" s="1"/>
    </row>
    <row r="229" spans="1:13" ht="12.75">
      <c r="A229" s="1"/>
      <c r="B229" s="1"/>
      <c r="C229" s="1"/>
      <c r="D229" s="1"/>
      <c r="E229" s="1"/>
      <c r="F229" s="1"/>
      <c r="G229" s="1"/>
      <c r="H229" s="1"/>
      <c r="I229" s="1"/>
      <c r="J229" s="1"/>
      <c r="K229" s="1"/>
      <c r="L229" s="1"/>
      <c r="M229" s="1"/>
    </row>
    <row r="230" spans="1:13" ht="12.75">
      <c r="A230" s="1"/>
      <c r="B230" s="1"/>
      <c r="C230" s="1"/>
      <c r="D230" s="1"/>
      <c r="E230" s="1"/>
      <c r="F230" s="1"/>
      <c r="G230" s="1"/>
      <c r="H230" s="1"/>
      <c r="I230" s="1"/>
      <c r="J230" s="1"/>
      <c r="K230" s="1"/>
      <c r="L230" s="1"/>
      <c r="M230" s="1"/>
    </row>
    <row r="231" spans="1:13" ht="12.75">
      <c r="A231" s="1"/>
      <c r="B231" s="1"/>
      <c r="C231" s="1"/>
      <c r="D231" s="1"/>
      <c r="E231" s="1"/>
      <c r="F231" s="1"/>
      <c r="G231" s="1"/>
      <c r="H231" s="1"/>
      <c r="I231" s="1"/>
      <c r="J231" s="1"/>
      <c r="K231" s="1"/>
      <c r="L231" s="1"/>
      <c r="M231" s="1"/>
    </row>
    <row r="232" spans="1:13" ht="12.75">
      <c r="A232" s="1"/>
      <c r="B232" s="1"/>
      <c r="C232" s="1"/>
      <c r="D232" s="1"/>
      <c r="E232" s="1"/>
      <c r="F232" s="1"/>
      <c r="G232" s="1"/>
      <c r="H232" s="1"/>
      <c r="I232" s="1"/>
      <c r="J232" s="1"/>
      <c r="K232" s="1"/>
      <c r="L232" s="1"/>
      <c r="M232" s="1"/>
    </row>
    <row r="233" spans="1:13" ht="12.75">
      <c r="A233" s="1"/>
      <c r="B233" s="1"/>
      <c r="C233" s="1"/>
      <c r="D233" s="1"/>
      <c r="E233" s="1"/>
      <c r="F233" s="1"/>
      <c r="G233" s="1"/>
      <c r="H233" s="1"/>
      <c r="I233" s="1"/>
      <c r="J233" s="1"/>
      <c r="K233" s="1"/>
      <c r="L233" s="1"/>
      <c r="M233" s="1"/>
    </row>
    <row r="234" spans="1:13" ht="12.75">
      <c r="A234" s="1"/>
      <c r="B234" s="1"/>
      <c r="C234" s="1"/>
      <c r="D234" s="1"/>
      <c r="E234" s="1"/>
      <c r="F234" s="1"/>
      <c r="G234" s="1"/>
      <c r="H234" s="1"/>
      <c r="I234" s="1"/>
      <c r="J234" s="1"/>
      <c r="K234" s="1"/>
      <c r="L234" s="1"/>
      <c r="M234" s="1"/>
    </row>
    <row r="235" spans="1:13" ht="12.75">
      <c r="A235" s="1"/>
      <c r="B235" s="1"/>
      <c r="C235" s="1"/>
      <c r="D235" s="1"/>
      <c r="E235" s="1"/>
      <c r="F235" s="1"/>
      <c r="G235" s="1"/>
      <c r="H235" s="1"/>
      <c r="I235" s="1"/>
      <c r="J235" s="1"/>
      <c r="K235" s="1"/>
      <c r="L235" s="1"/>
      <c r="M235" s="1"/>
    </row>
  </sheetData>
  <sheetProtection/>
  <mergeCells count="5">
    <mergeCell ref="A5:N5"/>
    <mergeCell ref="A1:N1"/>
    <mergeCell ref="A2:N2"/>
    <mergeCell ref="A3:N3"/>
    <mergeCell ref="A4:N4"/>
  </mergeCells>
  <printOptions horizontalCentered="1"/>
  <pageMargins left="0.1968503937007874" right="0.1968503937007874" top="0.3937007874015748" bottom="0.3937007874015748" header="0" footer="0"/>
  <pageSetup horizontalDpi="300" verticalDpi="300" orientation="portrait" scale="60" r:id="rId3"/>
  <legacyDrawing r:id="rId2"/>
</worksheet>
</file>

<file path=xl/worksheets/sheet5.xml><?xml version="1.0" encoding="utf-8"?>
<worksheet xmlns="http://schemas.openxmlformats.org/spreadsheetml/2006/main" xmlns:r="http://schemas.openxmlformats.org/officeDocument/2006/relationships">
  <dimension ref="A2:U47"/>
  <sheetViews>
    <sheetView view="pageBreakPreview" zoomScale="60" workbookViewId="0" topLeftCell="A1">
      <pane xSplit="1" ySplit="6" topLeftCell="D7" activePane="bottomRight" state="frozen"/>
      <selection pane="topLeft" activeCell="A1" sqref="A1"/>
      <selection pane="topRight" activeCell="B1" sqref="B1"/>
      <selection pane="bottomLeft" activeCell="A7" sqref="A7"/>
      <selection pane="bottomRight" activeCell="L21" sqref="L21"/>
    </sheetView>
  </sheetViews>
  <sheetFormatPr defaultColWidth="11.421875" defaultRowHeight="12.75" outlineLevelCol="1"/>
  <cols>
    <col min="1" max="1" width="40.57421875" style="377" customWidth="1"/>
    <col min="2" max="2" width="23.28125" style="377" customWidth="1"/>
    <col min="3" max="3" width="31.57421875" style="377" customWidth="1"/>
    <col min="4" max="4" width="16.7109375" style="377" customWidth="1"/>
    <col min="5" max="5" width="24.28125" style="377" customWidth="1"/>
    <col min="6" max="6" width="17.00390625" style="377" customWidth="1"/>
    <col min="7" max="7" width="22.421875" style="377" hidden="1" customWidth="1"/>
    <col min="8" max="8" width="25.7109375" style="377" customWidth="1"/>
    <col min="9" max="9" width="24.00390625" style="377" customWidth="1"/>
    <col min="10" max="10" width="21.00390625" style="377" customWidth="1"/>
    <col min="11" max="11" width="22.00390625" style="377" customWidth="1"/>
    <col min="12" max="12" width="21.8515625" style="377" customWidth="1"/>
    <col min="13" max="13" width="27.421875" style="377" customWidth="1"/>
    <col min="14" max="14" width="22.140625" style="377" hidden="1" customWidth="1" outlineLevel="1"/>
    <col min="15" max="15" width="22.57421875" style="377" hidden="1" customWidth="1" outlineLevel="1"/>
    <col min="16" max="17" width="19.28125" style="377" hidden="1" customWidth="1" outlineLevel="1"/>
    <col min="18" max="18" width="19.140625" style="377" hidden="1" customWidth="1" collapsed="1"/>
    <col min="19" max="19" width="19.140625" style="377" hidden="1" customWidth="1"/>
    <col min="20" max="20" width="10.28125" style="377" hidden="1" customWidth="1"/>
    <col min="21" max="16384" width="11.421875" style="377" customWidth="1"/>
  </cols>
  <sheetData>
    <row r="1" ht="12.75"/>
    <row r="2" spans="1:20" ht="15.75">
      <c r="A2" s="761" t="s">
        <v>31</v>
      </c>
      <c r="B2" s="761"/>
      <c r="C2" s="761"/>
      <c r="D2" s="761"/>
      <c r="E2" s="761"/>
      <c r="F2" s="761"/>
      <c r="G2" s="761"/>
      <c r="H2" s="761"/>
      <c r="I2" s="761" t="s">
        <v>31</v>
      </c>
      <c r="J2" s="761"/>
      <c r="K2" s="761"/>
      <c r="L2" s="761"/>
      <c r="M2" s="761"/>
      <c r="N2" s="761"/>
      <c r="O2" s="761"/>
      <c r="P2" s="761"/>
      <c r="Q2" s="761"/>
      <c r="R2" s="761"/>
      <c r="S2" s="761"/>
      <c r="T2" s="761"/>
    </row>
    <row r="3" ht="12.75"/>
    <row r="4" spans="1:20" ht="15.75" thickBot="1">
      <c r="A4" s="387"/>
      <c r="B4" s="387"/>
      <c r="C4" s="387" t="s">
        <v>437</v>
      </c>
      <c r="D4" s="622">
        <v>1.0767</v>
      </c>
      <c r="E4" s="387"/>
      <c r="F4" s="387"/>
      <c r="G4" s="387"/>
      <c r="H4" s="387"/>
      <c r="I4" s="387"/>
      <c r="J4" s="387"/>
      <c r="K4" s="387"/>
      <c r="L4" s="387"/>
      <c r="M4" s="387"/>
      <c r="N4" s="387"/>
      <c r="O4" s="387"/>
      <c r="P4" s="387"/>
      <c r="Q4" s="387"/>
      <c r="R4" s="387"/>
      <c r="S4" s="387"/>
      <c r="T4" s="387"/>
    </row>
    <row r="5" spans="1:20" ht="15.75" thickBot="1">
      <c r="A5" s="387"/>
      <c r="B5" s="763">
        <v>2009</v>
      </c>
      <c r="C5" s="764"/>
      <c r="D5" s="764"/>
      <c r="E5" s="764"/>
      <c r="F5" s="765"/>
      <c r="G5" s="623" t="s">
        <v>108</v>
      </c>
      <c r="H5" s="769" t="s">
        <v>328</v>
      </c>
      <c r="I5" s="769" t="s">
        <v>355</v>
      </c>
      <c r="J5" s="769" t="s">
        <v>356</v>
      </c>
      <c r="K5" s="769" t="s">
        <v>357</v>
      </c>
      <c r="L5" s="769" t="s">
        <v>358</v>
      </c>
      <c r="M5" s="757" t="s">
        <v>434</v>
      </c>
      <c r="N5" s="762"/>
      <c r="O5" s="762"/>
      <c r="P5" s="762"/>
      <c r="Q5" s="490"/>
      <c r="R5" s="490"/>
      <c r="S5" s="490"/>
      <c r="T5" s="490"/>
    </row>
    <row r="6" spans="1:20" ht="15.75" thickBot="1">
      <c r="A6" s="499" t="s">
        <v>343</v>
      </c>
      <c r="B6" s="766"/>
      <c r="C6" s="767"/>
      <c r="D6" s="767"/>
      <c r="E6" s="767"/>
      <c r="F6" s="768"/>
      <c r="G6" s="624"/>
      <c r="H6" s="770"/>
      <c r="I6" s="770"/>
      <c r="J6" s="770"/>
      <c r="K6" s="770"/>
      <c r="L6" s="770"/>
      <c r="M6" s="758"/>
      <c r="N6" s="625">
        <v>2004</v>
      </c>
      <c r="O6" s="500">
        <v>2005</v>
      </c>
      <c r="P6" s="500">
        <v>2006</v>
      </c>
      <c r="Q6" s="500">
        <v>2007</v>
      </c>
      <c r="R6" s="500">
        <v>2008</v>
      </c>
      <c r="S6" s="500">
        <v>2009</v>
      </c>
      <c r="T6" s="500" t="s">
        <v>433</v>
      </c>
    </row>
    <row r="7" spans="1:20" ht="15">
      <c r="A7" s="626"/>
      <c r="B7" s="501" t="s">
        <v>353</v>
      </c>
      <c r="C7" s="501" t="s">
        <v>446</v>
      </c>
      <c r="D7" s="627" t="s">
        <v>438</v>
      </c>
      <c r="E7" s="501" t="s">
        <v>447</v>
      </c>
      <c r="F7" s="501"/>
      <c r="G7" s="628"/>
      <c r="H7" s="628"/>
      <c r="I7" s="628"/>
      <c r="J7" s="628"/>
      <c r="K7" s="628"/>
      <c r="L7" s="628"/>
      <c r="M7" s="501"/>
      <c r="N7" s="501"/>
      <c r="O7" s="501"/>
      <c r="P7" s="501"/>
      <c r="Q7" s="501"/>
      <c r="R7" s="501"/>
      <c r="S7" s="501"/>
      <c r="T7" s="501"/>
    </row>
    <row r="8" spans="1:20" ht="15" thickBot="1">
      <c r="A8" s="629" t="s">
        <v>259</v>
      </c>
      <c r="B8" s="505">
        <v>5000000</v>
      </c>
      <c r="C8" s="505">
        <v>0</v>
      </c>
      <c r="D8" s="505">
        <v>0</v>
      </c>
      <c r="E8" s="505">
        <v>15000000</v>
      </c>
      <c r="F8" s="630"/>
      <c r="G8" s="630"/>
      <c r="H8" s="630">
        <f>+B8+C8+D8+E8+F8</f>
        <v>20000000</v>
      </c>
      <c r="I8" s="630">
        <v>0</v>
      </c>
      <c r="J8" s="630"/>
      <c r="K8" s="630"/>
      <c r="L8" s="630"/>
      <c r="M8" s="502">
        <f>+H8+I8+J8+K8+L8</f>
        <v>20000000</v>
      </c>
      <c r="N8" s="502">
        <v>24861124</v>
      </c>
      <c r="O8" s="502">
        <v>31500000</v>
      </c>
      <c r="P8" s="502">
        <v>52500000</v>
      </c>
      <c r="Q8" s="502">
        <f>+'[1]RES'!$J$27</f>
        <v>49600000</v>
      </c>
      <c r="R8" s="502">
        <v>154623996</v>
      </c>
      <c r="S8" s="502">
        <f>+M8</f>
        <v>20000000</v>
      </c>
      <c r="T8" s="503">
        <f>+(S8-R8)/R8</f>
        <v>-0.8706539701638548</v>
      </c>
    </row>
    <row r="9" spans="1:20" ht="15">
      <c r="A9" s="626"/>
      <c r="B9" s="501" t="s">
        <v>400</v>
      </c>
      <c r="C9" s="501" t="s">
        <v>159</v>
      </c>
      <c r="D9" s="501"/>
      <c r="E9" s="627"/>
      <c r="F9" s="501"/>
      <c r="G9" s="501"/>
      <c r="H9" s="631"/>
      <c r="I9" s="501"/>
      <c r="J9" s="501"/>
      <c r="K9" s="501"/>
      <c r="L9" s="501"/>
      <c r="M9" s="501"/>
      <c r="N9" s="501"/>
      <c r="O9" s="501"/>
      <c r="P9" s="501"/>
      <c r="Q9" s="501"/>
      <c r="R9" s="501"/>
      <c r="S9" s="501"/>
      <c r="T9" s="504"/>
    </row>
    <row r="10" spans="1:20" ht="15" thickBot="1">
      <c r="A10" s="629" t="s">
        <v>52</v>
      </c>
      <c r="B10" s="505">
        <v>0</v>
      </c>
      <c r="C10" s="505">
        <v>1600000</v>
      </c>
      <c r="D10" s="629"/>
      <c r="E10" s="632"/>
      <c r="F10" s="629"/>
      <c r="G10" s="629"/>
      <c r="H10" s="505">
        <f>+B10+C10+D10+E10</f>
        <v>1600000</v>
      </c>
      <c r="I10" s="629"/>
      <c r="J10" s="629"/>
      <c r="K10" s="629"/>
      <c r="L10" s="629"/>
      <c r="M10" s="502">
        <f>+H10+I10+J10+K10+L10</f>
        <v>1600000</v>
      </c>
      <c r="N10" s="502">
        <v>4987947</v>
      </c>
      <c r="O10" s="502">
        <v>5196911</v>
      </c>
      <c r="P10" s="502">
        <v>4924000</v>
      </c>
      <c r="Q10" s="502">
        <v>5145200</v>
      </c>
      <c r="R10" s="502">
        <v>5306073.369899999</v>
      </c>
      <c r="S10" s="502">
        <f aca="true" t="shared" si="0" ref="S10:S35">+M10</f>
        <v>1600000</v>
      </c>
      <c r="T10" s="503">
        <f>+(S10-R10)/R10</f>
        <v>-0.6984587493500577</v>
      </c>
    </row>
    <row r="11" spans="1:20" ht="15">
      <c r="A11" s="633"/>
      <c r="B11" s="634" t="s">
        <v>160</v>
      </c>
      <c r="C11" s="635" t="s">
        <v>161</v>
      </c>
      <c r="D11" s="636"/>
      <c r="E11" s="637"/>
      <c r="F11" s="636"/>
      <c r="G11" s="636"/>
      <c r="H11" s="631"/>
      <c r="I11" s="636"/>
      <c r="J11" s="636"/>
      <c r="K11" s="636"/>
      <c r="L11" s="636"/>
      <c r="M11" s="501"/>
      <c r="N11" s="501"/>
      <c r="O11" s="501"/>
      <c r="P11" s="501"/>
      <c r="Q11" s="501"/>
      <c r="R11" s="501"/>
      <c r="S11" s="501"/>
      <c r="T11" s="504"/>
    </row>
    <row r="12" spans="1:20" ht="15" thickBot="1">
      <c r="A12" s="632" t="s">
        <v>53</v>
      </c>
      <c r="B12" s="505">
        <f>1000000*D4/4</f>
        <v>269175</v>
      </c>
      <c r="C12" s="638">
        <f>(3500000*4)*D4/4</f>
        <v>3768450</v>
      </c>
      <c r="D12" s="629"/>
      <c r="E12" s="639"/>
      <c r="F12" s="629"/>
      <c r="G12" s="629"/>
      <c r="H12" s="505">
        <f>+B12+C12+D12+E12</f>
        <v>4037625</v>
      </c>
      <c r="I12" s="505">
        <v>1250000</v>
      </c>
      <c r="J12" s="629"/>
      <c r="K12" s="629"/>
      <c r="L12" s="629"/>
      <c r="M12" s="502">
        <f>+H12+I12+J12+K12+L12</f>
        <v>5287625</v>
      </c>
      <c r="N12" s="502">
        <v>13481656</v>
      </c>
      <c r="O12" s="502">
        <v>15000000</v>
      </c>
      <c r="P12" s="502">
        <v>17900000</v>
      </c>
      <c r="Q12" s="502">
        <v>17000000</v>
      </c>
      <c r="R12" s="502">
        <v>21000000</v>
      </c>
      <c r="S12" s="502">
        <f t="shared" si="0"/>
        <v>5287625</v>
      </c>
      <c r="T12" s="503">
        <f aca="true" t="shared" si="1" ref="T12:T35">+(S12-R12)/R12</f>
        <v>-0.7482083333333334</v>
      </c>
    </row>
    <row r="13" spans="1:20" ht="15">
      <c r="A13" s="633"/>
      <c r="B13" s="501" t="s">
        <v>542</v>
      </c>
      <c r="C13" s="635" t="s">
        <v>401</v>
      </c>
      <c r="D13" s="501" t="s">
        <v>162</v>
      </c>
      <c r="E13" s="627" t="s">
        <v>158</v>
      </c>
      <c r="F13" s="501"/>
      <c r="G13" s="501"/>
      <c r="H13" s="631"/>
      <c r="I13" s="636"/>
      <c r="J13" s="636"/>
      <c r="K13" s="636"/>
      <c r="L13" s="636"/>
      <c r="M13" s="501"/>
      <c r="N13" s="501"/>
      <c r="O13" s="501"/>
      <c r="P13" s="501"/>
      <c r="Q13" s="501"/>
      <c r="R13" s="501"/>
      <c r="S13" s="501"/>
      <c r="T13" s="504"/>
    </row>
    <row r="14" spans="1:21" ht="15" thickBot="1">
      <c r="A14" s="632" t="s">
        <v>32</v>
      </c>
      <c r="B14" s="505">
        <v>633000</v>
      </c>
      <c r="C14" s="638">
        <v>0</v>
      </c>
      <c r="D14" s="640">
        <f>102841*D4*4/4</f>
        <v>110728.9047</v>
      </c>
      <c r="E14" s="638">
        <f>1500000+25000000+6756271</f>
        <v>33256271</v>
      </c>
      <c r="F14" s="505"/>
      <c r="G14" s="505"/>
      <c r="H14" s="505">
        <f>+(E14+D14)+((C14+B14))+2000000</f>
        <v>35999999.904699996</v>
      </c>
      <c r="I14" s="505">
        <v>1717000</v>
      </c>
      <c r="J14" s="505">
        <v>1717000</v>
      </c>
      <c r="K14" s="505">
        <f>+J14</f>
        <v>1717000</v>
      </c>
      <c r="L14" s="505">
        <f>+K14</f>
        <v>1717000</v>
      </c>
      <c r="M14" s="502">
        <f>+H14+I14+J14+K14+L14</f>
        <v>42867999.904699996</v>
      </c>
      <c r="N14" s="502">
        <v>14708029</v>
      </c>
      <c r="O14" s="502">
        <v>18319330</v>
      </c>
      <c r="P14" s="502">
        <v>21037738</v>
      </c>
      <c r="Q14" s="502">
        <v>24558771</v>
      </c>
      <c r="R14" s="502">
        <v>28309323.18928</v>
      </c>
      <c r="S14" s="502">
        <f t="shared" si="0"/>
        <v>42867999.904699996</v>
      </c>
      <c r="T14" s="503">
        <f>+(S14-R14)/R14</f>
        <v>0.5142714510720973</v>
      </c>
      <c r="U14" s="641"/>
    </row>
    <row r="15" spans="1:20" ht="15">
      <c r="A15" s="633"/>
      <c r="B15" s="501" t="s">
        <v>163</v>
      </c>
      <c r="C15" s="501" t="s">
        <v>164</v>
      </c>
      <c r="D15" s="635" t="s">
        <v>165</v>
      </c>
      <c r="E15" s="501" t="s">
        <v>166</v>
      </c>
      <c r="F15" s="501" t="s">
        <v>167</v>
      </c>
      <c r="G15" s="501"/>
      <c r="H15" s="631"/>
      <c r="I15" s="501"/>
      <c r="J15" s="501"/>
      <c r="K15" s="501"/>
      <c r="L15" s="501"/>
      <c r="M15" s="501"/>
      <c r="N15" s="501"/>
      <c r="O15" s="501"/>
      <c r="P15" s="501"/>
      <c r="Q15" s="501"/>
      <c r="R15" s="501"/>
      <c r="S15" s="501"/>
      <c r="T15" s="504"/>
    </row>
    <row r="16" spans="1:20" ht="15" thickBot="1">
      <c r="A16" s="632" t="s">
        <v>54</v>
      </c>
      <c r="B16" s="505">
        <f>13833386/4</f>
        <v>3458346.5</v>
      </c>
      <c r="C16" s="505">
        <f>1788015/4</f>
        <v>447003.75</v>
      </c>
      <c r="D16" s="638">
        <f>6386281/4</f>
        <v>1596570.25</v>
      </c>
      <c r="E16" s="502">
        <f>1000000/4</f>
        <v>250000</v>
      </c>
      <c r="F16" s="502">
        <f>600000/4</f>
        <v>150000</v>
      </c>
      <c r="G16" s="502"/>
      <c r="H16" s="505">
        <f>+(B16+C16+D16+E16+F16)</f>
        <v>5901920.5</v>
      </c>
      <c r="I16" s="505">
        <f>11748637/4</f>
        <v>2937159.25</v>
      </c>
      <c r="J16" s="505">
        <f>8710413/4</f>
        <v>2177603.25</v>
      </c>
      <c r="K16" s="505">
        <f>6041442/4</f>
        <v>1510360.5</v>
      </c>
      <c r="L16" s="505">
        <f>8580029/4</f>
        <v>2145007.25</v>
      </c>
      <c r="M16" s="502">
        <f>+H16+I16+J16+K16+L16</f>
        <v>14672050.75</v>
      </c>
      <c r="N16" s="502">
        <v>38228571</v>
      </c>
      <c r="O16" s="502">
        <v>38054963</v>
      </c>
      <c r="P16" s="502">
        <v>38520000</v>
      </c>
      <c r="Q16" s="502">
        <v>50128576</v>
      </c>
      <c r="R16" s="502">
        <v>51500000</v>
      </c>
      <c r="S16" s="502">
        <f t="shared" si="0"/>
        <v>14672050.75</v>
      </c>
      <c r="T16" s="503">
        <f t="shared" si="1"/>
        <v>-0.7151058106796117</v>
      </c>
    </row>
    <row r="17" spans="1:20" ht="15">
      <c r="A17" s="633"/>
      <c r="B17" s="501" t="s">
        <v>354</v>
      </c>
      <c r="C17" s="635" t="s">
        <v>168</v>
      </c>
      <c r="D17" s="501"/>
      <c r="E17" s="635"/>
      <c r="F17" s="626"/>
      <c r="G17" s="626"/>
      <c r="H17" s="631"/>
      <c r="I17" s="635"/>
      <c r="J17" s="626"/>
      <c r="K17" s="626"/>
      <c r="L17" s="626"/>
      <c r="M17" s="501"/>
      <c r="N17" s="501"/>
      <c r="O17" s="501"/>
      <c r="P17" s="501"/>
      <c r="Q17" s="501"/>
      <c r="R17" s="501"/>
      <c r="S17" s="501"/>
      <c r="T17" s="504"/>
    </row>
    <row r="18" spans="1:20" ht="15" thickBot="1">
      <c r="A18" s="632" t="s">
        <v>33</v>
      </c>
      <c r="B18" s="505">
        <f>(2503138)*D4*12/4</f>
        <v>8085386.0538</v>
      </c>
      <c r="C18" s="638">
        <f>524645*D4*12/4</f>
        <v>1694655.8145</v>
      </c>
      <c r="D18" s="505"/>
      <c r="E18" s="638"/>
      <c r="F18" s="629"/>
      <c r="G18" s="629"/>
      <c r="H18" s="505">
        <f>+B18+C18+D18+E18+F18</f>
        <v>9780041.8683</v>
      </c>
      <c r="I18" s="505">
        <f>+((122000*D4)*12)/12*3</f>
        <v>394072.19999999995</v>
      </c>
      <c r="J18" s="505">
        <v>0</v>
      </c>
      <c r="K18" s="629"/>
      <c r="L18" s="629"/>
      <c r="M18" s="502">
        <f>+H18+I18+J18+K18+L18</f>
        <v>10174114.0683</v>
      </c>
      <c r="N18" s="502">
        <v>24826333</v>
      </c>
      <c r="O18" s="502">
        <v>33433111</v>
      </c>
      <c r="P18" s="502">
        <v>32843175</v>
      </c>
      <c r="Q18" s="502">
        <v>34479000</v>
      </c>
      <c r="R18" s="502">
        <v>38333394</v>
      </c>
      <c r="S18" s="502">
        <f t="shared" si="0"/>
        <v>10174114.0683</v>
      </c>
      <c r="T18" s="503">
        <f t="shared" si="1"/>
        <v>-0.7345887486951976</v>
      </c>
    </row>
    <row r="19" spans="1:20" ht="15">
      <c r="A19" s="633"/>
      <c r="B19" s="501" t="s">
        <v>169</v>
      </c>
      <c r="C19" s="642"/>
      <c r="D19" s="626"/>
      <c r="E19" s="642"/>
      <c r="F19" s="626"/>
      <c r="G19" s="626"/>
      <c r="H19" s="631"/>
      <c r="I19" s="626"/>
      <c r="J19" s="626"/>
      <c r="K19" s="626"/>
      <c r="L19" s="626"/>
      <c r="M19" s="501"/>
      <c r="N19" s="501"/>
      <c r="O19" s="501"/>
      <c r="P19" s="501"/>
      <c r="Q19" s="501"/>
      <c r="R19" s="501"/>
      <c r="S19" s="501"/>
      <c r="T19" s="504"/>
    </row>
    <row r="20" spans="1:20" ht="15" thickBot="1">
      <c r="A20" s="632" t="s">
        <v>346</v>
      </c>
      <c r="B20" s="505">
        <f>1000000*12/4</f>
        <v>3000000</v>
      </c>
      <c r="C20" s="639"/>
      <c r="D20" s="629"/>
      <c r="E20" s="639"/>
      <c r="F20" s="629"/>
      <c r="G20" s="629"/>
      <c r="H20" s="505">
        <f>+B20+C20+D20+E20+F20</f>
        <v>3000000</v>
      </c>
      <c r="I20" s="643">
        <v>35500000</v>
      </c>
      <c r="J20" s="643">
        <v>2500000</v>
      </c>
      <c r="K20" s="643">
        <v>6000000</v>
      </c>
      <c r="L20" s="643">
        <v>5000000</v>
      </c>
      <c r="M20" s="502">
        <f>+H20+I20+J20+K20+L20</f>
        <v>52000000</v>
      </c>
      <c r="N20" s="502">
        <v>8566019</v>
      </c>
      <c r="O20" s="502">
        <v>9353350</v>
      </c>
      <c r="P20" s="502">
        <v>9000000</v>
      </c>
      <c r="Q20" s="502">
        <v>179400000</v>
      </c>
      <c r="R20" s="502">
        <v>204044096</v>
      </c>
      <c r="S20" s="502">
        <f t="shared" si="0"/>
        <v>52000000</v>
      </c>
      <c r="T20" s="503">
        <f t="shared" si="1"/>
        <v>-0.7451531261164254</v>
      </c>
    </row>
    <row r="21" spans="1:20" ht="15">
      <c r="A21" s="633"/>
      <c r="B21" s="501" t="s">
        <v>348</v>
      </c>
      <c r="C21" s="635" t="s">
        <v>347</v>
      </c>
      <c r="D21" s="626"/>
      <c r="E21" s="642"/>
      <c r="F21" s="626"/>
      <c r="G21" s="626"/>
      <c r="H21" s="631"/>
      <c r="I21" s="626"/>
      <c r="J21" s="626"/>
      <c r="K21" s="626"/>
      <c r="L21" s="626"/>
      <c r="M21" s="501"/>
      <c r="N21" s="501"/>
      <c r="O21" s="501"/>
      <c r="P21" s="501"/>
      <c r="Q21" s="501"/>
      <c r="R21" s="501"/>
      <c r="S21" s="501"/>
      <c r="T21" s="504"/>
    </row>
    <row r="22" spans="1:20" ht="15" thickBot="1">
      <c r="A22" s="632" t="s">
        <v>260</v>
      </c>
      <c r="B22" s="505">
        <v>3500000</v>
      </c>
      <c r="C22" s="638">
        <v>0</v>
      </c>
      <c r="D22" s="629"/>
      <c r="E22" s="639"/>
      <c r="F22" s="629"/>
      <c r="G22" s="629"/>
      <c r="H22" s="505">
        <f>+B22+C22+D22+E22+F22</f>
        <v>3500000</v>
      </c>
      <c r="I22" s="643">
        <v>4000000</v>
      </c>
      <c r="J22" s="643">
        <v>0</v>
      </c>
      <c r="K22" s="643"/>
      <c r="L22" s="643"/>
      <c r="M22" s="505">
        <f>+H22+I22+J22+K22+L22</f>
        <v>7500000</v>
      </c>
      <c r="N22" s="506">
        <v>21111853</v>
      </c>
      <c r="O22" s="502">
        <v>20000000</v>
      </c>
      <c r="P22" s="502">
        <v>47100000</v>
      </c>
      <c r="Q22" s="502">
        <f>+'[1]RES'!$J$34</f>
        <v>62130000</v>
      </c>
      <c r="R22" s="502">
        <v>64295800</v>
      </c>
      <c r="S22" s="502">
        <f t="shared" si="0"/>
        <v>7500000</v>
      </c>
      <c r="T22" s="503">
        <f t="shared" si="1"/>
        <v>-0.8833516341658397</v>
      </c>
    </row>
    <row r="23" spans="1:20" ht="15">
      <c r="A23" s="633"/>
      <c r="B23" s="501" t="s">
        <v>170</v>
      </c>
      <c r="C23" s="635" t="s">
        <v>171</v>
      </c>
      <c r="D23" s="501"/>
      <c r="E23" s="642"/>
      <c r="F23" s="626"/>
      <c r="G23" s="626"/>
      <c r="H23" s="631"/>
      <c r="I23" s="626"/>
      <c r="J23" s="626"/>
      <c r="K23" s="626"/>
      <c r="L23" s="626"/>
      <c r="M23" s="501"/>
      <c r="N23" s="501"/>
      <c r="O23" s="501"/>
      <c r="P23" s="501"/>
      <c r="Q23" s="501"/>
      <c r="R23" s="501"/>
      <c r="S23" s="501"/>
      <c r="T23" s="504"/>
    </row>
    <row r="24" spans="1:20" ht="15" thickBot="1">
      <c r="A24" s="632" t="s">
        <v>34</v>
      </c>
      <c r="B24" s="505">
        <f>10000000/4</f>
        <v>2500000</v>
      </c>
      <c r="C24" s="638">
        <f>10000000/4</f>
        <v>2500000</v>
      </c>
      <c r="D24" s="505"/>
      <c r="E24" s="639"/>
      <c r="F24" s="629"/>
      <c r="G24" s="629"/>
      <c r="H24" s="505">
        <f>+B24+C24+D24+E24+F24</f>
        <v>5000000</v>
      </c>
      <c r="I24" s="643">
        <v>8500000</v>
      </c>
      <c r="J24" s="643">
        <v>10000000</v>
      </c>
      <c r="K24" s="643">
        <v>750000</v>
      </c>
      <c r="L24" s="643">
        <v>5000000</v>
      </c>
      <c r="M24" s="505">
        <f>+H24+I24+J24+K24+L24</f>
        <v>29250000</v>
      </c>
      <c r="N24" s="505">
        <v>41213743</v>
      </c>
      <c r="O24" s="505">
        <v>28251650</v>
      </c>
      <c r="P24" s="505">
        <v>63480000</v>
      </c>
      <c r="Q24" s="505">
        <f>+'[1]RES'!$J$35</f>
        <v>84000000</v>
      </c>
      <c r="R24" s="505">
        <v>91000000</v>
      </c>
      <c r="S24" s="505">
        <f t="shared" si="0"/>
        <v>29250000</v>
      </c>
      <c r="T24" s="503">
        <f t="shared" si="1"/>
        <v>-0.6785714285714286</v>
      </c>
    </row>
    <row r="25" spans="1:20" ht="15">
      <c r="A25" s="633"/>
      <c r="B25" s="501" t="s">
        <v>172</v>
      </c>
      <c r="C25" s="635" t="s">
        <v>173</v>
      </c>
      <c r="D25" s="626"/>
      <c r="E25" s="642"/>
      <c r="F25" s="626"/>
      <c r="G25" s="626"/>
      <c r="H25" s="631"/>
      <c r="I25" s="626"/>
      <c r="J25" s="626"/>
      <c r="K25" s="626"/>
      <c r="L25" s="626"/>
      <c r="M25" s="501"/>
      <c r="N25" s="501"/>
      <c r="O25" s="501"/>
      <c r="P25" s="501"/>
      <c r="Q25" s="501"/>
      <c r="R25" s="501"/>
      <c r="S25" s="501"/>
      <c r="T25" s="504"/>
    </row>
    <row r="26" spans="1:20" ht="15" thickBot="1">
      <c r="A26" s="632" t="s">
        <v>50</v>
      </c>
      <c r="B26" s="505">
        <f>2500000/4</f>
        <v>625000</v>
      </c>
      <c r="C26" s="638">
        <v>300000</v>
      </c>
      <c r="D26" s="629"/>
      <c r="E26" s="639"/>
      <c r="F26" s="629"/>
      <c r="G26" s="629"/>
      <c r="H26" s="505">
        <f>+B26+C26+D26+E26+F26</f>
        <v>925000</v>
      </c>
      <c r="I26" s="505">
        <v>300000</v>
      </c>
      <c r="J26" s="505"/>
      <c r="K26" s="505"/>
      <c r="L26" s="505"/>
      <c r="M26" s="505">
        <f>+H26+I26+J26+K26+L26</f>
        <v>1225000</v>
      </c>
      <c r="N26" s="506">
        <v>2386400</v>
      </c>
      <c r="O26" s="502">
        <v>3032800</v>
      </c>
      <c r="P26" s="502">
        <v>3185000</v>
      </c>
      <c r="Q26" s="502">
        <v>4000000</v>
      </c>
      <c r="R26" s="502">
        <v>4500000</v>
      </c>
      <c r="S26" s="502">
        <f t="shared" si="0"/>
        <v>1225000</v>
      </c>
      <c r="T26" s="503">
        <f t="shared" si="1"/>
        <v>-0.7277777777777777</v>
      </c>
    </row>
    <row r="27" spans="1:20" ht="15">
      <c r="A27" s="633"/>
      <c r="B27" s="501" t="s">
        <v>174</v>
      </c>
      <c r="C27" s="635" t="s">
        <v>175</v>
      </c>
      <c r="D27" s="644" t="s">
        <v>444</v>
      </c>
      <c r="E27" s="642"/>
      <c r="F27" s="626"/>
      <c r="G27" s="626"/>
      <c r="H27" s="631"/>
      <c r="I27" s="635" t="s">
        <v>445</v>
      </c>
      <c r="J27" s="626"/>
      <c r="K27" s="626"/>
      <c r="L27" s="626"/>
      <c r="M27" s="501"/>
      <c r="N27" s="501"/>
      <c r="O27" s="501"/>
      <c r="P27" s="501"/>
      <c r="Q27" s="501"/>
      <c r="R27" s="501"/>
      <c r="S27" s="501"/>
      <c r="T27" s="504"/>
    </row>
    <row r="28" spans="1:20" ht="15" thickBot="1">
      <c r="A28" s="632" t="s">
        <v>56</v>
      </c>
      <c r="B28" s="505">
        <v>1000000</v>
      </c>
      <c r="C28" s="638">
        <f>1500000/4</f>
        <v>375000</v>
      </c>
      <c r="D28" s="505">
        <v>1000000</v>
      </c>
      <c r="E28" s="639"/>
      <c r="F28" s="629"/>
      <c r="G28" s="629"/>
      <c r="H28" s="505">
        <f>+B28+C28+D28+E28+F28</f>
        <v>2375000</v>
      </c>
      <c r="I28" s="505">
        <v>4500000</v>
      </c>
      <c r="J28" s="643">
        <f>4600000+30400000</f>
        <v>35000000</v>
      </c>
      <c r="K28" s="505">
        <v>5200000</v>
      </c>
      <c r="L28" s="629"/>
      <c r="M28" s="502">
        <f>+H28+I28+J28+K28+L28</f>
        <v>47075000</v>
      </c>
      <c r="N28" s="502">
        <v>29501988</v>
      </c>
      <c r="O28" s="502">
        <v>21914847</v>
      </c>
      <c r="P28" s="502">
        <v>16000000</v>
      </c>
      <c r="Q28" s="502">
        <v>15500000</v>
      </c>
      <c r="R28" s="502">
        <v>46500000</v>
      </c>
      <c r="S28" s="502">
        <f t="shared" si="0"/>
        <v>47075000</v>
      </c>
      <c r="T28" s="503">
        <f t="shared" si="1"/>
        <v>0.012365591397849462</v>
      </c>
    </row>
    <row r="29" spans="1:20" ht="15">
      <c r="A29" s="633"/>
      <c r="B29" s="501" t="s">
        <v>176</v>
      </c>
      <c r="C29" s="635" t="s">
        <v>351</v>
      </c>
      <c r="D29" s="501" t="s">
        <v>352</v>
      </c>
      <c r="E29" s="635"/>
      <c r="F29" s="626"/>
      <c r="G29" s="626"/>
      <c r="H29" s="631"/>
      <c r="I29" s="626"/>
      <c r="J29" s="626"/>
      <c r="K29" s="626"/>
      <c r="L29" s="626"/>
      <c r="M29" s="501"/>
      <c r="N29" s="501"/>
      <c r="O29" s="501"/>
      <c r="P29" s="501"/>
      <c r="Q29" s="501"/>
      <c r="R29" s="501"/>
      <c r="S29" s="501"/>
      <c r="T29" s="504"/>
    </row>
    <row r="30" spans="1:20" ht="15" thickBot="1">
      <c r="A30" s="632" t="s">
        <v>57</v>
      </c>
      <c r="B30" s="505">
        <f>(600000*4*5)/4</f>
        <v>3000000</v>
      </c>
      <c r="C30" s="645">
        <f>200000*4*5/4</f>
        <v>1000000</v>
      </c>
      <c r="D30" s="505">
        <f>400000*5/4</f>
        <v>500000</v>
      </c>
      <c r="E30" s="638"/>
      <c r="F30" s="629"/>
      <c r="G30" s="629"/>
      <c r="H30" s="505">
        <f>+B30+C30+D30+E30+F30</f>
        <v>4500000</v>
      </c>
      <c r="I30" s="629"/>
      <c r="J30" s="629"/>
      <c r="K30" s="629"/>
      <c r="L30" s="629"/>
      <c r="M30" s="502">
        <f>+H30+I30+J30+K30+L30</f>
        <v>4500000</v>
      </c>
      <c r="N30" s="502">
        <v>6804508</v>
      </c>
      <c r="O30" s="502">
        <v>10425298</v>
      </c>
      <c r="P30" s="502">
        <v>10400000</v>
      </c>
      <c r="Q30" s="502">
        <v>13400000</v>
      </c>
      <c r="R30" s="502">
        <v>14073000</v>
      </c>
      <c r="S30" s="502">
        <f t="shared" si="0"/>
        <v>4500000</v>
      </c>
      <c r="T30" s="503">
        <f t="shared" si="1"/>
        <v>-0.6802387550628863</v>
      </c>
    </row>
    <row r="31" spans="1:20" ht="15">
      <c r="A31" s="633"/>
      <c r="B31" s="501" t="s">
        <v>177</v>
      </c>
      <c r="C31" s="642"/>
      <c r="D31" s="626"/>
      <c r="E31" s="642"/>
      <c r="F31" s="626"/>
      <c r="G31" s="626"/>
      <c r="H31" s="631"/>
      <c r="I31" s="501" t="s">
        <v>177</v>
      </c>
      <c r="J31" s="626"/>
      <c r="K31" s="626"/>
      <c r="L31" s="626"/>
      <c r="M31" s="501"/>
      <c r="N31" s="501"/>
      <c r="O31" s="501"/>
      <c r="P31" s="501"/>
      <c r="Q31" s="501"/>
      <c r="R31" s="501"/>
      <c r="S31" s="501"/>
      <c r="T31" s="504"/>
    </row>
    <row r="32" spans="1:20" ht="15" thickBot="1">
      <c r="A32" s="632" t="s">
        <v>58</v>
      </c>
      <c r="B32" s="505">
        <f>55000000/4</f>
        <v>13750000</v>
      </c>
      <c r="C32" s="639"/>
      <c r="D32" s="629"/>
      <c r="E32" s="639"/>
      <c r="F32" s="629"/>
      <c r="G32" s="629"/>
      <c r="H32" s="505">
        <f>+B32+C32+D32+E32+F32</f>
        <v>13750000</v>
      </c>
      <c r="I32" s="505">
        <v>10000000</v>
      </c>
      <c r="J32" s="505"/>
      <c r="K32" s="505"/>
      <c r="L32" s="505"/>
      <c r="M32" s="502">
        <f>+H32+I32+J32+K32+L32</f>
        <v>23750000</v>
      </c>
      <c r="N32" s="502">
        <v>40939829</v>
      </c>
      <c r="O32" s="502">
        <v>37962215</v>
      </c>
      <c r="P32" s="502">
        <v>42000000</v>
      </c>
      <c r="Q32" s="502">
        <v>93000000</v>
      </c>
      <c r="R32" s="502">
        <v>110000000</v>
      </c>
      <c r="S32" s="502">
        <f t="shared" si="0"/>
        <v>23750000</v>
      </c>
      <c r="T32" s="503">
        <f t="shared" si="1"/>
        <v>-0.7840909090909091</v>
      </c>
    </row>
    <row r="33" spans="1:20" ht="15">
      <c r="A33" s="633"/>
      <c r="B33" s="501" t="s">
        <v>439</v>
      </c>
      <c r="C33" s="627" t="s">
        <v>440</v>
      </c>
      <c r="D33" s="501" t="s">
        <v>441</v>
      </c>
      <c r="E33" s="642"/>
      <c r="F33" s="626"/>
      <c r="G33" s="626"/>
      <c r="H33" s="631"/>
      <c r="I33" s="626"/>
      <c r="J33" s="626"/>
      <c r="K33" s="626"/>
      <c r="L33" s="626"/>
      <c r="M33" s="501"/>
      <c r="N33" s="501"/>
      <c r="O33" s="501"/>
      <c r="P33" s="501"/>
      <c r="Q33" s="501"/>
      <c r="R33" s="501"/>
      <c r="S33" s="501"/>
      <c r="T33" s="504"/>
    </row>
    <row r="34" spans="1:20" ht="15" thickBot="1">
      <c r="A34" s="632" t="s">
        <v>59</v>
      </c>
      <c r="B34" s="505">
        <v>0</v>
      </c>
      <c r="C34" s="646">
        <v>0</v>
      </c>
      <c r="D34" s="505">
        <v>0</v>
      </c>
      <c r="E34" s="639"/>
      <c r="F34" s="629"/>
      <c r="G34" s="629"/>
      <c r="H34" s="505">
        <f>+B34+C34+D34+E34+F34</f>
        <v>0</v>
      </c>
      <c r="I34" s="629"/>
      <c r="J34" s="629"/>
      <c r="K34" s="629"/>
      <c r="L34" s="629"/>
      <c r="M34" s="502">
        <f>+H34+I34+J34+K34+L34</f>
        <v>0</v>
      </c>
      <c r="N34" s="506">
        <v>11545969</v>
      </c>
      <c r="O34" s="506">
        <v>11776888</v>
      </c>
      <c r="P34" s="506">
        <v>15000000</v>
      </c>
      <c r="Q34" s="502">
        <v>19000000</v>
      </c>
      <c r="R34" s="502">
        <v>19000000</v>
      </c>
      <c r="S34" s="502">
        <f t="shared" si="0"/>
        <v>0</v>
      </c>
      <c r="T34" s="503">
        <f t="shared" si="1"/>
        <v>-1</v>
      </c>
    </row>
    <row r="35" spans="1:20" ht="15.75" thickBot="1">
      <c r="A35" s="759" t="s">
        <v>178</v>
      </c>
      <c r="B35" s="760"/>
      <c r="C35" s="760"/>
      <c r="D35" s="760"/>
      <c r="E35" s="760"/>
      <c r="F35" s="760"/>
      <c r="G35" s="647"/>
      <c r="H35" s="648">
        <f>SUM(H8:H34)</f>
        <v>110369587.273</v>
      </c>
      <c r="I35" s="507">
        <f>+I32+I28+I26+I24+I22+I20+I18+I16+I12+I14</f>
        <v>69098231.45</v>
      </c>
      <c r="J35" s="507">
        <f>SUM(J8,J10,J12,J14,J16,J18,J20,J22,J24,J26,J28,J30,J32,J34)</f>
        <v>51394603.25</v>
      </c>
      <c r="K35" s="507">
        <f>SUM(K8,K10,K12,K14,K16,K18,K20,K22,K24,K26,K28,K30,K32,K34)</f>
        <v>15177360.5</v>
      </c>
      <c r="L35" s="507">
        <f>SUM(L8,L10,L12,L14,L16,L18,L20,L22,L24,L26,L28,L30,L32,L34)</f>
        <v>13862007.25</v>
      </c>
      <c r="M35" s="507">
        <f>+M34+M32+M30+M28+M26+M24+M22+M20+M18+M16+M14+M12+M10+M8</f>
        <v>259901789.723</v>
      </c>
      <c r="N35" s="507">
        <f>SUM(N8:N34)</f>
        <v>283163969</v>
      </c>
      <c r="O35" s="507">
        <f>SUM(O8:O34)</f>
        <v>284221363</v>
      </c>
      <c r="P35" s="507">
        <f>SUM(P7:P34)</f>
        <v>373889913</v>
      </c>
      <c r="Q35" s="527">
        <f>SUM(Q7:Q34)</f>
        <v>651341547</v>
      </c>
      <c r="R35" s="507">
        <f>SUM(R8:R34)</f>
        <v>852485682.55918</v>
      </c>
      <c r="S35" s="507">
        <f t="shared" si="0"/>
        <v>259901789.723</v>
      </c>
      <c r="T35" s="508">
        <f t="shared" si="1"/>
        <v>-0.695124745153761</v>
      </c>
    </row>
    <row r="36" spans="1:20" ht="16.5">
      <c r="A36" s="380"/>
      <c r="B36" s="380"/>
      <c r="C36" s="409"/>
      <c r="D36" s="408"/>
      <c r="E36" s="408"/>
      <c r="F36" s="384"/>
      <c r="G36" s="384"/>
      <c r="H36" s="384"/>
      <c r="I36" s="384"/>
      <c r="J36" s="384"/>
      <c r="K36" s="384"/>
      <c r="L36" s="384"/>
      <c r="M36" s="380"/>
      <c r="N36" s="380"/>
      <c r="O36" s="380"/>
      <c r="P36" s="380"/>
      <c r="Q36" s="380"/>
      <c r="R36" s="380"/>
      <c r="S36" s="380"/>
      <c r="T36" s="380"/>
    </row>
    <row r="37" spans="1:20" ht="16.5">
      <c r="A37" s="380"/>
      <c r="B37" s="380"/>
      <c r="C37" s="409"/>
      <c r="D37" s="408"/>
      <c r="E37" s="408"/>
      <c r="F37" s="384"/>
      <c r="G37" s="384"/>
      <c r="H37" s="384"/>
      <c r="I37" s="384"/>
      <c r="J37" s="384"/>
      <c r="K37" s="384"/>
      <c r="L37" s="384"/>
      <c r="M37" s="380"/>
      <c r="N37" s="380"/>
      <c r="O37" s="380"/>
      <c r="P37" s="380"/>
      <c r="Q37" s="380"/>
      <c r="R37" s="380"/>
      <c r="S37" s="380"/>
      <c r="T37" s="380"/>
    </row>
    <row r="38" spans="1:20" ht="16.5">
      <c r="A38" s="380"/>
      <c r="B38" s="380"/>
      <c r="C38" s="409"/>
      <c r="D38" s="408"/>
      <c r="E38" s="408"/>
      <c r="F38" s="384"/>
      <c r="G38" s="384"/>
      <c r="H38" s="384"/>
      <c r="I38" s="384"/>
      <c r="J38" s="384"/>
      <c r="K38" s="384"/>
      <c r="L38" s="384"/>
      <c r="M38" s="380"/>
      <c r="N38" s="380"/>
      <c r="O38" s="380"/>
      <c r="P38" s="380"/>
      <c r="Q38" s="380"/>
      <c r="R38" s="380"/>
      <c r="S38" s="380"/>
      <c r="T38" s="380"/>
    </row>
    <row r="39" spans="1:20" ht="16.5">
      <c r="A39" s="380"/>
      <c r="B39" s="380"/>
      <c r="C39" s="409"/>
      <c r="D39" s="408"/>
      <c r="E39" s="408"/>
      <c r="F39" s="384"/>
      <c r="G39" s="384"/>
      <c r="H39" s="384"/>
      <c r="I39" s="384"/>
      <c r="J39" s="384"/>
      <c r="K39" s="384"/>
      <c r="L39" s="384"/>
      <c r="M39" s="380"/>
      <c r="N39" s="380"/>
      <c r="O39" s="380"/>
      <c r="P39" s="380"/>
      <c r="Q39" s="380"/>
      <c r="R39" s="380"/>
      <c r="S39" s="380"/>
      <c r="T39" s="380"/>
    </row>
    <row r="40" spans="1:20" ht="16.5">
      <c r="A40" s="380"/>
      <c r="B40" s="380"/>
      <c r="C40" s="409"/>
      <c r="D40" s="408"/>
      <c r="E40" s="408"/>
      <c r="F40" s="384"/>
      <c r="G40" s="384"/>
      <c r="H40" s="384"/>
      <c r="I40" s="384"/>
      <c r="J40" s="384"/>
      <c r="K40" s="384"/>
      <c r="L40" s="384"/>
      <c r="M40" s="380"/>
      <c r="N40" s="380"/>
      <c r="O40" s="380"/>
      <c r="P40" s="380"/>
      <c r="Q40" s="380"/>
      <c r="R40" s="380"/>
      <c r="S40" s="380"/>
      <c r="T40" s="380"/>
    </row>
    <row r="41" spans="1:20" ht="16.5">
      <c r="A41" s="380"/>
      <c r="B41" s="380"/>
      <c r="C41" s="384"/>
      <c r="D41" s="408"/>
      <c r="E41" s="408"/>
      <c r="F41" s="408"/>
      <c r="G41" s="408"/>
      <c r="H41" s="408"/>
      <c r="I41" s="408"/>
      <c r="J41" s="408"/>
      <c r="K41" s="408"/>
      <c r="L41" s="408"/>
      <c r="M41" s="380"/>
      <c r="N41" s="380"/>
      <c r="O41" s="380"/>
      <c r="P41" s="380"/>
      <c r="Q41" s="380"/>
      <c r="R41" s="380"/>
      <c r="S41" s="380"/>
      <c r="T41" s="380"/>
    </row>
    <row r="42" spans="1:20" ht="16.5">
      <c r="A42" s="380"/>
      <c r="B42" s="380"/>
      <c r="C42" s="384"/>
      <c r="D42" s="468"/>
      <c r="E42" s="384"/>
      <c r="F42" s="384"/>
      <c r="G42" s="384"/>
      <c r="H42" s="384"/>
      <c r="I42" s="380"/>
      <c r="J42" s="380"/>
      <c r="K42" s="380"/>
      <c r="L42" s="380"/>
      <c r="M42" s="380"/>
      <c r="N42" s="380"/>
      <c r="O42" s="380"/>
      <c r="P42" s="380"/>
      <c r="Q42" s="380"/>
      <c r="R42" s="380"/>
      <c r="S42" s="380"/>
      <c r="T42" s="380"/>
    </row>
    <row r="43" spans="1:20" ht="16.5">
      <c r="A43" s="380"/>
      <c r="B43" s="380"/>
      <c r="C43" s="384"/>
      <c r="D43" s="384"/>
      <c r="E43" s="384"/>
      <c r="F43" s="384"/>
      <c r="G43" s="384"/>
      <c r="H43" s="384"/>
      <c r="I43" s="380"/>
      <c r="J43" s="380"/>
      <c r="K43" s="380"/>
      <c r="L43" s="380"/>
      <c r="M43" s="380"/>
      <c r="N43" s="380"/>
      <c r="O43" s="380"/>
      <c r="P43" s="380"/>
      <c r="Q43" s="380"/>
      <c r="R43" s="380"/>
      <c r="S43" s="380"/>
      <c r="T43" s="380"/>
    </row>
    <row r="44" spans="1:20" ht="16.5">
      <c r="A44" s="380"/>
      <c r="B44" s="380"/>
      <c r="C44" s="384"/>
      <c r="D44" s="384"/>
      <c r="E44" s="384"/>
      <c r="F44" s="384"/>
      <c r="G44" s="384"/>
      <c r="H44" s="384"/>
      <c r="I44" s="380"/>
      <c r="J44" s="380"/>
      <c r="K44" s="380"/>
      <c r="L44" s="380"/>
      <c r="M44" s="380"/>
      <c r="N44" s="380"/>
      <c r="O44" s="380"/>
      <c r="P44" s="380"/>
      <c r="Q44" s="380"/>
      <c r="R44" s="380"/>
      <c r="S44" s="380"/>
      <c r="T44" s="380"/>
    </row>
    <row r="45" spans="1:20" ht="16.5">
      <c r="A45" s="380"/>
      <c r="B45" s="380"/>
      <c r="C45" s="380"/>
      <c r="D45" s="380"/>
      <c r="E45" s="380"/>
      <c r="F45" s="380"/>
      <c r="G45" s="380"/>
      <c r="H45" s="380"/>
      <c r="I45" s="380"/>
      <c r="J45" s="380"/>
      <c r="K45" s="380"/>
      <c r="L45" s="380"/>
      <c r="M45" s="380"/>
      <c r="N45" s="380"/>
      <c r="O45" s="380"/>
      <c r="P45" s="380"/>
      <c r="Q45" s="380"/>
      <c r="R45" s="380"/>
      <c r="S45" s="380"/>
      <c r="T45" s="380"/>
    </row>
    <row r="46" spans="1:20" ht="16.5">
      <c r="A46" s="380"/>
      <c r="B46" s="380"/>
      <c r="C46" s="380"/>
      <c r="D46" s="380"/>
      <c r="E46" s="380"/>
      <c r="F46" s="380"/>
      <c r="G46" s="380"/>
      <c r="H46" s="380"/>
      <c r="I46" s="380"/>
      <c r="J46" s="380"/>
      <c r="K46" s="380"/>
      <c r="L46" s="380"/>
      <c r="M46" s="380"/>
      <c r="N46" s="380"/>
      <c r="O46" s="380"/>
      <c r="P46" s="380"/>
      <c r="Q46" s="380"/>
      <c r="R46" s="380"/>
      <c r="S46" s="380"/>
      <c r="T46" s="380"/>
    </row>
    <row r="47" spans="1:20" ht="16.5">
      <c r="A47" s="380"/>
      <c r="B47" s="380"/>
      <c r="C47" s="380"/>
      <c r="D47" s="380"/>
      <c r="E47" s="380"/>
      <c r="F47" s="380"/>
      <c r="G47" s="380"/>
      <c r="H47" s="380"/>
      <c r="I47" s="380"/>
      <c r="J47" s="380"/>
      <c r="K47" s="380"/>
      <c r="L47" s="380"/>
      <c r="M47" s="380"/>
      <c r="N47" s="380"/>
      <c r="O47" s="380"/>
      <c r="P47" s="380"/>
      <c r="Q47" s="380"/>
      <c r="R47" s="380"/>
      <c r="S47" s="380"/>
      <c r="T47" s="380"/>
    </row>
  </sheetData>
  <sheetProtection/>
  <mergeCells count="11">
    <mergeCell ref="L5:L6"/>
    <mergeCell ref="M5:M6"/>
    <mergeCell ref="A35:F35"/>
    <mergeCell ref="A2:H2"/>
    <mergeCell ref="I2:T2"/>
    <mergeCell ref="N5:P5"/>
    <mergeCell ref="B5:F6"/>
    <mergeCell ref="H5:H6"/>
    <mergeCell ref="I5:I6"/>
    <mergeCell ref="J5:J6"/>
    <mergeCell ref="K5:K6"/>
  </mergeCells>
  <printOptions/>
  <pageMargins left="0.5118110236220472" right="0.7480314960629921" top="0.984251968503937" bottom="2.677165354330709" header="0" footer="0"/>
  <pageSetup fitToWidth="2" horizontalDpi="600" verticalDpi="600" orientation="landscape" scale="60" r:id="rId3"/>
  <colBreaks count="1" manualBreakCount="1">
    <brk id="8"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4:BE104"/>
  <sheetViews>
    <sheetView zoomScale="60" zoomScaleNormal="60" zoomScalePageLayoutView="0" workbookViewId="0" topLeftCell="A1">
      <pane xSplit="1" ySplit="9" topLeftCell="G31" activePane="bottomRight" state="frozen"/>
      <selection pane="topLeft" activeCell="A1" sqref="A1"/>
      <selection pane="topRight" activeCell="B1" sqref="B1"/>
      <selection pane="bottomLeft" activeCell="A10" sqref="A10"/>
      <selection pane="bottomRight" activeCell="AB34" sqref="AB34"/>
    </sheetView>
  </sheetViews>
  <sheetFormatPr defaultColWidth="11.421875" defaultRowHeight="12.75"/>
  <cols>
    <col min="1" max="1" width="48.28125" style="0" customWidth="1"/>
    <col min="2" max="2" width="31.00390625" style="0" customWidth="1"/>
    <col min="3" max="3" width="8.28125" style="0" customWidth="1"/>
    <col min="4" max="4" width="11.57421875" style="0" customWidth="1"/>
    <col min="5" max="5" width="12.28125" style="0" customWidth="1"/>
    <col min="6" max="6" width="9.5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9.57421875" style="0" customWidth="1"/>
    <col min="16" max="16" width="18.57421875" style="0" customWidth="1"/>
    <col min="17" max="17" width="16.7109375" style="0" customWidth="1"/>
    <col min="18" max="18" width="14.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hidden="1" customWidth="1"/>
    <col min="27" max="27" width="16.00390625" style="0" hidden="1" customWidth="1"/>
    <col min="28" max="28" width="16.140625" style="0" customWidth="1"/>
    <col min="29" max="29" width="15.7109375" style="0" customWidth="1"/>
    <col min="30" max="30" width="17.28125" style="0" customWidth="1"/>
  </cols>
  <sheetData>
    <row r="4" spans="3:26" ht="18">
      <c r="C4" s="771" t="s">
        <v>86</v>
      </c>
      <c r="D4" s="771"/>
      <c r="E4" s="771"/>
      <c r="F4" s="771"/>
      <c r="G4" s="771"/>
      <c r="H4" s="771"/>
      <c r="I4" s="771"/>
      <c r="J4" s="771"/>
      <c r="K4" s="771"/>
      <c r="L4" s="771"/>
      <c r="M4" s="771"/>
      <c r="N4" s="771"/>
      <c r="O4" s="771"/>
      <c r="P4" s="771" t="s">
        <v>86</v>
      </c>
      <c r="Q4" s="771"/>
      <c r="R4" s="771"/>
      <c r="S4" s="771"/>
      <c r="T4" s="771"/>
      <c r="U4" s="771"/>
      <c r="V4" s="771"/>
      <c r="W4" s="771"/>
      <c r="X4" s="771"/>
      <c r="Y4" s="771"/>
      <c r="Z4" s="771"/>
    </row>
    <row r="5" spans="1:29" ht="18">
      <c r="A5" s="411"/>
      <c r="B5" s="411"/>
      <c r="C5" s="771" t="s">
        <v>195</v>
      </c>
      <c r="D5" s="771"/>
      <c r="E5" s="771"/>
      <c r="F5" s="771"/>
      <c r="G5" s="771"/>
      <c r="H5" s="771"/>
      <c r="I5" s="771"/>
      <c r="J5" s="771"/>
      <c r="K5" s="771"/>
      <c r="L5" s="771"/>
      <c r="M5" s="771"/>
      <c r="N5" s="771"/>
      <c r="O5" s="771"/>
      <c r="P5" s="771" t="s">
        <v>195</v>
      </c>
      <c r="Q5" s="771"/>
      <c r="R5" s="771"/>
      <c r="S5" s="771"/>
      <c r="T5" s="771"/>
      <c r="U5" s="771"/>
      <c r="V5" s="771"/>
      <c r="W5" s="771"/>
      <c r="X5" s="771"/>
      <c r="Y5" s="771"/>
      <c r="Z5" s="771"/>
      <c r="AA5" s="412"/>
      <c r="AB5" s="412"/>
      <c r="AC5" s="412"/>
    </row>
    <row r="6" spans="1:29" ht="18">
      <c r="A6" s="411"/>
      <c r="C6" s="771" t="s">
        <v>435</v>
      </c>
      <c r="D6" s="771"/>
      <c r="E6" s="771"/>
      <c r="F6" s="771"/>
      <c r="G6" s="771"/>
      <c r="H6" s="771"/>
      <c r="I6" s="771"/>
      <c r="J6" s="771"/>
      <c r="K6" s="771"/>
      <c r="L6" s="771"/>
      <c r="M6" s="771"/>
      <c r="N6" s="771"/>
      <c r="O6" s="771"/>
      <c r="P6" s="771" t="s">
        <v>435</v>
      </c>
      <c r="Q6" s="771"/>
      <c r="R6" s="771"/>
      <c r="S6" s="771"/>
      <c r="T6" s="771"/>
      <c r="U6" s="771"/>
      <c r="V6" s="771"/>
      <c r="W6" s="771"/>
      <c r="X6" s="771"/>
      <c r="Y6" s="771"/>
      <c r="Z6" s="771"/>
      <c r="AA6" s="412"/>
      <c r="AB6" s="412"/>
      <c r="AC6" s="412"/>
    </row>
    <row r="7" spans="1:29" ht="18.75" thickBot="1">
      <c r="A7" s="411"/>
      <c r="B7" s="376" t="s">
        <v>448</v>
      </c>
      <c r="C7" s="558">
        <v>0.0767</v>
      </c>
      <c r="D7" s="376" t="s">
        <v>450</v>
      </c>
      <c r="E7" s="525">
        <f>461500*(1+C7)+103</f>
        <v>497000.05</v>
      </c>
      <c r="F7" s="412"/>
      <c r="G7" s="412"/>
      <c r="H7" s="412"/>
      <c r="I7" s="412"/>
      <c r="J7" s="412"/>
      <c r="K7" s="412"/>
      <c r="L7" s="412"/>
      <c r="M7" s="412"/>
      <c r="N7" s="412"/>
      <c r="O7" s="412"/>
      <c r="P7" s="412"/>
      <c r="Q7" s="412"/>
      <c r="R7" s="412"/>
      <c r="S7" s="412"/>
      <c r="T7" s="412"/>
      <c r="U7" s="412"/>
      <c r="V7" s="412"/>
      <c r="W7" s="412"/>
      <c r="X7" s="412"/>
      <c r="Y7" s="412"/>
      <c r="Z7" s="412"/>
      <c r="AA7" s="412"/>
      <c r="AB7" s="412"/>
      <c r="AC7" s="412"/>
    </row>
    <row r="8" spans="1:29" ht="16.5" customHeight="1" thickBot="1">
      <c r="A8" s="411"/>
      <c r="B8" s="376" t="s">
        <v>449</v>
      </c>
      <c r="C8" s="559">
        <v>0.0767</v>
      </c>
      <c r="D8" s="376" t="s">
        <v>523</v>
      </c>
      <c r="E8" s="525">
        <v>59300</v>
      </c>
      <c r="F8" s="411"/>
      <c r="G8" s="411"/>
      <c r="H8" s="411"/>
      <c r="I8" s="411"/>
      <c r="J8" s="411"/>
      <c r="K8" s="411"/>
      <c r="L8" s="413"/>
      <c r="M8" s="413"/>
      <c r="N8" s="413"/>
      <c r="O8" s="413"/>
      <c r="P8" s="774" t="s">
        <v>196</v>
      </c>
      <c r="Q8" s="775"/>
      <c r="R8" s="776"/>
      <c r="S8" s="779" t="s">
        <v>531</v>
      </c>
      <c r="T8" s="414"/>
      <c r="U8" s="772" t="s">
        <v>529</v>
      </c>
      <c r="V8" s="414"/>
      <c r="W8" s="414"/>
      <c r="X8" s="772" t="s">
        <v>530</v>
      </c>
      <c r="Y8" s="415"/>
      <c r="Z8" s="411"/>
      <c r="AA8" s="411"/>
      <c r="AB8" s="411"/>
      <c r="AC8" s="411"/>
    </row>
    <row r="9" spans="1:29" ht="39" thickBot="1">
      <c r="A9" s="478"/>
      <c r="B9" s="478" t="s">
        <v>405</v>
      </c>
      <c r="C9" s="471" t="s">
        <v>197</v>
      </c>
      <c r="D9" s="471" t="s">
        <v>363</v>
      </c>
      <c r="E9" s="471" t="s">
        <v>364</v>
      </c>
      <c r="F9" s="471" t="s">
        <v>365</v>
      </c>
      <c r="G9" s="471" t="s">
        <v>210</v>
      </c>
      <c r="H9" s="471" t="s">
        <v>198</v>
      </c>
      <c r="I9" s="471" t="s">
        <v>199</v>
      </c>
      <c r="J9" s="471" t="s">
        <v>200</v>
      </c>
      <c r="K9" s="471" t="s">
        <v>536</v>
      </c>
      <c r="L9" s="471" t="s">
        <v>535</v>
      </c>
      <c r="M9" s="471" t="s">
        <v>534</v>
      </c>
      <c r="N9" s="471" t="s">
        <v>533</v>
      </c>
      <c r="O9" s="471" t="s">
        <v>532</v>
      </c>
      <c r="P9" s="475" t="s">
        <v>342</v>
      </c>
      <c r="Q9" s="476" t="s">
        <v>422</v>
      </c>
      <c r="R9" s="477" t="s">
        <v>201</v>
      </c>
      <c r="S9" s="780"/>
      <c r="T9" s="474" t="s">
        <v>404</v>
      </c>
      <c r="U9" s="773"/>
      <c r="V9" s="474" t="s">
        <v>202</v>
      </c>
      <c r="W9" s="473" t="s">
        <v>203</v>
      </c>
      <c r="X9" s="773"/>
      <c r="Y9" s="472" t="s">
        <v>528</v>
      </c>
      <c r="Z9" s="471" t="s">
        <v>211</v>
      </c>
      <c r="AA9" s="416" t="s">
        <v>212</v>
      </c>
      <c r="AB9" s="411"/>
      <c r="AC9" s="411"/>
    </row>
    <row r="10" spans="1:32" ht="12.75">
      <c r="A10" s="414"/>
      <c r="B10" s="414"/>
      <c r="C10" s="417"/>
      <c r="D10" s="417"/>
      <c r="E10" s="417"/>
      <c r="F10" s="417"/>
      <c r="G10" s="417"/>
      <c r="H10" s="417"/>
      <c r="I10" s="417"/>
      <c r="J10" s="417"/>
      <c r="K10" s="417"/>
      <c r="L10" s="417"/>
      <c r="M10" s="417"/>
      <c r="N10" s="417"/>
      <c r="O10" s="417"/>
      <c r="P10" s="418"/>
      <c r="Q10" s="419"/>
      <c r="R10" s="419"/>
      <c r="S10" s="420"/>
      <c r="T10" s="419"/>
      <c r="U10" s="420"/>
      <c r="V10" s="419"/>
      <c r="W10" s="419"/>
      <c r="X10" s="420"/>
      <c r="Y10" s="417"/>
      <c r="Z10" s="417"/>
      <c r="AA10" s="417"/>
      <c r="AB10" s="413"/>
      <c r="AC10" s="413"/>
      <c r="AD10" s="377"/>
      <c r="AE10" s="377"/>
      <c r="AF10" s="377"/>
    </row>
    <row r="11" spans="1:33" ht="13.5" customHeight="1">
      <c r="A11" s="453" t="s">
        <v>266</v>
      </c>
      <c r="B11" s="453" t="s">
        <v>405</v>
      </c>
      <c r="C11" s="417"/>
      <c r="D11" s="417"/>
      <c r="E11" s="417"/>
      <c r="F11" s="417"/>
      <c r="G11" s="417"/>
      <c r="H11" s="417"/>
      <c r="I11" s="417"/>
      <c r="J11" s="417"/>
      <c r="K11" s="417"/>
      <c r="L11" s="417"/>
      <c r="M11" s="417"/>
      <c r="N11" s="417"/>
      <c r="O11" s="417"/>
      <c r="P11" s="418"/>
      <c r="Q11" s="419"/>
      <c r="R11" s="419"/>
      <c r="S11" s="420"/>
      <c r="T11" s="419"/>
      <c r="U11" s="420"/>
      <c r="V11" s="419"/>
      <c r="W11" s="419"/>
      <c r="X11" s="420"/>
      <c r="Y11" s="456">
        <f>+Y12</f>
        <v>39960990.89890255</v>
      </c>
      <c r="Z11" s="417"/>
      <c r="AA11" s="417"/>
      <c r="AB11" s="415"/>
      <c r="AC11" s="415"/>
      <c r="AD11" s="405"/>
      <c r="AE11" s="405"/>
      <c r="AF11" s="405"/>
      <c r="AG11" s="405"/>
    </row>
    <row r="12" spans="1:33" ht="12.75">
      <c r="A12" s="556" t="s">
        <v>204</v>
      </c>
      <c r="B12" s="454"/>
      <c r="C12" s="423">
        <f>SUM(C13:C20)</f>
        <v>9</v>
      </c>
      <c r="D12" s="423"/>
      <c r="E12" s="423"/>
      <c r="F12" s="423"/>
      <c r="G12" s="423"/>
      <c r="H12" s="455">
        <f aca="true" t="shared" si="0" ref="H12:Z12">SUM(H13:H20)</f>
        <v>8824511.7016</v>
      </c>
      <c r="I12" s="455">
        <f t="shared" si="0"/>
        <v>177900</v>
      </c>
      <c r="J12" s="455">
        <f t="shared" si="0"/>
        <v>9002411.7016</v>
      </c>
      <c r="K12" s="455">
        <f t="shared" si="0"/>
        <v>27007235.1048</v>
      </c>
      <c r="L12" s="455">
        <f t="shared" si="0"/>
        <v>2064227.90665</v>
      </c>
      <c r="M12" s="455">
        <f t="shared" si="0"/>
        <v>247707.34879800002</v>
      </c>
      <c r="N12" s="455">
        <f t="shared" si="0"/>
        <v>2064227.90665</v>
      </c>
      <c r="O12" s="455">
        <f t="shared" si="0"/>
        <v>1032113.953325</v>
      </c>
      <c r="P12" s="455">
        <f t="shared" si="0"/>
        <v>728960.9925109999</v>
      </c>
      <c r="Q12" s="455">
        <f t="shared" si="0"/>
        <v>969481.3951920001</v>
      </c>
      <c r="R12" s="455">
        <f t="shared" si="0"/>
        <v>44766.78095185199</v>
      </c>
      <c r="S12" s="455">
        <f t="shared" si="0"/>
        <v>5364145.539497554</v>
      </c>
      <c r="T12" s="455">
        <f t="shared" si="0"/>
        <v>323160.465064</v>
      </c>
      <c r="U12" s="455">
        <f t="shared" si="0"/>
        <v>969481.3951920002</v>
      </c>
      <c r="V12" s="455">
        <f t="shared" si="0"/>
        <v>242370.34879800002</v>
      </c>
      <c r="W12" s="455">
        <f t="shared" si="0"/>
        <v>161580.232532</v>
      </c>
      <c r="X12" s="455">
        <f t="shared" si="0"/>
        <v>1211851.74399</v>
      </c>
      <c r="Y12" s="455">
        <f t="shared" si="0"/>
        <v>39960990.89890255</v>
      </c>
      <c r="Z12" s="455">
        <f t="shared" si="0"/>
        <v>3330082.5749085466</v>
      </c>
      <c r="AA12" s="417"/>
      <c r="AB12" s="415"/>
      <c r="AC12" s="415"/>
      <c r="AD12" s="405"/>
      <c r="AE12" s="405"/>
      <c r="AF12" s="405"/>
      <c r="AG12" s="405"/>
    </row>
    <row r="13" spans="1:33" ht="14.25">
      <c r="A13" s="514" t="s">
        <v>436</v>
      </c>
      <c r="B13" s="514" t="s">
        <v>410</v>
      </c>
      <c r="C13" s="422">
        <v>1</v>
      </c>
      <c r="D13" s="470">
        <v>39904</v>
      </c>
      <c r="E13" s="568">
        <v>39994</v>
      </c>
      <c r="F13" s="469">
        <f aca="true" t="shared" si="1" ref="F13:F20">DAYS360(D13,E13,0)+1</f>
        <v>90</v>
      </c>
      <c r="G13" s="422"/>
      <c r="H13" s="424">
        <f>2549521*(1+$C$8)</f>
        <v>2745069.2607</v>
      </c>
      <c r="I13" s="424">
        <v>0</v>
      </c>
      <c r="J13" s="424">
        <f aca="true" t="shared" si="2" ref="J13:J20">+I13+H13</f>
        <v>2745069.2607</v>
      </c>
      <c r="K13" s="424">
        <f aca="true" t="shared" si="3" ref="K13:K20">+J13/30*F13</f>
        <v>8235207.7821</v>
      </c>
      <c r="L13" s="424">
        <f>+J13*F13/360</f>
        <v>686267.315175</v>
      </c>
      <c r="M13" s="424">
        <f aca="true" t="shared" si="4" ref="M13:M19">+L13*12%</f>
        <v>82352.077821</v>
      </c>
      <c r="N13" s="424">
        <f aca="true" t="shared" si="5" ref="N13:N19">+L13</f>
        <v>686267.315175</v>
      </c>
      <c r="O13" s="424">
        <f>+J13*F13/720</f>
        <v>343133.6575875</v>
      </c>
      <c r="P13" s="424">
        <f aca="true" t="shared" si="6" ref="P13:P19">+H13*0.085</f>
        <v>233330.8871595</v>
      </c>
      <c r="Q13" s="424">
        <f aca="true" t="shared" si="7" ref="Q13:Q19">+H13*12%</f>
        <v>329408.311284</v>
      </c>
      <c r="R13" s="424">
        <f aca="true" t="shared" si="8" ref="R13:R19">+H13*0.522%</f>
        <v>14329.261540853999</v>
      </c>
      <c r="S13" s="424">
        <f aca="true" t="shared" si="9" ref="S13:S19">+((P13+Q13+R13)/30*F13)</f>
        <v>1731205.379953062</v>
      </c>
      <c r="T13" s="424">
        <f aca="true" t="shared" si="10" ref="T13:T19">+H13*0.04</f>
        <v>109802.770428</v>
      </c>
      <c r="U13" s="424">
        <f aca="true" t="shared" si="11" ref="U13:U19">+(T13/30)*F13</f>
        <v>329408.311284</v>
      </c>
      <c r="V13" s="424">
        <f aca="true" t="shared" si="12" ref="V13:V19">+H13*0.03</f>
        <v>82352.077821</v>
      </c>
      <c r="W13" s="424">
        <f aca="true" t="shared" si="13" ref="W13:W19">+H13*0.02</f>
        <v>54901.385214</v>
      </c>
      <c r="X13" s="424">
        <f aca="true" t="shared" si="14" ref="X13:X19">+((V13+W13)/30*F13)</f>
        <v>411760.38910499995</v>
      </c>
      <c r="Y13" s="424">
        <f aca="true" t="shared" si="15" ref="Y13:Y19">K13+L13+M13+N13+O13+S13+U13+X13</f>
        <v>12505602.228200562</v>
      </c>
      <c r="Z13" s="424">
        <f aca="true" t="shared" si="16" ref="Z13:Z20">+Y13/12</f>
        <v>1042133.5190167135</v>
      </c>
      <c r="AA13" s="417"/>
      <c r="AB13" s="415"/>
      <c r="AC13" s="415"/>
      <c r="AD13" s="405"/>
      <c r="AE13" s="405"/>
      <c r="AF13" s="405"/>
      <c r="AG13" s="405"/>
    </row>
    <row r="14" spans="1:33" ht="14.25">
      <c r="A14" s="421" t="s">
        <v>418</v>
      </c>
      <c r="B14" s="421" t="s">
        <v>406</v>
      </c>
      <c r="C14" s="422">
        <v>1</v>
      </c>
      <c r="D14" s="470">
        <v>39904</v>
      </c>
      <c r="E14" s="568">
        <v>39994</v>
      </c>
      <c r="F14" s="469">
        <f t="shared" si="1"/>
        <v>90</v>
      </c>
      <c r="G14" s="422"/>
      <c r="H14" s="516">
        <f>1144212*(1+$C$8)</f>
        <v>1231973.0604</v>
      </c>
      <c r="I14" s="424">
        <v>0</v>
      </c>
      <c r="J14" s="424">
        <f t="shared" si="2"/>
        <v>1231973.0604</v>
      </c>
      <c r="K14" s="424">
        <f t="shared" si="3"/>
        <v>3695919.1812</v>
      </c>
      <c r="L14" s="424">
        <f aca="true" t="shared" si="17" ref="L14:L19">+J14*F14/360</f>
        <v>307993.2651</v>
      </c>
      <c r="M14" s="424">
        <f t="shared" si="4"/>
        <v>36959.191812</v>
      </c>
      <c r="N14" s="424">
        <f t="shared" si="5"/>
        <v>307993.2651</v>
      </c>
      <c r="O14" s="424">
        <f aca="true" t="shared" si="18" ref="O14:O19">+J14*F14/720</f>
        <v>153996.63255</v>
      </c>
      <c r="P14" s="424">
        <f t="shared" si="6"/>
        <v>104717.71013400001</v>
      </c>
      <c r="Q14" s="424">
        <f t="shared" si="7"/>
        <v>147836.767248</v>
      </c>
      <c r="R14" s="424">
        <f t="shared" si="8"/>
        <v>6430.899375288001</v>
      </c>
      <c r="S14" s="424">
        <f t="shared" si="9"/>
        <v>776956.1302718639</v>
      </c>
      <c r="T14" s="424">
        <f t="shared" si="10"/>
        <v>49278.922416</v>
      </c>
      <c r="U14" s="424">
        <f t="shared" si="11"/>
        <v>147836.76724800002</v>
      </c>
      <c r="V14" s="424">
        <f t="shared" si="12"/>
        <v>36959.191812</v>
      </c>
      <c r="W14" s="424">
        <f t="shared" si="13"/>
        <v>24639.461208</v>
      </c>
      <c r="X14" s="424">
        <f t="shared" si="14"/>
        <v>184795.95906</v>
      </c>
      <c r="Y14" s="424">
        <f t="shared" si="15"/>
        <v>5612450.392341864</v>
      </c>
      <c r="Z14" s="424">
        <f t="shared" si="16"/>
        <v>467704.19936182204</v>
      </c>
      <c r="AA14" s="417"/>
      <c r="AB14" s="415"/>
      <c r="AC14" s="415"/>
      <c r="AD14" s="405"/>
      <c r="AE14" s="405"/>
      <c r="AF14" s="405"/>
      <c r="AG14" s="405"/>
    </row>
    <row r="15" spans="1:33" ht="14.25">
      <c r="A15" s="535" t="s">
        <v>205</v>
      </c>
      <c r="B15" s="421" t="s">
        <v>406</v>
      </c>
      <c r="C15" s="422">
        <v>1</v>
      </c>
      <c r="D15" s="470">
        <v>39904</v>
      </c>
      <c r="E15" s="568">
        <v>39994</v>
      </c>
      <c r="F15" s="469">
        <f t="shared" si="1"/>
        <v>90</v>
      </c>
      <c r="G15" s="422"/>
      <c r="H15" s="516">
        <f>1144212*(1+$C$8)</f>
        <v>1231973.0604</v>
      </c>
      <c r="I15" s="424">
        <v>0</v>
      </c>
      <c r="J15" s="424">
        <f t="shared" si="2"/>
        <v>1231973.0604</v>
      </c>
      <c r="K15" s="424">
        <f>+J15/30*F15</f>
        <v>3695919.1812</v>
      </c>
      <c r="L15" s="424">
        <f t="shared" si="17"/>
        <v>307993.2651</v>
      </c>
      <c r="M15" s="424">
        <f t="shared" si="4"/>
        <v>36959.191812</v>
      </c>
      <c r="N15" s="424">
        <f>+L15</f>
        <v>307993.2651</v>
      </c>
      <c r="O15" s="424">
        <f t="shared" si="18"/>
        <v>153996.63255</v>
      </c>
      <c r="P15" s="424">
        <f>+H15*0.085</f>
        <v>104717.71013400001</v>
      </c>
      <c r="Q15" s="424">
        <f t="shared" si="7"/>
        <v>147836.767248</v>
      </c>
      <c r="R15" s="424">
        <f t="shared" si="8"/>
        <v>6430.899375288001</v>
      </c>
      <c r="S15" s="424">
        <f>+((P15+Q15+R15)/30*F15)</f>
        <v>776956.1302718639</v>
      </c>
      <c r="T15" s="424">
        <f t="shared" si="10"/>
        <v>49278.922416</v>
      </c>
      <c r="U15" s="424">
        <f>+(T15/30)*F15</f>
        <v>147836.76724800002</v>
      </c>
      <c r="V15" s="424">
        <f t="shared" si="12"/>
        <v>36959.191812</v>
      </c>
      <c r="W15" s="424">
        <f t="shared" si="13"/>
        <v>24639.461208</v>
      </c>
      <c r="X15" s="424">
        <f>+((V15+W15)/30*F15)</f>
        <v>184795.95906</v>
      </c>
      <c r="Y15" s="424">
        <f t="shared" si="15"/>
        <v>5612450.392341864</v>
      </c>
      <c r="Z15" s="424">
        <f t="shared" si="16"/>
        <v>467704.19936182204</v>
      </c>
      <c r="AA15" s="417"/>
      <c r="AB15" s="415"/>
      <c r="AC15" s="415"/>
      <c r="AD15" s="405"/>
      <c r="AE15" s="405"/>
      <c r="AF15" s="405"/>
      <c r="AG15" s="405"/>
    </row>
    <row r="16" spans="1:33" ht="14.25">
      <c r="A16" s="514" t="s">
        <v>451</v>
      </c>
      <c r="B16" s="514" t="s">
        <v>416</v>
      </c>
      <c r="C16" s="422">
        <v>1</v>
      </c>
      <c r="D16" s="470">
        <v>39904</v>
      </c>
      <c r="E16" s="568">
        <v>39994</v>
      </c>
      <c r="F16" s="469">
        <f t="shared" si="1"/>
        <v>90</v>
      </c>
      <c r="G16" s="422"/>
      <c r="H16" s="519">
        <f>991724*(1+$C$8)</f>
        <v>1067789.2308</v>
      </c>
      <c r="I16" s="424">
        <v>0</v>
      </c>
      <c r="J16" s="424">
        <f t="shared" si="2"/>
        <v>1067789.2308</v>
      </c>
      <c r="K16" s="424">
        <f>+J16/30*F16</f>
        <v>3203367.6924</v>
      </c>
      <c r="L16" s="424">
        <f t="shared" si="17"/>
        <v>266947.3077</v>
      </c>
      <c r="M16" s="424">
        <f t="shared" si="4"/>
        <v>32033.676924</v>
      </c>
      <c r="N16" s="424">
        <f>+L16</f>
        <v>266947.3077</v>
      </c>
      <c r="O16" s="424">
        <f t="shared" si="18"/>
        <v>133473.65385</v>
      </c>
      <c r="P16" s="424">
        <f>+H16*0.085</f>
        <v>90762.08461800001</v>
      </c>
      <c r="Q16" s="424">
        <f t="shared" si="7"/>
        <v>128134.707696</v>
      </c>
      <c r="R16" s="424">
        <f>+H16*0.522%</f>
        <v>5573.859784776</v>
      </c>
      <c r="S16" s="424">
        <f>+((P16+Q16+R16)/30*F16)</f>
        <v>673411.9562963281</v>
      </c>
      <c r="T16" s="424">
        <f t="shared" si="10"/>
        <v>42711.569232</v>
      </c>
      <c r="U16" s="424">
        <f>+(T16/30)*F16</f>
        <v>128134.707696</v>
      </c>
      <c r="V16" s="424">
        <f t="shared" si="12"/>
        <v>32033.676924</v>
      </c>
      <c r="W16" s="424">
        <f t="shared" si="13"/>
        <v>21355.784616</v>
      </c>
      <c r="X16" s="424">
        <f>+((V16+W16)/30*F16)</f>
        <v>160168.38462000003</v>
      </c>
      <c r="Y16" s="424">
        <f t="shared" si="15"/>
        <v>4864484.687186328</v>
      </c>
      <c r="Z16" s="424">
        <f t="shared" si="16"/>
        <v>405373.723932194</v>
      </c>
      <c r="AA16" s="417"/>
      <c r="AB16" s="415"/>
      <c r="AC16" s="415"/>
      <c r="AD16" s="405"/>
      <c r="AE16" s="405"/>
      <c r="AF16" s="405"/>
      <c r="AG16" s="405"/>
    </row>
    <row r="17" spans="1:33" ht="14.25">
      <c r="A17" s="421" t="s">
        <v>143</v>
      </c>
      <c r="B17" s="421" t="s">
        <v>407</v>
      </c>
      <c r="C17" s="422">
        <v>1</v>
      </c>
      <c r="D17" s="470">
        <v>39904</v>
      </c>
      <c r="E17" s="568">
        <v>39994</v>
      </c>
      <c r="F17" s="469">
        <f t="shared" si="1"/>
        <v>90</v>
      </c>
      <c r="G17" s="422"/>
      <c r="H17" s="424">
        <f>643963*(1+$C$8)</f>
        <v>693354.9621</v>
      </c>
      <c r="I17" s="424">
        <f>+E8</f>
        <v>59300</v>
      </c>
      <c r="J17" s="424">
        <f t="shared" si="2"/>
        <v>752654.9621</v>
      </c>
      <c r="K17" s="424">
        <f t="shared" si="3"/>
        <v>2257964.8863000004</v>
      </c>
      <c r="L17" s="424">
        <f t="shared" si="17"/>
        <v>188163.740525</v>
      </c>
      <c r="M17" s="424">
        <f t="shared" si="4"/>
        <v>22579.648863</v>
      </c>
      <c r="N17" s="424">
        <f t="shared" si="5"/>
        <v>188163.740525</v>
      </c>
      <c r="O17" s="424">
        <f t="shared" si="18"/>
        <v>94081.8702625</v>
      </c>
      <c r="P17" s="424">
        <f t="shared" si="6"/>
        <v>58935.17177850001</v>
      </c>
      <c r="Q17" s="424">
        <f t="shared" si="7"/>
        <v>83202.595452</v>
      </c>
      <c r="R17" s="424">
        <f t="shared" si="8"/>
        <v>3619.312902162</v>
      </c>
      <c r="S17" s="424">
        <f t="shared" si="9"/>
        <v>437271.24039798597</v>
      </c>
      <c r="T17" s="424">
        <f t="shared" si="10"/>
        <v>27734.198484</v>
      </c>
      <c r="U17" s="424">
        <f t="shared" si="11"/>
        <v>83202.595452</v>
      </c>
      <c r="V17" s="424">
        <f t="shared" si="12"/>
        <v>20800.648863</v>
      </c>
      <c r="W17" s="424">
        <f t="shared" si="13"/>
        <v>13867.099242</v>
      </c>
      <c r="X17" s="424">
        <f t="shared" si="14"/>
        <v>104003.244315</v>
      </c>
      <c r="Y17" s="424">
        <f t="shared" si="15"/>
        <v>3375430.9666404855</v>
      </c>
      <c r="Z17" s="424">
        <f t="shared" si="16"/>
        <v>281285.9138867071</v>
      </c>
      <c r="AA17" s="417"/>
      <c r="AB17" s="415"/>
      <c r="AC17" s="415"/>
      <c r="AD17" s="405"/>
      <c r="AE17" s="405"/>
      <c r="AF17" s="405"/>
      <c r="AG17" s="405"/>
    </row>
    <row r="18" spans="1:33" ht="14.25">
      <c r="A18" s="514" t="s">
        <v>494</v>
      </c>
      <c r="B18" s="514" t="s">
        <v>495</v>
      </c>
      <c r="C18" s="422">
        <v>1</v>
      </c>
      <c r="D18" s="470">
        <v>39904</v>
      </c>
      <c r="E18" s="568">
        <v>39994</v>
      </c>
      <c r="F18" s="469">
        <f t="shared" si="1"/>
        <v>90</v>
      </c>
      <c r="G18" s="422"/>
      <c r="H18" s="516">
        <f>568266*(1+C8)</f>
        <v>611852.0022</v>
      </c>
      <c r="I18" s="424">
        <f>+E8</f>
        <v>59300</v>
      </c>
      <c r="J18" s="424">
        <f>+I18+H18</f>
        <v>671152.0022</v>
      </c>
      <c r="K18" s="424">
        <f>+J18/30*F18</f>
        <v>2013456.0066</v>
      </c>
      <c r="L18" s="424">
        <f t="shared" si="17"/>
        <v>167788.00055</v>
      </c>
      <c r="M18" s="424">
        <f>+L18*12%</f>
        <v>20134.560066</v>
      </c>
      <c r="N18" s="424">
        <f>+L18</f>
        <v>167788.00055</v>
      </c>
      <c r="O18" s="424">
        <f t="shared" si="18"/>
        <v>83894.000275</v>
      </c>
      <c r="P18" s="424">
        <f>+H18*0.085</f>
        <v>52007.420187</v>
      </c>
      <c r="Q18" s="424">
        <f>+H18*12%</f>
        <v>73422.240264</v>
      </c>
      <c r="R18" s="424">
        <f>+H18*0.522%</f>
        <v>3193.867451484</v>
      </c>
      <c r="S18" s="424">
        <f>+((P18+Q18+R18)/30*F18)</f>
        <v>385870.58370745205</v>
      </c>
      <c r="T18" s="424">
        <f>+H18*0.04</f>
        <v>24474.080088</v>
      </c>
      <c r="U18" s="424">
        <f>+(T18/30)*F18</f>
        <v>73422.240264</v>
      </c>
      <c r="V18" s="424">
        <f>+H18*0.03</f>
        <v>18355.560066</v>
      </c>
      <c r="W18" s="424">
        <f>+H18*0.02</f>
        <v>12237.040044</v>
      </c>
      <c r="X18" s="424">
        <f>+((V18+W18)/30*F18)</f>
        <v>91777.80033</v>
      </c>
      <c r="Y18" s="424">
        <f>K18+L18+M18+N18+O18+S18+U18+X18</f>
        <v>3004131.1923424522</v>
      </c>
      <c r="Z18" s="424">
        <f>+Y18/12</f>
        <v>250344.26602853768</v>
      </c>
      <c r="AA18" s="417"/>
      <c r="AB18" s="415"/>
      <c r="AC18" s="415"/>
      <c r="AD18" s="405"/>
      <c r="AE18" s="405"/>
      <c r="AF18" s="405"/>
      <c r="AG18" s="405"/>
    </row>
    <row r="19" spans="1:33" ht="14.25">
      <c r="A19" s="421" t="s">
        <v>127</v>
      </c>
      <c r="B19" s="421" t="s">
        <v>408</v>
      </c>
      <c r="C19" s="422">
        <v>1</v>
      </c>
      <c r="D19" s="470">
        <v>39904</v>
      </c>
      <c r="E19" s="568">
        <v>39994</v>
      </c>
      <c r="F19" s="469">
        <f t="shared" si="1"/>
        <v>90</v>
      </c>
      <c r="G19" s="422"/>
      <c r="H19" s="424">
        <f>+E7</f>
        <v>497000.05</v>
      </c>
      <c r="I19" s="424">
        <f>+E8</f>
        <v>59300</v>
      </c>
      <c r="J19" s="424">
        <f t="shared" si="2"/>
        <v>556300.05</v>
      </c>
      <c r="K19" s="424">
        <f t="shared" si="3"/>
        <v>1668900.1500000001</v>
      </c>
      <c r="L19" s="424">
        <f t="shared" si="17"/>
        <v>139075.0125</v>
      </c>
      <c r="M19" s="424">
        <f t="shared" si="4"/>
        <v>16689.001500000002</v>
      </c>
      <c r="N19" s="424">
        <f t="shared" si="5"/>
        <v>139075.0125</v>
      </c>
      <c r="O19" s="424">
        <f t="shared" si="18"/>
        <v>69537.50625</v>
      </c>
      <c r="P19" s="424">
        <f t="shared" si="6"/>
        <v>42245.004250000005</v>
      </c>
      <c r="Q19" s="424">
        <f t="shared" si="7"/>
        <v>59640.005999999994</v>
      </c>
      <c r="R19" s="424">
        <f t="shared" si="8"/>
        <v>2594.340261</v>
      </c>
      <c r="S19" s="424">
        <f t="shared" si="9"/>
        <v>313438.051533</v>
      </c>
      <c r="T19" s="424">
        <f t="shared" si="10"/>
        <v>19880.002</v>
      </c>
      <c r="U19" s="424">
        <f t="shared" si="11"/>
        <v>59640.006</v>
      </c>
      <c r="V19" s="424">
        <f t="shared" si="12"/>
        <v>14910.001499999998</v>
      </c>
      <c r="W19" s="424">
        <f t="shared" si="13"/>
        <v>9940.001</v>
      </c>
      <c r="X19" s="424">
        <f t="shared" si="14"/>
        <v>74550.00749999999</v>
      </c>
      <c r="Y19" s="424">
        <f t="shared" si="15"/>
        <v>2480904.747783</v>
      </c>
      <c r="Z19" s="424">
        <f t="shared" si="16"/>
        <v>206742.06231525002</v>
      </c>
      <c r="AA19" s="417"/>
      <c r="AB19" s="415"/>
      <c r="AC19" s="415"/>
      <c r="AD19" s="405"/>
      <c r="AE19" s="405"/>
      <c r="AF19" s="405"/>
      <c r="AG19" s="405"/>
    </row>
    <row r="20" spans="1:33" ht="14.25">
      <c r="A20" s="421" t="s">
        <v>23</v>
      </c>
      <c r="B20" s="421" t="s">
        <v>409</v>
      </c>
      <c r="C20" s="422">
        <v>2</v>
      </c>
      <c r="D20" s="470">
        <v>39904</v>
      </c>
      <c r="E20" s="568">
        <v>39994</v>
      </c>
      <c r="F20" s="469">
        <f t="shared" si="1"/>
        <v>90</v>
      </c>
      <c r="G20" s="424"/>
      <c r="H20" s="424">
        <f>+E7*75%*C20</f>
        <v>745500.075</v>
      </c>
      <c r="I20" s="424">
        <v>0</v>
      </c>
      <c r="J20" s="424">
        <f t="shared" si="2"/>
        <v>745500.075</v>
      </c>
      <c r="K20" s="424">
        <f t="shared" si="3"/>
        <v>2236500.225</v>
      </c>
      <c r="L20" s="424">
        <v>0</v>
      </c>
      <c r="M20" s="424">
        <v>0</v>
      </c>
      <c r="N20" s="424">
        <v>0</v>
      </c>
      <c r="O20" s="424">
        <v>0</v>
      </c>
      <c r="P20" s="424">
        <f>+H19*0.085</f>
        <v>42245.004250000005</v>
      </c>
      <c r="Q20" s="424"/>
      <c r="R20" s="424">
        <f>+H19*0.522%</f>
        <v>2594.340261</v>
      </c>
      <c r="S20" s="424">
        <f>+((P20+Q20+R20)/30*F20)*C20</f>
        <v>269036.067066</v>
      </c>
      <c r="T20" s="424">
        <v>0</v>
      </c>
      <c r="U20" s="424">
        <v>0</v>
      </c>
      <c r="V20" s="424">
        <v>0</v>
      </c>
      <c r="W20" s="424">
        <v>0</v>
      </c>
      <c r="X20" s="424">
        <v>0</v>
      </c>
      <c r="Y20" s="424">
        <f>+S20+K20</f>
        <v>2505536.292066</v>
      </c>
      <c r="Z20" s="424">
        <f t="shared" si="16"/>
        <v>208794.6910055</v>
      </c>
      <c r="AA20" s="417"/>
      <c r="AB20" s="415"/>
      <c r="AC20" s="415"/>
      <c r="AD20" s="405"/>
      <c r="AE20" s="405"/>
      <c r="AF20" s="405"/>
      <c r="AG20" s="405"/>
    </row>
    <row r="21" spans="1:33" ht="12.75">
      <c r="A21" s="432"/>
      <c r="B21" s="432"/>
      <c r="C21" s="433"/>
      <c r="D21" s="433"/>
      <c r="E21" s="433"/>
      <c r="F21" s="433"/>
      <c r="G21" s="434"/>
      <c r="H21" s="434"/>
      <c r="I21" s="434"/>
      <c r="J21" s="434"/>
      <c r="K21" s="434"/>
      <c r="L21" s="434"/>
      <c r="M21" s="434"/>
      <c r="N21" s="434"/>
      <c r="O21" s="434"/>
      <c r="P21" s="434"/>
      <c r="Q21" s="434"/>
      <c r="R21" s="434"/>
      <c r="S21" s="434"/>
      <c r="T21" s="434"/>
      <c r="U21" s="434"/>
      <c r="V21" s="434"/>
      <c r="W21" s="434"/>
      <c r="X21" s="434"/>
      <c r="Y21" s="434"/>
      <c r="Z21" s="434"/>
      <c r="AA21" s="417"/>
      <c r="AB21" s="415"/>
      <c r="AC21" s="415"/>
      <c r="AD21" s="405"/>
      <c r="AE21" s="405"/>
      <c r="AF21" s="405"/>
      <c r="AG21" s="405"/>
    </row>
    <row r="22" spans="1:33" ht="12.75">
      <c r="A22" s="432"/>
      <c r="B22" s="432"/>
      <c r="C22" s="433"/>
      <c r="D22" s="433"/>
      <c r="E22" s="433"/>
      <c r="F22" s="433"/>
      <c r="G22" s="434"/>
      <c r="H22" s="434"/>
      <c r="I22" s="434"/>
      <c r="J22" s="434"/>
      <c r="K22" s="434"/>
      <c r="L22" s="434"/>
      <c r="M22" s="434"/>
      <c r="N22" s="434"/>
      <c r="O22" s="434"/>
      <c r="P22" s="434"/>
      <c r="Q22" s="434"/>
      <c r="R22" s="434"/>
      <c r="S22" s="434"/>
      <c r="T22" s="434"/>
      <c r="U22" s="434"/>
      <c r="V22" s="434"/>
      <c r="W22" s="434"/>
      <c r="X22" s="434"/>
      <c r="Y22" s="434"/>
      <c r="Z22" s="434"/>
      <c r="AA22" s="417"/>
      <c r="AB22" s="415"/>
      <c r="AC22" s="415"/>
      <c r="AD22" s="405"/>
      <c r="AE22" s="405"/>
      <c r="AF22" s="405"/>
      <c r="AG22" s="405"/>
    </row>
    <row r="23" spans="1:33" ht="15.75">
      <c r="A23" s="453" t="s">
        <v>25</v>
      </c>
      <c r="B23" s="453" t="s">
        <v>405</v>
      </c>
      <c r="C23" s="417"/>
      <c r="D23" s="417"/>
      <c r="E23" s="417"/>
      <c r="F23" s="417"/>
      <c r="G23" s="417"/>
      <c r="H23" s="417"/>
      <c r="I23" s="417"/>
      <c r="J23" s="417"/>
      <c r="K23" s="417"/>
      <c r="L23" s="417"/>
      <c r="M23" s="417"/>
      <c r="N23" s="417"/>
      <c r="O23" s="417"/>
      <c r="P23" s="418"/>
      <c r="Q23" s="419"/>
      <c r="R23" s="419"/>
      <c r="S23" s="420"/>
      <c r="T23" s="419"/>
      <c r="U23" s="420"/>
      <c r="V23" s="419"/>
      <c r="W23" s="419"/>
      <c r="X23" s="420"/>
      <c r="Y23" s="456">
        <f>+Y24</f>
        <v>162691971.26904842</v>
      </c>
      <c r="Z23" s="417"/>
      <c r="AA23" s="417"/>
      <c r="AB23" s="415"/>
      <c r="AC23" s="426"/>
      <c r="AD23" s="405"/>
      <c r="AE23" s="405"/>
      <c r="AF23" s="405"/>
      <c r="AG23" s="405"/>
    </row>
    <row r="24" spans="1:33" ht="14.25">
      <c r="A24" s="550" t="s">
        <v>521</v>
      </c>
      <c r="B24" s="550"/>
      <c r="C24" s="553">
        <f>SUM(C26:C37)</f>
        <v>17</v>
      </c>
      <c r="D24" s="551"/>
      <c r="E24" s="551"/>
      <c r="F24" s="552"/>
      <c r="G24" s="554">
        <f aca="true" t="shared" si="19" ref="G24:X24">SUM(G26:G34)</f>
        <v>6461000.649999999</v>
      </c>
      <c r="H24" s="555">
        <f t="shared" si="19"/>
        <v>34820389.6786</v>
      </c>
      <c r="I24" s="555">
        <f t="shared" si="19"/>
        <v>59300</v>
      </c>
      <c r="J24" s="555">
        <f t="shared" si="19"/>
        <v>36817989.8736</v>
      </c>
      <c r="K24" s="555">
        <f t="shared" si="19"/>
        <v>110453969.62079999</v>
      </c>
      <c r="L24" s="555">
        <f t="shared" si="19"/>
        <v>7589247.3059</v>
      </c>
      <c r="M24" s="555">
        <f t="shared" si="19"/>
        <v>910709.6767079999</v>
      </c>
      <c r="N24" s="555">
        <f t="shared" si="19"/>
        <v>7589247.3059</v>
      </c>
      <c r="O24" s="555">
        <f t="shared" si="19"/>
        <v>4602248.7342</v>
      </c>
      <c r="P24" s="555">
        <f t="shared" si="19"/>
        <v>2959733.1226810003</v>
      </c>
      <c r="Q24" s="555">
        <f t="shared" si="19"/>
        <v>4178446.7614319995</v>
      </c>
      <c r="R24" s="555">
        <f t="shared" si="19"/>
        <v>243501.253326468</v>
      </c>
      <c r="S24" s="555">
        <f t="shared" si="19"/>
        <v>22145043.412318405</v>
      </c>
      <c r="T24" s="555">
        <f t="shared" si="19"/>
        <v>1392815.587144</v>
      </c>
      <c r="U24" s="555">
        <f t="shared" si="19"/>
        <v>4178446.7614320004</v>
      </c>
      <c r="V24" s="555">
        <f t="shared" si="19"/>
        <v>1044611.6903579999</v>
      </c>
      <c r="W24" s="555">
        <f t="shared" si="19"/>
        <v>696407.793572</v>
      </c>
      <c r="X24" s="555">
        <f t="shared" si="19"/>
        <v>5223058.45179</v>
      </c>
      <c r="Y24" s="555">
        <f>SUM(Y26:Y34)</f>
        <v>162691971.26904842</v>
      </c>
      <c r="Z24" s="555">
        <f>SUM(Z26:Z34)</f>
        <v>13557664.2724207</v>
      </c>
      <c r="AA24" s="417"/>
      <c r="AB24" s="415"/>
      <c r="AC24" s="415"/>
      <c r="AD24" s="405"/>
      <c r="AE24" s="405"/>
      <c r="AF24" s="405"/>
      <c r="AG24" s="405"/>
    </row>
    <row r="25" spans="1:33" ht="14.25">
      <c r="A25" s="550" t="s">
        <v>9</v>
      </c>
      <c r="B25" s="457"/>
      <c r="C25" s="461"/>
      <c r="D25" s="470"/>
      <c r="E25" s="470"/>
      <c r="F25" s="469"/>
      <c r="G25" s="462">
        <f aca="true" t="shared" si="20" ref="G25:X25">SUM(G26:G32)</f>
        <v>6461000.649999999</v>
      </c>
      <c r="H25" s="463">
        <f t="shared" si="20"/>
        <v>30723489.7165</v>
      </c>
      <c r="I25" s="463">
        <f t="shared" si="20"/>
        <v>0</v>
      </c>
      <c r="J25" s="463">
        <f t="shared" si="20"/>
        <v>32661789.9115</v>
      </c>
      <c r="K25" s="463">
        <f t="shared" si="20"/>
        <v>97985369.73449999</v>
      </c>
      <c r="L25" s="463">
        <f t="shared" si="20"/>
        <v>6550197.315375</v>
      </c>
      <c r="M25" s="463">
        <f t="shared" si="20"/>
        <v>786023.6778449999</v>
      </c>
      <c r="N25" s="463">
        <f t="shared" si="20"/>
        <v>6550197.315375</v>
      </c>
      <c r="O25" s="463">
        <f t="shared" si="20"/>
        <v>4082723.7389375</v>
      </c>
      <c r="P25" s="463">
        <f t="shared" si="20"/>
        <v>2611496.6259025</v>
      </c>
      <c r="Q25" s="463">
        <f t="shared" si="20"/>
        <v>3686818.7659799997</v>
      </c>
      <c r="R25" s="463">
        <f t="shared" si="20"/>
        <v>222115.435524306</v>
      </c>
      <c r="S25" s="463">
        <f t="shared" si="20"/>
        <v>19561292.48222042</v>
      </c>
      <c r="T25" s="463">
        <f t="shared" si="20"/>
        <v>1228939.5886600001</v>
      </c>
      <c r="U25" s="463">
        <f t="shared" si="20"/>
        <v>3686818.7659800006</v>
      </c>
      <c r="V25" s="463">
        <f t="shared" si="20"/>
        <v>921704.6914949999</v>
      </c>
      <c r="W25" s="463">
        <f t="shared" si="20"/>
        <v>614469.7943300001</v>
      </c>
      <c r="X25" s="463">
        <f t="shared" si="20"/>
        <v>4608523.457475</v>
      </c>
      <c r="Y25" s="463">
        <f>SUM(Y26:Y32)</f>
        <v>143811146.48770794</v>
      </c>
      <c r="Z25" s="463">
        <f>SUM(Z26:Z32)</f>
        <v>11984262.207308993</v>
      </c>
      <c r="AA25" s="417"/>
      <c r="AB25" s="415"/>
      <c r="AC25" s="415"/>
      <c r="AD25" s="405"/>
      <c r="AE25" s="405"/>
      <c r="AF25" s="405"/>
      <c r="AG25" s="405"/>
    </row>
    <row r="26" spans="1:33" ht="14.25">
      <c r="A26" s="535" t="s">
        <v>215</v>
      </c>
      <c r="B26" s="421" t="s">
        <v>413</v>
      </c>
      <c r="C26" s="422">
        <v>1</v>
      </c>
      <c r="D26" s="470">
        <v>39904</v>
      </c>
      <c r="E26" s="568">
        <v>39994</v>
      </c>
      <c r="F26" s="469">
        <f aca="true" t="shared" si="21" ref="F26:F32">DAYS360(D26,E26,0)+1</f>
        <v>90</v>
      </c>
      <c r="G26" s="424">
        <f>+$E$7*13</f>
        <v>6461000.649999999</v>
      </c>
      <c r="H26" s="424">
        <f>+G26*70%</f>
        <v>4522700.454999999</v>
      </c>
      <c r="I26" s="424">
        <v>0</v>
      </c>
      <c r="J26" s="424">
        <f>G26</f>
        <v>6461000.649999999</v>
      </c>
      <c r="K26" s="424">
        <f aca="true" t="shared" si="22" ref="K26:K32">+J26/30*F26</f>
        <v>19383001.95</v>
      </c>
      <c r="L26" s="424">
        <v>0</v>
      </c>
      <c r="M26" s="424">
        <f aca="true" t="shared" si="23" ref="M26:M32">+L26*12%</f>
        <v>0</v>
      </c>
      <c r="N26" s="424">
        <v>0</v>
      </c>
      <c r="O26" s="424">
        <f aca="true" t="shared" si="24" ref="O26:O32">+J26*F26/720</f>
        <v>807625.08125</v>
      </c>
      <c r="P26" s="424">
        <f aca="true" t="shared" si="25" ref="P26:P32">+H26*0.085</f>
        <v>384429.53867499996</v>
      </c>
      <c r="Q26" s="424">
        <f aca="true" t="shared" si="26" ref="Q26:Q32">+H26*12%</f>
        <v>542724.0545999999</v>
      </c>
      <c r="R26" s="424">
        <f aca="true" t="shared" si="27" ref="R26:R31">+H26*0.522%</f>
        <v>23608.496375099996</v>
      </c>
      <c r="S26" s="424">
        <f aca="true" t="shared" si="28" ref="S26:S32">+((P26+Q26+R26)/30*F26)</f>
        <v>2852286.2689502994</v>
      </c>
      <c r="T26" s="424">
        <f aca="true" t="shared" si="29" ref="T26:T32">+H26*0.04</f>
        <v>180908.01819999996</v>
      </c>
      <c r="U26" s="424">
        <f aca="true" t="shared" si="30" ref="U26:U32">+(T26/30)*F26</f>
        <v>542724.0545999999</v>
      </c>
      <c r="V26" s="424">
        <f aca="true" t="shared" si="31" ref="V26:V32">+H26*0.03</f>
        <v>135681.01364999998</v>
      </c>
      <c r="W26" s="424">
        <f aca="true" t="shared" si="32" ref="W26:W32">+H26*0.02</f>
        <v>90454.00909999998</v>
      </c>
      <c r="X26" s="424">
        <f aca="true" t="shared" si="33" ref="X26:X32">+((V26+W26)/30*F26)</f>
        <v>678405.0682499998</v>
      </c>
      <c r="Y26" s="424">
        <f aca="true" t="shared" si="34" ref="Y26:Y32">K26+L26+M26+N26+O26+S26+U26+X26</f>
        <v>24264042.4230503</v>
      </c>
      <c r="Z26" s="424">
        <f aca="true" t="shared" si="35" ref="Z26:Z32">+Y26/12</f>
        <v>2022003.5352541916</v>
      </c>
      <c r="AA26" s="417"/>
      <c r="AB26" s="426"/>
      <c r="AC26" s="415"/>
      <c r="AD26" s="405"/>
      <c r="AE26" s="405"/>
      <c r="AF26" s="405"/>
      <c r="AG26" s="405"/>
    </row>
    <row r="27" spans="1:33" ht="14.25">
      <c r="A27" s="535" t="s">
        <v>359</v>
      </c>
      <c r="B27" s="421" t="s">
        <v>414</v>
      </c>
      <c r="C27" s="422">
        <v>1</v>
      </c>
      <c r="D27" s="470">
        <v>39904</v>
      </c>
      <c r="E27" s="568">
        <v>39994</v>
      </c>
      <c r="F27" s="469">
        <f t="shared" si="21"/>
        <v>90</v>
      </c>
      <c r="G27" s="424"/>
      <c r="H27" s="516">
        <f>3150000*(1+$C$8)</f>
        <v>3391605</v>
      </c>
      <c r="I27" s="424">
        <v>0</v>
      </c>
      <c r="J27" s="424">
        <f aca="true" t="shared" si="36" ref="J27:J32">+I27+H27</f>
        <v>3391605</v>
      </c>
      <c r="K27" s="424">
        <f t="shared" si="22"/>
        <v>10174815</v>
      </c>
      <c r="L27" s="424">
        <f aca="true" t="shared" si="37" ref="L27:L32">+J27*F27/360</f>
        <v>847901.25</v>
      </c>
      <c r="M27" s="424">
        <f t="shared" si="23"/>
        <v>101748.15</v>
      </c>
      <c r="N27" s="424">
        <f aca="true" t="shared" si="38" ref="N27:N32">+L27</f>
        <v>847901.25</v>
      </c>
      <c r="O27" s="424">
        <f t="shared" si="24"/>
        <v>423950.625</v>
      </c>
      <c r="P27" s="424">
        <f t="shared" si="25"/>
        <v>288286.42500000005</v>
      </c>
      <c r="Q27" s="424">
        <f t="shared" si="26"/>
        <v>406992.6</v>
      </c>
      <c r="R27" s="424">
        <f t="shared" si="27"/>
        <v>17704.1781</v>
      </c>
      <c r="S27" s="424">
        <f t="shared" si="28"/>
        <v>2138949.6093</v>
      </c>
      <c r="T27" s="424">
        <f t="shared" si="29"/>
        <v>135664.2</v>
      </c>
      <c r="U27" s="424">
        <f t="shared" si="30"/>
        <v>406992.60000000003</v>
      </c>
      <c r="V27" s="424">
        <f t="shared" si="31"/>
        <v>101748.15</v>
      </c>
      <c r="W27" s="424">
        <f t="shared" si="32"/>
        <v>67832.1</v>
      </c>
      <c r="X27" s="424">
        <f t="shared" si="33"/>
        <v>508740.75</v>
      </c>
      <c r="Y27" s="424">
        <f t="shared" si="34"/>
        <v>15450999.2343</v>
      </c>
      <c r="Z27" s="424">
        <f t="shared" si="35"/>
        <v>1287583.2695250001</v>
      </c>
      <c r="AA27" s="417"/>
      <c r="AB27" s="425">
        <f>+(Y31+Y26)/5</f>
        <v>6177179.84755006</v>
      </c>
      <c r="AC27" s="415"/>
      <c r="AD27" s="405"/>
      <c r="AE27" s="405"/>
      <c r="AF27" s="405"/>
      <c r="AG27" s="405"/>
    </row>
    <row r="28" spans="1:33" ht="14.25">
      <c r="A28" s="535" t="s">
        <v>375</v>
      </c>
      <c r="B28" s="421" t="s">
        <v>414</v>
      </c>
      <c r="C28" s="422">
        <v>1</v>
      </c>
      <c r="D28" s="470">
        <v>39904</v>
      </c>
      <c r="E28" s="568">
        <v>39994</v>
      </c>
      <c r="F28" s="469">
        <f t="shared" si="21"/>
        <v>90</v>
      </c>
      <c r="G28" s="424"/>
      <c r="H28" s="516">
        <f>3150000*(1+$C$8)</f>
        <v>3391605</v>
      </c>
      <c r="I28" s="424">
        <v>0</v>
      </c>
      <c r="J28" s="424">
        <f t="shared" si="36"/>
        <v>3391605</v>
      </c>
      <c r="K28" s="424">
        <f t="shared" si="22"/>
        <v>10174815</v>
      </c>
      <c r="L28" s="424">
        <f t="shared" si="37"/>
        <v>847901.25</v>
      </c>
      <c r="M28" s="424">
        <f t="shared" si="23"/>
        <v>101748.15</v>
      </c>
      <c r="N28" s="424">
        <f t="shared" si="38"/>
        <v>847901.25</v>
      </c>
      <c r="O28" s="424">
        <f t="shared" si="24"/>
        <v>423950.625</v>
      </c>
      <c r="P28" s="424">
        <f t="shared" si="25"/>
        <v>288286.42500000005</v>
      </c>
      <c r="Q28" s="424">
        <f t="shared" si="26"/>
        <v>406992.6</v>
      </c>
      <c r="R28" s="424">
        <f t="shared" si="27"/>
        <v>17704.1781</v>
      </c>
      <c r="S28" s="424">
        <f t="shared" si="28"/>
        <v>2138949.6093</v>
      </c>
      <c r="T28" s="424">
        <f t="shared" si="29"/>
        <v>135664.2</v>
      </c>
      <c r="U28" s="424">
        <f t="shared" si="30"/>
        <v>406992.60000000003</v>
      </c>
      <c r="V28" s="424">
        <f t="shared" si="31"/>
        <v>101748.15</v>
      </c>
      <c r="W28" s="424">
        <f t="shared" si="32"/>
        <v>67832.1</v>
      </c>
      <c r="X28" s="424">
        <f t="shared" si="33"/>
        <v>508740.75</v>
      </c>
      <c r="Y28" s="424">
        <f t="shared" si="34"/>
        <v>15450999.2343</v>
      </c>
      <c r="Z28" s="424">
        <f t="shared" si="35"/>
        <v>1287583.2695250001</v>
      </c>
      <c r="AA28" s="417"/>
      <c r="AB28" s="425"/>
      <c r="AC28" s="415"/>
      <c r="AD28" s="498">
        <f>+AC28/4</f>
        <v>0</v>
      </c>
      <c r="AE28" s="405"/>
      <c r="AF28" s="405"/>
      <c r="AG28" s="405"/>
    </row>
    <row r="29" spans="1:33" ht="14.25">
      <c r="A29" s="535" t="s">
        <v>360</v>
      </c>
      <c r="B29" s="421" t="s">
        <v>414</v>
      </c>
      <c r="C29" s="422">
        <v>1</v>
      </c>
      <c r="D29" s="470">
        <v>39904</v>
      </c>
      <c r="E29" s="568">
        <v>39994</v>
      </c>
      <c r="F29" s="469">
        <f t="shared" si="21"/>
        <v>90</v>
      </c>
      <c r="G29" s="424"/>
      <c r="H29" s="516">
        <f>3150000*(1+$C$8)</f>
        <v>3391605</v>
      </c>
      <c r="I29" s="424">
        <v>0</v>
      </c>
      <c r="J29" s="424">
        <f t="shared" si="36"/>
        <v>3391605</v>
      </c>
      <c r="K29" s="424">
        <f t="shared" si="22"/>
        <v>10174815</v>
      </c>
      <c r="L29" s="424">
        <f t="shared" si="37"/>
        <v>847901.25</v>
      </c>
      <c r="M29" s="424">
        <f t="shared" si="23"/>
        <v>101748.15</v>
      </c>
      <c r="N29" s="424">
        <f t="shared" si="38"/>
        <v>847901.25</v>
      </c>
      <c r="O29" s="424">
        <f t="shared" si="24"/>
        <v>423950.625</v>
      </c>
      <c r="P29" s="424">
        <f t="shared" si="25"/>
        <v>288286.42500000005</v>
      </c>
      <c r="Q29" s="424">
        <f t="shared" si="26"/>
        <v>406992.6</v>
      </c>
      <c r="R29" s="424">
        <f t="shared" si="27"/>
        <v>17704.1781</v>
      </c>
      <c r="S29" s="424">
        <f t="shared" si="28"/>
        <v>2138949.6093</v>
      </c>
      <c r="T29" s="424">
        <f t="shared" si="29"/>
        <v>135664.2</v>
      </c>
      <c r="U29" s="424">
        <f t="shared" si="30"/>
        <v>406992.60000000003</v>
      </c>
      <c r="V29" s="424">
        <f t="shared" si="31"/>
        <v>101748.15</v>
      </c>
      <c r="W29" s="424">
        <f t="shared" si="32"/>
        <v>67832.1</v>
      </c>
      <c r="X29" s="424">
        <f t="shared" si="33"/>
        <v>508740.75</v>
      </c>
      <c r="Y29" s="424">
        <f t="shared" si="34"/>
        <v>15450999.2343</v>
      </c>
      <c r="Z29" s="424">
        <f t="shared" si="35"/>
        <v>1287583.2695250001</v>
      </c>
      <c r="AA29" s="417"/>
      <c r="AB29" s="425"/>
      <c r="AC29" s="415"/>
      <c r="AD29" s="405"/>
      <c r="AE29" s="405"/>
      <c r="AF29" s="405"/>
      <c r="AG29" s="405"/>
    </row>
    <row r="30" spans="1:33" ht="14.25">
      <c r="A30" s="543" t="s">
        <v>349</v>
      </c>
      <c r="B30" s="515" t="s">
        <v>410</v>
      </c>
      <c r="C30" s="422">
        <v>1</v>
      </c>
      <c r="D30" s="470">
        <v>39904</v>
      </c>
      <c r="E30" s="568">
        <v>39994</v>
      </c>
      <c r="F30" s="469">
        <f t="shared" si="21"/>
        <v>90</v>
      </c>
      <c r="G30" s="423"/>
      <c r="H30" s="443">
        <f>2549521*(1+$C$8)</f>
        <v>2745069.2607</v>
      </c>
      <c r="I30" s="424"/>
      <c r="J30" s="424">
        <f t="shared" si="36"/>
        <v>2745069.2607</v>
      </c>
      <c r="K30" s="424">
        <f t="shared" si="22"/>
        <v>8235207.7821</v>
      </c>
      <c r="L30" s="424">
        <f t="shared" si="37"/>
        <v>686267.315175</v>
      </c>
      <c r="M30" s="424">
        <f t="shared" si="23"/>
        <v>82352.077821</v>
      </c>
      <c r="N30" s="424">
        <f t="shared" si="38"/>
        <v>686267.315175</v>
      </c>
      <c r="O30" s="424">
        <f t="shared" si="24"/>
        <v>343133.6575875</v>
      </c>
      <c r="P30" s="424">
        <f t="shared" si="25"/>
        <v>233330.8871595</v>
      </c>
      <c r="Q30" s="424">
        <f t="shared" si="26"/>
        <v>329408.311284</v>
      </c>
      <c r="R30" s="424">
        <f t="shared" si="27"/>
        <v>14329.261540853999</v>
      </c>
      <c r="S30" s="424">
        <f t="shared" si="28"/>
        <v>1731205.379953062</v>
      </c>
      <c r="T30" s="424">
        <f t="shared" si="29"/>
        <v>109802.770428</v>
      </c>
      <c r="U30" s="424">
        <f t="shared" si="30"/>
        <v>329408.311284</v>
      </c>
      <c r="V30" s="424">
        <f t="shared" si="31"/>
        <v>82352.077821</v>
      </c>
      <c r="W30" s="424">
        <f t="shared" si="32"/>
        <v>54901.385214</v>
      </c>
      <c r="X30" s="424">
        <f t="shared" si="33"/>
        <v>411760.38910499995</v>
      </c>
      <c r="Y30" s="424">
        <f t="shared" si="34"/>
        <v>12505602.228200562</v>
      </c>
      <c r="Z30" s="424">
        <f t="shared" si="35"/>
        <v>1042133.5190167135</v>
      </c>
      <c r="AA30" s="417"/>
      <c r="AB30" s="425"/>
      <c r="AC30" s="415"/>
      <c r="AD30" s="405"/>
      <c r="AE30" s="405"/>
      <c r="AF30" s="405"/>
      <c r="AG30" s="405"/>
    </row>
    <row r="31" spans="1:33" ht="14.25">
      <c r="A31" s="542" t="s">
        <v>377</v>
      </c>
      <c r="B31" s="514" t="s">
        <v>411</v>
      </c>
      <c r="C31" s="422">
        <v>1</v>
      </c>
      <c r="D31" s="470">
        <v>39904</v>
      </c>
      <c r="E31" s="568">
        <v>39994</v>
      </c>
      <c r="F31" s="469">
        <f t="shared" si="21"/>
        <v>90</v>
      </c>
      <c r="G31" s="424"/>
      <c r="H31" s="424">
        <f>1350000*(1+$C$8)</f>
        <v>1453545</v>
      </c>
      <c r="I31" s="424">
        <v>0</v>
      </c>
      <c r="J31" s="424">
        <f t="shared" si="36"/>
        <v>1453545</v>
      </c>
      <c r="K31" s="424">
        <f t="shared" si="22"/>
        <v>4360635</v>
      </c>
      <c r="L31" s="424">
        <f t="shared" si="37"/>
        <v>363386.25</v>
      </c>
      <c r="M31" s="424">
        <f t="shared" si="23"/>
        <v>43606.35</v>
      </c>
      <c r="N31" s="424">
        <f t="shared" si="38"/>
        <v>363386.25</v>
      </c>
      <c r="O31" s="424">
        <f t="shared" si="24"/>
        <v>181693.125</v>
      </c>
      <c r="P31" s="424">
        <f t="shared" si="25"/>
        <v>123551.32500000001</v>
      </c>
      <c r="Q31" s="424">
        <f t="shared" si="26"/>
        <v>174425.4</v>
      </c>
      <c r="R31" s="424">
        <f t="shared" si="27"/>
        <v>7587.5049</v>
      </c>
      <c r="S31" s="424">
        <f t="shared" si="28"/>
        <v>916692.6896999999</v>
      </c>
      <c r="T31" s="424">
        <f t="shared" si="29"/>
        <v>58141.8</v>
      </c>
      <c r="U31" s="424">
        <f t="shared" si="30"/>
        <v>174425.40000000002</v>
      </c>
      <c r="V31" s="424">
        <f t="shared" si="31"/>
        <v>43606.35</v>
      </c>
      <c r="W31" s="424">
        <f t="shared" si="32"/>
        <v>29070.9</v>
      </c>
      <c r="X31" s="424">
        <f t="shared" si="33"/>
        <v>218031.74999999997</v>
      </c>
      <c r="Y31" s="424">
        <f t="shared" si="34"/>
        <v>6621856.8147</v>
      </c>
      <c r="Z31" s="424">
        <f t="shared" si="35"/>
        <v>551821.401225</v>
      </c>
      <c r="AA31" s="417"/>
      <c r="AB31" s="425"/>
      <c r="AC31" s="415"/>
      <c r="AD31" s="405"/>
      <c r="AE31" s="405"/>
      <c r="AF31" s="405"/>
      <c r="AG31" s="405"/>
    </row>
    <row r="32" spans="1:33" ht="14.25">
      <c r="A32" s="542" t="s">
        <v>350</v>
      </c>
      <c r="B32" s="514" t="s">
        <v>412</v>
      </c>
      <c r="C32" s="422">
        <v>8</v>
      </c>
      <c r="D32" s="470">
        <v>39904</v>
      </c>
      <c r="E32" s="568">
        <v>39994</v>
      </c>
      <c r="F32" s="469">
        <f t="shared" si="21"/>
        <v>90</v>
      </c>
      <c r="G32" s="422"/>
      <c r="H32" s="424">
        <f>(1373103*(1+$C$8)*C32)</f>
        <v>11827360.0008</v>
      </c>
      <c r="I32" s="424">
        <v>0</v>
      </c>
      <c r="J32" s="424">
        <f t="shared" si="36"/>
        <v>11827360.0008</v>
      </c>
      <c r="K32" s="424">
        <f t="shared" si="22"/>
        <v>35482080.002399996</v>
      </c>
      <c r="L32" s="424">
        <f t="shared" si="37"/>
        <v>2956840.0002</v>
      </c>
      <c r="M32" s="424">
        <f t="shared" si="23"/>
        <v>354820.800024</v>
      </c>
      <c r="N32" s="424">
        <f t="shared" si="38"/>
        <v>2956840.0002</v>
      </c>
      <c r="O32" s="424">
        <f t="shared" si="24"/>
        <v>1478420.0001</v>
      </c>
      <c r="P32" s="424">
        <f t="shared" si="25"/>
        <v>1005325.6000680001</v>
      </c>
      <c r="Q32" s="424">
        <f t="shared" si="26"/>
        <v>1419283.200096</v>
      </c>
      <c r="R32" s="424">
        <f>+H32*1.044%</f>
        <v>123477.638408352</v>
      </c>
      <c r="S32" s="424">
        <f t="shared" si="28"/>
        <v>7644259.315717057</v>
      </c>
      <c r="T32" s="424">
        <f t="shared" si="29"/>
        <v>473094.40003200003</v>
      </c>
      <c r="U32" s="424">
        <f t="shared" si="30"/>
        <v>1419283.2000960002</v>
      </c>
      <c r="V32" s="424">
        <f t="shared" si="31"/>
        <v>354820.800024</v>
      </c>
      <c r="W32" s="424">
        <f t="shared" si="32"/>
        <v>236547.20001600002</v>
      </c>
      <c r="X32" s="424">
        <f t="shared" si="33"/>
        <v>1774104.0001200004</v>
      </c>
      <c r="Y32" s="424">
        <f t="shared" si="34"/>
        <v>54066647.31885707</v>
      </c>
      <c r="Z32" s="424">
        <f t="shared" si="35"/>
        <v>4505553.943238089</v>
      </c>
      <c r="AA32" s="417"/>
      <c r="AB32" s="425"/>
      <c r="AC32" s="415"/>
      <c r="AD32" s="405"/>
      <c r="AE32" s="405"/>
      <c r="AF32" s="405"/>
      <c r="AG32" s="405"/>
    </row>
    <row r="33" spans="1:33" ht="14.25">
      <c r="A33" s="543"/>
      <c r="B33" s="515"/>
      <c r="C33" s="422"/>
      <c r="D33" s="470"/>
      <c r="E33" s="470"/>
      <c r="F33" s="469"/>
      <c r="G33" s="423"/>
      <c r="H33" s="443"/>
      <c r="I33" s="424"/>
      <c r="J33" s="424"/>
      <c r="K33" s="424"/>
      <c r="L33" s="424"/>
      <c r="M33" s="424"/>
      <c r="N33" s="424"/>
      <c r="O33" s="424"/>
      <c r="P33" s="424"/>
      <c r="Q33" s="424"/>
      <c r="R33" s="424"/>
      <c r="S33" s="424"/>
      <c r="T33" s="424"/>
      <c r="U33" s="424"/>
      <c r="V33" s="424"/>
      <c r="W33" s="424"/>
      <c r="X33" s="424"/>
      <c r="Y33" s="424"/>
      <c r="Z33" s="424"/>
      <c r="AA33" s="417"/>
      <c r="AB33" s="425"/>
      <c r="AC33" s="415"/>
      <c r="AD33" s="405"/>
      <c r="AE33" s="405"/>
      <c r="AF33" s="405"/>
      <c r="AG33" s="405"/>
    </row>
    <row r="34" spans="1:33" s="377" customFormat="1" ht="14.25">
      <c r="A34" s="550" t="s">
        <v>520</v>
      </c>
      <c r="B34" s="515"/>
      <c r="C34" s="422"/>
      <c r="D34" s="470"/>
      <c r="E34" s="470"/>
      <c r="F34" s="469"/>
      <c r="G34" s="423"/>
      <c r="H34" s="455">
        <f aca="true" t="shared" si="39" ref="H34:Y34">SUM(H35:H37)</f>
        <v>4096899.9621</v>
      </c>
      <c r="I34" s="465">
        <f t="shared" si="39"/>
        <v>59300</v>
      </c>
      <c r="J34" s="465">
        <f t="shared" si="39"/>
        <v>4156199.9621</v>
      </c>
      <c r="K34" s="465">
        <f t="shared" si="39"/>
        <v>12468599.886300001</v>
      </c>
      <c r="L34" s="465">
        <f t="shared" si="39"/>
        <v>1039049.990525</v>
      </c>
      <c r="M34" s="465">
        <f t="shared" si="39"/>
        <v>124685.998863</v>
      </c>
      <c r="N34" s="465">
        <f t="shared" si="39"/>
        <v>1039049.990525</v>
      </c>
      <c r="O34" s="465">
        <f t="shared" si="39"/>
        <v>519524.9952625</v>
      </c>
      <c r="P34" s="465">
        <f t="shared" si="39"/>
        <v>348236.49677850003</v>
      </c>
      <c r="Q34" s="465">
        <f t="shared" si="39"/>
        <v>491627.995452</v>
      </c>
      <c r="R34" s="465">
        <f t="shared" si="39"/>
        <v>21385.817802162</v>
      </c>
      <c r="S34" s="465">
        <f t="shared" si="39"/>
        <v>2583750.930097986</v>
      </c>
      <c r="T34" s="465">
        <f t="shared" si="39"/>
        <v>163875.99848399998</v>
      </c>
      <c r="U34" s="465">
        <f t="shared" si="39"/>
        <v>491627.995452</v>
      </c>
      <c r="V34" s="465">
        <f t="shared" si="39"/>
        <v>122906.998863</v>
      </c>
      <c r="W34" s="465">
        <f t="shared" si="39"/>
        <v>81937.99924199999</v>
      </c>
      <c r="X34" s="465">
        <f t="shared" si="39"/>
        <v>614534.994315</v>
      </c>
      <c r="Y34" s="465">
        <f t="shared" si="39"/>
        <v>18880824.781340487</v>
      </c>
      <c r="Z34" s="465">
        <f>SUM(Z35:Z37)</f>
        <v>1573402.0651117072</v>
      </c>
      <c r="AA34" s="417"/>
      <c r="AB34" s="425">
        <f>+(Y28/2)+Y34</f>
        <v>26606324.39849049</v>
      </c>
      <c r="AC34" s="415"/>
      <c r="AD34" s="405"/>
      <c r="AE34" s="405"/>
      <c r="AF34" s="405"/>
      <c r="AG34" s="405"/>
    </row>
    <row r="35" spans="1:33" ht="14.25">
      <c r="A35" s="543" t="s">
        <v>499</v>
      </c>
      <c r="B35" s="515" t="s">
        <v>500</v>
      </c>
      <c r="C35" s="422">
        <v>1</v>
      </c>
      <c r="D35" s="470">
        <v>39904</v>
      </c>
      <c r="E35" s="568">
        <v>39994</v>
      </c>
      <c r="F35" s="469">
        <f>DAYS360(D35,E35,0)+1</f>
        <v>90</v>
      </c>
      <c r="G35" s="423"/>
      <c r="H35" s="424">
        <v>1950000</v>
      </c>
      <c r="I35" s="424">
        <v>0</v>
      </c>
      <c r="J35" s="424">
        <f>+I35+H35</f>
        <v>1950000</v>
      </c>
      <c r="K35" s="424">
        <f>+J35/30*F35</f>
        <v>5850000</v>
      </c>
      <c r="L35" s="424">
        <f>+J35*F35/360</f>
        <v>487500</v>
      </c>
      <c r="M35" s="424">
        <f>+L35*12%</f>
        <v>58500</v>
      </c>
      <c r="N35" s="424">
        <f>+L35</f>
        <v>487500</v>
      </c>
      <c r="O35" s="424">
        <f>+J35*F35/720</f>
        <v>243750</v>
      </c>
      <c r="P35" s="424">
        <f>+H35*0.085</f>
        <v>165750</v>
      </c>
      <c r="Q35" s="424">
        <f>+H35*12%</f>
        <v>234000</v>
      </c>
      <c r="R35" s="424">
        <f>+H35*0.522%</f>
        <v>10179</v>
      </c>
      <c r="S35" s="424">
        <f>+((P35+Q35+R35)/30*F35)</f>
        <v>1229787</v>
      </c>
      <c r="T35" s="424">
        <f>+H35*0.04</f>
        <v>78000</v>
      </c>
      <c r="U35" s="424">
        <f>+(T35/30)*F35</f>
        <v>234000</v>
      </c>
      <c r="V35" s="424">
        <f>+H35*0.03</f>
        <v>58500</v>
      </c>
      <c r="W35" s="424">
        <f>+H35*0.02</f>
        <v>39000</v>
      </c>
      <c r="X35" s="424">
        <f>+((V35+W35)/30*F35)</f>
        <v>292500</v>
      </c>
      <c r="Y35" s="424">
        <f>K35+L35+M35+N35+O35+S35+U35+X35</f>
        <v>8883537</v>
      </c>
      <c r="Z35" s="424">
        <f>+Y35/12</f>
        <v>740294.75</v>
      </c>
      <c r="AA35" s="417"/>
      <c r="AB35" s="425"/>
      <c r="AC35" s="415"/>
      <c r="AD35" s="405"/>
      <c r="AE35" s="405"/>
      <c r="AF35" s="405"/>
      <c r="AG35" s="405"/>
    </row>
    <row r="36" spans="1:33" ht="14.25">
      <c r="A36" s="542" t="s">
        <v>497</v>
      </c>
      <c r="B36" s="514" t="s">
        <v>411</v>
      </c>
      <c r="C36" s="422">
        <v>1</v>
      </c>
      <c r="D36" s="470">
        <v>39904</v>
      </c>
      <c r="E36" s="568">
        <v>39994</v>
      </c>
      <c r="F36" s="469">
        <f>DAYS360(D36,E36,0)+1</f>
        <v>90</v>
      </c>
      <c r="G36" s="424"/>
      <c r="H36" s="424">
        <f>1350000*(1+$C$8)</f>
        <v>1453545</v>
      </c>
      <c r="I36" s="424">
        <v>0</v>
      </c>
      <c r="J36" s="424">
        <f>+I36+H36</f>
        <v>1453545</v>
      </c>
      <c r="K36" s="424">
        <f>+J36/30*F36</f>
        <v>4360635</v>
      </c>
      <c r="L36" s="424">
        <f>+J36*F36/360</f>
        <v>363386.25</v>
      </c>
      <c r="M36" s="424">
        <f>+L36*12%</f>
        <v>43606.35</v>
      </c>
      <c r="N36" s="424">
        <f>+L36</f>
        <v>363386.25</v>
      </c>
      <c r="O36" s="424">
        <f>+J36*F36/720</f>
        <v>181693.125</v>
      </c>
      <c r="P36" s="424">
        <f>+H36*0.085</f>
        <v>123551.32500000001</v>
      </c>
      <c r="Q36" s="424">
        <f>+H36*12%</f>
        <v>174425.4</v>
      </c>
      <c r="R36" s="424">
        <f>+H36*0.522%</f>
        <v>7587.5049</v>
      </c>
      <c r="S36" s="424">
        <f>+((P36+Q36+R36)/30*F36)</f>
        <v>916692.6896999999</v>
      </c>
      <c r="T36" s="424">
        <f>+H36*0.04</f>
        <v>58141.8</v>
      </c>
      <c r="U36" s="424">
        <f>+(T36/30)*F36</f>
        <v>174425.40000000002</v>
      </c>
      <c r="V36" s="424">
        <f>+H36*0.03</f>
        <v>43606.35</v>
      </c>
      <c r="W36" s="424">
        <f>+H36*0.02</f>
        <v>29070.9</v>
      </c>
      <c r="X36" s="424">
        <f>+((V36+W36)/30*F36)</f>
        <v>218031.74999999997</v>
      </c>
      <c r="Y36" s="424">
        <f>K36+L36+M36+N36+O36+S36+U36+X36</f>
        <v>6621856.8147</v>
      </c>
      <c r="Z36" s="424">
        <f>+Y36/12</f>
        <v>551821.401225</v>
      </c>
      <c r="AA36" s="417"/>
      <c r="AB36" s="425"/>
      <c r="AC36" s="415"/>
      <c r="AD36" s="405"/>
      <c r="AE36" s="405"/>
      <c r="AF36" s="405"/>
      <c r="AG36" s="405"/>
    </row>
    <row r="37" spans="1:33" ht="14.25">
      <c r="A37" s="514" t="s">
        <v>498</v>
      </c>
      <c r="B37" s="514" t="s">
        <v>407</v>
      </c>
      <c r="C37" s="422">
        <v>1</v>
      </c>
      <c r="D37" s="470">
        <v>39904</v>
      </c>
      <c r="E37" s="568">
        <v>39994</v>
      </c>
      <c r="F37" s="469">
        <f>DAYS360(D37,E37,0)+1</f>
        <v>90</v>
      </c>
      <c r="G37" s="422"/>
      <c r="H37" s="424">
        <f>643963*(1+$C$8)</f>
        <v>693354.9621</v>
      </c>
      <c r="I37" s="424">
        <f>+E8</f>
        <v>59300</v>
      </c>
      <c r="J37" s="424">
        <f>+I37+H37</f>
        <v>752654.9621</v>
      </c>
      <c r="K37" s="424">
        <f>+J37/30*F37</f>
        <v>2257964.8863000004</v>
      </c>
      <c r="L37" s="424">
        <f>+J37*F37/360</f>
        <v>188163.740525</v>
      </c>
      <c r="M37" s="424">
        <f>+L37*12%</f>
        <v>22579.648863</v>
      </c>
      <c r="N37" s="424">
        <f>+L37</f>
        <v>188163.740525</v>
      </c>
      <c r="O37" s="424">
        <f>+J37*F37/720</f>
        <v>94081.8702625</v>
      </c>
      <c r="P37" s="424">
        <f>+H37*0.085</f>
        <v>58935.17177850001</v>
      </c>
      <c r="Q37" s="424">
        <f>+H37*12%</f>
        <v>83202.595452</v>
      </c>
      <c r="R37" s="424">
        <f>+H37*0.522%</f>
        <v>3619.312902162</v>
      </c>
      <c r="S37" s="424">
        <f>+((P37+Q37+R37)/30*F37)</f>
        <v>437271.24039798597</v>
      </c>
      <c r="T37" s="424">
        <f>+H37*0.04</f>
        <v>27734.198484</v>
      </c>
      <c r="U37" s="424">
        <f>+(T37/30)*F37</f>
        <v>83202.595452</v>
      </c>
      <c r="V37" s="424">
        <f>+H37*0.03</f>
        <v>20800.648863</v>
      </c>
      <c r="W37" s="424">
        <f>+H37*0.02</f>
        <v>13867.099242</v>
      </c>
      <c r="X37" s="424">
        <f>+((V37+W37)/30*F37)</f>
        <v>104003.244315</v>
      </c>
      <c r="Y37" s="424">
        <f>K37+L37+M37+N37+O37+S37+U37+X37</f>
        <v>3375430.9666404855</v>
      </c>
      <c r="Z37" s="424">
        <f>+Y37/12</f>
        <v>281285.9138867071</v>
      </c>
      <c r="AA37" s="417"/>
      <c r="AB37" s="425"/>
      <c r="AC37" s="415"/>
      <c r="AD37" s="405"/>
      <c r="AE37" s="405"/>
      <c r="AF37" s="405"/>
      <c r="AG37" s="405"/>
    </row>
    <row r="38" spans="1:33" ht="12.75">
      <c r="A38" s="414"/>
      <c r="B38" s="414"/>
      <c r="C38" s="417"/>
      <c r="D38" s="417"/>
      <c r="E38" s="417"/>
      <c r="F38" s="417"/>
      <c r="G38" s="417"/>
      <c r="H38" s="417"/>
      <c r="I38" s="417"/>
      <c r="J38" s="417"/>
      <c r="K38" s="417"/>
      <c r="L38" s="417"/>
      <c r="M38" s="417"/>
      <c r="N38" s="417"/>
      <c r="O38" s="417"/>
      <c r="P38" s="418"/>
      <c r="Q38" s="419"/>
      <c r="R38" s="419"/>
      <c r="S38" s="420"/>
      <c r="T38" s="419"/>
      <c r="U38" s="420"/>
      <c r="V38" s="419"/>
      <c r="W38" s="419"/>
      <c r="X38" s="420"/>
      <c r="Y38" s="417"/>
      <c r="Z38" s="417"/>
      <c r="AA38" s="417"/>
      <c r="AB38" s="425"/>
      <c r="AC38" s="415"/>
      <c r="AD38" s="405"/>
      <c r="AE38" s="405"/>
      <c r="AF38" s="405"/>
      <c r="AG38" s="405"/>
    </row>
    <row r="39" spans="1:57" ht="12.75">
      <c r="A39" s="432"/>
      <c r="B39" s="432"/>
      <c r="C39" s="433"/>
      <c r="D39" s="433"/>
      <c r="E39" s="433"/>
      <c r="F39" s="433"/>
      <c r="G39" s="434"/>
      <c r="H39" s="434"/>
      <c r="I39" s="434"/>
      <c r="J39" s="434"/>
      <c r="K39" s="434"/>
      <c r="L39" s="434"/>
      <c r="M39" s="434"/>
      <c r="N39" s="434"/>
      <c r="O39" s="434"/>
      <c r="P39" s="434"/>
      <c r="Q39" s="434"/>
      <c r="R39" s="434"/>
      <c r="S39" s="434"/>
      <c r="T39" s="434"/>
      <c r="U39" s="434"/>
      <c r="V39" s="434"/>
      <c r="W39" s="434"/>
      <c r="X39" s="434"/>
      <c r="Y39" s="434"/>
      <c r="Z39" s="434"/>
      <c r="AA39" s="417"/>
      <c r="AB39" s="425"/>
      <c r="AC39" s="415"/>
      <c r="AD39" s="405"/>
      <c r="AE39" s="405"/>
      <c r="AF39" s="405"/>
      <c r="AG39" s="405"/>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row>
    <row r="40" spans="1:57" ht="15.75">
      <c r="A40" s="453" t="s">
        <v>26</v>
      </c>
      <c r="B40" s="453" t="s">
        <v>405</v>
      </c>
      <c r="C40" s="417"/>
      <c r="D40" s="417"/>
      <c r="E40" s="417"/>
      <c r="F40" s="417"/>
      <c r="G40" s="417"/>
      <c r="H40" s="417"/>
      <c r="I40" s="417"/>
      <c r="J40" s="417"/>
      <c r="K40" s="417"/>
      <c r="L40" s="417"/>
      <c r="M40" s="417"/>
      <c r="N40" s="417"/>
      <c r="O40" s="417"/>
      <c r="P40" s="418"/>
      <c r="Q40" s="419"/>
      <c r="R40" s="419"/>
      <c r="S40" s="420"/>
      <c r="T40" s="419"/>
      <c r="U40" s="420"/>
      <c r="V40" s="419"/>
      <c r="W40" s="419"/>
      <c r="X40" s="420"/>
      <c r="Y40" s="456">
        <f>+Y41</f>
        <v>68101677.08039191</v>
      </c>
      <c r="Z40" s="417"/>
      <c r="AA40" s="417"/>
      <c r="AB40" s="425"/>
      <c r="AC40" s="415"/>
      <c r="AD40" s="405"/>
      <c r="AE40" s="405"/>
      <c r="AF40" s="405"/>
      <c r="AG40" s="405"/>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row>
    <row r="41" spans="1:57" ht="12.75">
      <c r="A41" s="458" t="str">
        <f>+GASTOS!A67</f>
        <v>COMERCIALIZACIÓN</v>
      </c>
      <c r="B41" s="458"/>
      <c r="C41" s="430">
        <f>SUM(C42:C46)</f>
        <v>5</v>
      </c>
      <c r="D41" s="430"/>
      <c r="E41" s="430"/>
      <c r="F41" s="430"/>
      <c r="G41" s="459">
        <f aca="true" t="shared" si="40" ref="G41:Z41">SUM(G42:G46)</f>
        <v>6461000.649999999</v>
      </c>
      <c r="H41" s="460">
        <f t="shared" si="40"/>
        <v>14097798.938499998</v>
      </c>
      <c r="I41" s="460">
        <f t="shared" si="40"/>
        <v>59300</v>
      </c>
      <c r="J41" s="460">
        <f t="shared" si="40"/>
        <v>16095399.133499999</v>
      </c>
      <c r="K41" s="460">
        <f t="shared" si="40"/>
        <v>48286197.4005</v>
      </c>
      <c r="L41" s="460">
        <f t="shared" si="40"/>
        <v>2408599.620875</v>
      </c>
      <c r="M41" s="460">
        <f t="shared" si="40"/>
        <v>289031.954505</v>
      </c>
      <c r="N41" s="460">
        <f t="shared" si="40"/>
        <v>2408599.620875</v>
      </c>
      <c r="O41" s="460">
        <f t="shared" si="40"/>
        <v>2011924.8916875</v>
      </c>
      <c r="P41" s="460">
        <f t="shared" si="40"/>
        <v>1198312.9097725002</v>
      </c>
      <c r="Q41" s="460">
        <f t="shared" si="40"/>
        <v>1691735.8726199998</v>
      </c>
      <c r="R41" s="460">
        <f t="shared" si="40"/>
        <v>73590.51045896999</v>
      </c>
      <c r="S41" s="460">
        <f t="shared" si="40"/>
        <v>8890917.87855441</v>
      </c>
      <c r="T41" s="460">
        <f t="shared" si="40"/>
        <v>563911.9575400001</v>
      </c>
      <c r="U41" s="460">
        <f t="shared" si="40"/>
        <v>1691735.87262</v>
      </c>
      <c r="V41" s="460">
        <f t="shared" si="40"/>
        <v>422933.96815499995</v>
      </c>
      <c r="W41" s="460">
        <f t="shared" si="40"/>
        <v>281955.97877000005</v>
      </c>
      <c r="X41" s="460">
        <f t="shared" si="40"/>
        <v>2114669.8407749995</v>
      </c>
      <c r="Y41" s="460">
        <f t="shared" si="40"/>
        <v>68101677.08039191</v>
      </c>
      <c r="Z41" s="460">
        <f t="shared" si="40"/>
        <v>5675139.756699326</v>
      </c>
      <c r="AA41" s="460"/>
      <c r="AB41" s="425"/>
      <c r="AC41" s="415"/>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row>
    <row r="42" spans="1:57" ht="14.25">
      <c r="A42" s="535" t="s">
        <v>215</v>
      </c>
      <c r="B42" s="421" t="s">
        <v>413</v>
      </c>
      <c r="C42" s="422">
        <v>1</v>
      </c>
      <c r="D42" s="470">
        <v>39904</v>
      </c>
      <c r="E42" s="568">
        <v>39994</v>
      </c>
      <c r="F42" s="469">
        <f>DAYS360(D42,E42,0)+1</f>
        <v>90</v>
      </c>
      <c r="G42" s="424">
        <f>+$E$7*13</f>
        <v>6461000.649999999</v>
      </c>
      <c r="H42" s="424">
        <f>+G42*70%</f>
        <v>4522700.454999999</v>
      </c>
      <c r="I42" s="424">
        <v>0</v>
      </c>
      <c r="J42" s="424">
        <f>G42</f>
        <v>6461000.649999999</v>
      </c>
      <c r="K42" s="424">
        <f>+J42/30*F42</f>
        <v>19383001.95</v>
      </c>
      <c r="L42" s="424">
        <v>0</v>
      </c>
      <c r="M42" s="424">
        <f>+L42*12%</f>
        <v>0</v>
      </c>
      <c r="N42" s="424">
        <v>0</v>
      </c>
      <c r="O42" s="424">
        <f>+J42*F42/720</f>
        <v>807625.08125</v>
      </c>
      <c r="P42" s="424">
        <f>+H42*0.085</f>
        <v>384429.53867499996</v>
      </c>
      <c r="Q42" s="424">
        <f>+H42*12%</f>
        <v>542724.0545999999</v>
      </c>
      <c r="R42" s="424">
        <f>+H42*0.522%</f>
        <v>23608.496375099996</v>
      </c>
      <c r="S42" s="424">
        <f>+((P42+Q42+R42)/30*F42)</f>
        <v>2852286.2689502994</v>
      </c>
      <c r="T42" s="424">
        <f>+H42*0.04</f>
        <v>180908.01819999996</v>
      </c>
      <c r="U42" s="424">
        <f>+(T42/30)*F42</f>
        <v>542724.0545999999</v>
      </c>
      <c r="V42" s="424">
        <f>+H42*0.03</f>
        <v>135681.01364999998</v>
      </c>
      <c r="W42" s="424">
        <f>+H42*0.02</f>
        <v>90454.00909999998</v>
      </c>
      <c r="X42" s="424">
        <f>+((V42+W42)/30*F42)</f>
        <v>678405.0682499998</v>
      </c>
      <c r="Y42" s="424">
        <f>K42+L42+M42+N42+O42+S42+U42+X42</f>
        <v>24264042.4230503</v>
      </c>
      <c r="Z42" s="424">
        <f>+Y42/12</f>
        <v>2022003.5352541916</v>
      </c>
      <c r="AA42" s="424">
        <v>42105401</v>
      </c>
      <c r="AB42" s="425"/>
      <c r="AC42" s="415"/>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row>
    <row r="43" spans="1:57" ht="14.25">
      <c r="A43" s="535" t="s">
        <v>385</v>
      </c>
      <c r="B43" s="421" t="s">
        <v>414</v>
      </c>
      <c r="C43" s="422">
        <v>1</v>
      </c>
      <c r="D43" s="470">
        <v>39904</v>
      </c>
      <c r="E43" s="568">
        <v>39994</v>
      </c>
      <c r="F43" s="469">
        <f>DAYS360(D43,E43,0)+1</f>
        <v>90</v>
      </c>
      <c r="G43" s="424"/>
      <c r="H43" s="516">
        <f>3150000*(1+$C$8)</f>
        <v>3391605</v>
      </c>
      <c r="I43" s="424">
        <v>0</v>
      </c>
      <c r="J43" s="424">
        <f>+I43+H43</f>
        <v>3391605</v>
      </c>
      <c r="K43" s="424">
        <f>+J43/30*F43</f>
        <v>10174815</v>
      </c>
      <c r="L43" s="424">
        <f>+J43*F43/360</f>
        <v>847901.25</v>
      </c>
      <c r="M43" s="424">
        <f>+L43*12%</f>
        <v>101748.15</v>
      </c>
      <c r="N43" s="424">
        <f>+L43</f>
        <v>847901.25</v>
      </c>
      <c r="O43" s="424">
        <f>+J43*F43/720</f>
        <v>423950.625</v>
      </c>
      <c r="P43" s="424">
        <f>+H43*0.085</f>
        <v>288286.42500000005</v>
      </c>
      <c r="Q43" s="424">
        <f>+H43*12%</f>
        <v>406992.6</v>
      </c>
      <c r="R43" s="424">
        <f>+H43*0.522%</f>
        <v>17704.1781</v>
      </c>
      <c r="S43" s="424">
        <f>+((P43+Q43+R43)/30*F43)</f>
        <v>2138949.6093</v>
      </c>
      <c r="T43" s="424">
        <f>+H43*0.04</f>
        <v>135664.2</v>
      </c>
      <c r="U43" s="424">
        <f>+(T43/30)*F43</f>
        <v>406992.60000000003</v>
      </c>
      <c r="V43" s="424">
        <f>+H43*0.03</f>
        <v>101748.15</v>
      </c>
      <c r="W43" s="424">
        <f>+H43*0.02</f>
        <v>67832.1</v>
      </c>
      <c r="X43" s="424">
        <f>+((V43+W43)/30*F43)</f>
        <v>508740.75</v>
      </c>
      <c r="Y43" s="424">
        <f>K43+L43+M43+N43+O43+S43+U43+X43</f>
        <v>15450999.2343</v>
      </c>
      <c r="Z43" s="424">
        <f>+Y43/12</f>
        <v>1287583.2695250001</v>
      </c>
      <c r="AA43" s="424"/>
      <c r="AB43" s="497"/>
      <c r="AC43" s="428"/>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row>
    <row r="44" spans="1:57" ht="14.25">
      <c r="A44" s="535" t="s">
        <v>388</v>
      </c>
      <c r="B44" s="421" t="s">
        <v>410</v>
      </c>
      <c r="C44" s="422">
        <v>1</v>
      </c>
      <c r="D44" s="470">
        <v>39904</v>
      </c>
      <c r="E44" s="568">
        <v>39994</v>
      </c>
      <c r="F44" s="469">
        <f>DAYS360(D44,E44,0)+1</f>
        <v>90</v>
      </c>
      <c r="G44" s="424"/>
      <c r="H44" s="443">
        <f>2549521*(1+$C$8)</f>
        <v>2745069.2607</v>
      </c>
      <c r="I44" s="424"/>
      <c r="J44" s="424">
        <f>+I44+H44</f>
        <v>2745069.2607</v>
      </c>
      <c r="K44" s="424">
        <f>+J44/30*F44</f>
        <v>8235207.7821</v>
      </c>
      <c r="L44" s="424">
        <f>+J44*F44/360</f>
        <v>686267.315175</v>
      </c>
      <c r="M44" s="424">
        <f>+L44*12%</f>
        <v>82352.077821</v>
      </c>
      <c r="N44" s="424">
        <f>+L44</f>
        <v>686267.315175</v>
      </c>
      <c r="O44" s="424">
        <f>+J44*F44/720</f>
        <v>343133.6575875</v>
      </c>
      <c r="P44" s="424">
        <f>+H44*0.085</f>
        <v>233330.8871595</v>
      </c>
      <c r="Q44" s="424">
        <f>+H44*12%</f>
        <v>329408.311284</v>
      </c>
      <c r="R44" s="424">
        <f>+H44*0.522%</f>
        <v>14329.261540853999</v>
      </c>
      <c r="S44" s="424">
        <f>+((P44+Q44+R44)/30*F44)</f>
        <v>1731205.379953062</v>
      </c>
      <c r="T44" s="424">
        <f>+H44*0.04</f>
        <v>109802.770428</v>
      </c>
      <c r="U44" s="424">
        <f>+(T44/30)*F44</f>
        <v>329408.311284</v>
      </c>
      <c r="V44" s="424">
        <f>+H44*0.03</f>
        <v>82352.077821</v>
      </c>
      <c r="W44" s="424">
        <f>+H44*0.02</f>
        <v>54901.385214</v>
      </c>
      <c r="X44" s="424">
        <f>+((V44+W44)/30*F44)</f>
        <v>411760.38910499995</v>
      </c>
      <c r="Y44" s="424">
        <f>K44+L44+M44+N44+O44+S44+U44+X44</f>
        <v>12505602.228200562</v>
      </c>
      <c r="Z44" s="424">
        <f>+Y44/12</f>
        <v>1042133.5190167135</v>
      </c>
      <c r="AA44" s="424"/>
      <c r="AB44" s="413"/>
      <c r="AC44" s="497"/>
      <c r="AD44" s="513">
        <f>+AB42+AB43+AB46</f>
        <v>0</v>
      </c>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row>
    <row r="45" spans="1:57" ht="14.25">
      <c r="A45" s="535" t="s">
        <v>389</v>
      </c>
      <c r="B45" s="421" t="s">
        <v>410</v>
      </c>
      <c r="C45" s="422">
        <v>1</v>
      </c>
      <c r="D45" s="470">
        <v>39904</v>
      </c>
      <c r="E45" s="568">
        <v>39994</v>
      </c>
      <c r="F45" s="469">
        <f>DAYS360(D45,E45,0)+1</f>
        <v>90</v>
      </c>
      <c r="G45" s="424"/>
      <c r="H45" s="443">
        <f>2549521*(1+$C$8)</f>
        <v>2745069.2607</v>
      </c>
      <c r="I45" s="424"/>
      <c r="J45" s="424">
        <f>+I45+H45</f>
        <v>2745069.2607</v>
      </c>
      <c r="K45" s="424">
        <f>+J45/30*F45</f>
        <v>8235207.7821</v>
      </c>
      <c r="L45" s="424">
        <f>+J45*F45/360</f>
        <v>686267.315175</v>
      </c>
      <c r="M45" s="424">
        <f>+L45*12%</f>
        <v>82352.077821</v>
      </c>
      <c r="N45" s="424">
        <f>+L45</f>
        <v>686267.315175</v>
      </c>
      <c r="O45" s="424">
        <f>+J45*F45/720</f>
        <v>343133.6575875</v>
      </c>
      <c r="P45" s="424">
        <f>+H45*0.085</f>
        <v>233330.8871595</v>
      </c>
      <c r="Q45" s="424">
        <f>+H45*12%</f>
        <v>329408.311284</v>
      </c>
      <c r="R45" s="424">
        <f>+H45*0.522%</f>
        <v>14329.261540853999</v>
      </c>
      <c r="S45" s="424">
        <f>+((P45+Q45+R45)/30*F45)</f>
        <v>1731205.379953062</v>
      </c>
      <c r="T45" s="424">
        <f>+H45*0.04</f>
        <v>109802.770428</v>
      </c>
      <c r="U45" s="424">
        <f>+(T45/30)*F45</f>
        <v>329408.311284</v>
      </c>
      <c r="V45" s="424">
        <f>+H45*0.03</f>
        <v>82352.077821</v>
      </c>
      <c r="W45" s="424">
        <f>+H45*0.02</f>
        <v>54901.385214</v>
      </c>
      <c r="X45" s="424">
        <f>+((V45+W45)/30*F45)</f>
        <v>411760.38910499995</v>
      </c>
      <c r="Y45" s="424">
        <f>K45+L45+M45+N45+O45+S45+U45+X45</f>
        <v>12505602.228200562</v>
      </c>
      <c r="Z45" s="424">
        <f>+Y45/12</f>
        <v>1042133.5190167135</v>
      </c>
      <c r="AA45" s="417"/>
      <c r="AB45" s="426"/>
      <c r="AC45" s="415"/>
      <c r="AD45" s="511">
        <f>+AB42+AB46+AB44</f>
        <v>0</v>
      </c>
      <c r="AE45" s="405"/>
      <c r="AF45" s="405"/>
      <c r="AG45" s="405"/>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row>
    <row r="46" spans="1:57" ht="14.25">
      <c r="A46" s="421" t="s">
        <v>18</v>
      </c>
      <c r="B46" s="421" t="s">
        <v>407</v>
      </c>
      <c r="C46" s="422">
        <v>1</v>
      </c>
      <c r="D46" s="470">
        <v>39904</v>
      </c>
      <c r="E46" s="568">
        <v>39994</v>
      </c>
      <c r="F46" s="469">
        <f>DAYS360(D46,E46,0)+1</f>
        <v>90</v>
      </c>
      <c r="G46" s="422"/>
      <c r="H46" s="424">
        <f>643963*(1+$C$8)</f>
        <v>693354.9621</v>
      </c>
      <c r="I46" s="424">
        <f>+E8</f>
        <v>59300</v>
      </c>
      <c r="J46" s="424">
        <f>+I46+H46</f>
        <v>752654.9621</v>
      </c>
      <c r="K46" s="424">
        <f>+J46/30*F46</f>
        <v>2257964.8863000004</v>
      </c>
      <c r="L46" s="424">
        <f>+J46*F46/360</f>
        <v>188163.740525</v>
      </c>
      <c r="M46" s="424">
        <f>+L46*12%</f>
        <v>22579.648863</v>
      </c>
      <c r="N46" s="424">
        <f>+L46</f>
        <v>188163.740525</v>
      </c>
      <c r="O46" s="424">
        <f>+J46*F46/720</f>
        <v>94081.8702625</v>
      </c>
      <c r="P46" s="424">
        <f>+H46*0.085</f>
        <v>58935.17177850001</v>
      </c>
      <c r="Q46" s="424">
        <f>+H46*12%</f>
        <v>83202.595452</v>
      </c>
      <c r="R46" s="424">
        <f>+H46*0.522%</f>
        <v>3619.312902162</v>
      </c>
      <c r="S46" s="424">
        <f>+((P46+Q46+R46)/30*F46)</f>
        <v>437271.24039798597</v>
      </c>
      <c r="T46" s="424">
        <f>+H46*0.04</f>
        <v>27734.198484</v>
      </c>
      <c r="U46" s="424">
        <f>+(T46/30)*F46</f>
        <v>83202.595452</v>
      </c>
      <c r="V46" s="424">
        <f>+H46*0.03</f>
        <v>20800.648863</v>
      </c>
      <c r="W46" s="424">
        <f>+H46*0.02</f>
        <v>13867.099242</v>
      </c>
      <c r="X46" s="424">
        <f>+((V46+W46)/30*F46)</f>
        <v>104003.244315</v>
      </c>
      <c r="Y46" s="424">
        <f>K46+L46+M46+N46+O46+S46+U46+X46</f>
        <v>3375430.9666404855</v>
      </c>
      <c r="Z46" s="424">
        <f>+Y46/12</f>
        <v>281285.9138867071</v>
      </c>
      <c r="AA46" s="424">
        <v>10082312</v>
      </c>
      <c r="AB46" s="413"/>
      <c r="AC46" s="413"/>
      <c r="AD46" s="513">
        <f>+Y45+AB46+AB42</f>
        <v>12505602.228200562</v>
      </c>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row>
    <row r="47" spans="1:57" ht="12.75">
      <c r="A47" s="432"/>
      <c r="B47" s="432"/>
      <c r="C47" s="433"/>
      <c r="D47" s="433"/>
      <c r="E47" s="433"/>
      <c r="F47" s="433"/>
      <c r="G47" s="433"/>
      <c r="H47" s="434"/>
      <c r="I47" s="434"/>
      <c r="J47" s="434"/>
      <c r="K47" s="434"/>
      <c r="L47" s="434"/>
      <c r="M47" s="434"/>
      <c r="N47" s="434"/>
      <c r="O47" s="434"/>
      <c r="P47" s="434"/>
      <c r="Q47" s="434"/>
      <c r="R47" s="434"/>
      <c r="S47" s="434"/>
      <c r="T47" s="434"/>
      <c r="U47" s="434"/>
      <c r="V47" s="434"/>
      <c r="W47" s="434"/>
      <c r="X47" s="434"/>
      <c r="Y47" s="434"/>
      <c r="Z47" s="434"/>
      <c r="AA47" s="434"/>
      <c r="AB47" s="413"/>
      <c r="AC47" s="413"/>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row>
    <row r="48" spans="1:57" ht="12.75">
      <c r="A48" s="432"/>
      <c r="B48" s="432"/>
      <c r="C48" s="433"/>
      <c r="D48" s="433"/>
      <c r="E48" s="433"/>
      <c r="F48" s="433"/>
      <c r="G48" s="433"/>
      <c r="H48" s="434"/>
      <c r="I48" s="434"/>
      <c r="J48" s="434"/>
      <c r="K48" s="434"/>
      <c r="L48" s="434"/>
      <c r="M48" s="434"/>
      <c r="N48" s="434"/>
      <c r="O48" s="434"/>
      <c r="P48" s="434"/>
      <c r="Q48" s="434"/>
      <c r="R48" s="434"/>
      <c r="S48" s="434"/>
      <c r="T48" s="434"/>
      <c r="U48" s="434"/>
      <c r="V48" s="434"/>
      <c r="W48" s="434"/>
      <c r="X48" s="434"/>
      <c r="Y48" s="434"/>
      <c r="Z48" s="434"/>
      <c r="AA48" s="434"/>
      <c r="AB48" s="413"/>
      <c r="AC48" s="413"/>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row>
    <row r="49" spans="1:57" ht="15.75">
      <c r="A49" s="453" t="s">
        <v>27</v>
      </c>
      <c r="B49" s="453" t="s">
        <v>405</v>
      </c>
      <c r="C49" s="411"/>
      <c r="D49" s="411"/>
      <c r="E49" s="411"/>
      <c r="F49" s="411"/>
      <c r="G49" s="413"/>
      <c r="H49" s="386"/>
      <c r="I49" s="386"/>
      <c r="J49" s="386"/>
      <c r="K49" s="386"/>
      <c r="L49" s="386"/>
      <c r="M49" s="386"/>
      <c r="N49" s="386"/>
      <c r="O49" s="386"/>
      <c r="P49" s="386"/>
      <c r="Q49" s="386"/>
      <c r="R49" s="386"/>
      <c r="S49" s="386"/>
      <c r="T49" s="386"/>
      <c r="U49" s="386"/>
      <c r="V49" s="386"/>
      <c r="W49" s="386"/>
      <c r="X49" s="386"/>
      <c r="Y49" s="427">
        <f>+Y50</f>
        <v>31332032.429141052</v>
      </c>
      <c r="Z49" s="386"/>
      <c r="AA49" s="386"/>
      <c r="AB49" s="413"/>
      <c r="AC49" s="413"/>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row>
    <row r="50" spans="1:57" ht="12.75">
      <c r="A50" s="458" t="str">
        <f>+GASTOS!A115</f>
        <v>PRODUCTIVIDAD DE EMPRESA</v>
      </c>
      <c r="B50" s="458"/>
      <c r="C50" s="430">
        <f>SUM(C51:C53)</f>
        <v>3</v>
      </c>
      <c r="D50" s="430"/>
      <c r="E50" s="430"/>
      <c r="F50" s="430"/>
      <c r="G50" s="459">
        <f>SUM(G51:G54)</f>
        <v>0</v>
      </c>
      <c r="H50" s="460">
        <f aca="true" t="shared" si="41" ref="H50:Z50">SUM(H51:H53)</f>
        <v>6830029.222800001</v>
      </c>
      <c r="I50" s="460">
        <f t="shared" si="41"/>
        <v>59300</v>
      </c>
      <c r="J50" s="460">
        <f t="shared" si="41"/>
        <v>6889329.222800001</v>
      </c>
      <c r="K50" s="460">
        <f t="shared" si="41"/>
        <v>20667987.6684</v>
      </c>
      <c r="L50" s="460">
        <f t="shared" si="41"/>
        <v>1722332.3057000001</v>
      </c>
      <c r="M50" s="460">
        <f t="shared" si="41"/>
        <v>206679.876684</v>
      </c>
      <c r="N50" s="460">
        <f t="shared" si="41"/>
        <v>1722332.3057000001</v>
      </c>
      <c r="O50" s="460">
        <f t="shared" si="41"/>
        <v>861166.1528500001</v>
      </c>
      <c r="P50" s="460">
        <f t="shared" si="41"/>
        <v>580552.483938</v>
      </c>
      <c r="Q50" s="460">
        <f t="shared" si="41"/>
        <v>819603.506736</v>
      </c>
      <c r="R50" s="460">
        <f t="shared" si="41"/>
        <v>35652.752543015995</v>
      </c>
      <c r="S50" s="460">
        <f t="shared" si="41"/>
        <v>4307426.229651048</v>
      </c>
      <c r="T50" s="460">
        <f t="shared" si="41"/>
        <v>273201.168912</v>
      </c>
      <c r="U50" s="460">
        <f t="shared" si="41"/>
        <v>819603.5067360001</v>
      </c>
      <c r="V50" s="460">
        <f t="shared" si="41"/>
        <v>204900.876684</v>
      </c>
      <c r="W50" s="460">
        <f t="shared" si="41"/>
        <v>136600.584456</v>
      </c>
      <c r="X50" s="460">
        <f t="shared" si="41"/>
        <v>1024504.38342</v>
      </c>
      <c r="Y50" s="460">
        <f t="shared" si="41"/>
        <v>31332032.429141052</v>
      </c>
      <c r="Z50" s="460">
        <f t="shared" si="41"/>
        <v>2611002.702428421</v>
      </c>
      <c r="AA50" s="460"/>
      <c r="AB50" s="413"/>
      <c r="AC50" s="413"/>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row>
    <row r="51" spans="1:57" ht="14.25">
      <c r="A51" s="421" t="s">
        <v>361</v>
      </c>
      <c r="B51" s="421" t="s">
        <v>414</v>
      </c>
      <c r="C51" s="422">
        <v>1</v>
      </c>
      <c r="D51" s="470">
        <v>39904</v>
      </c>
      <c r="E51" s="568">
        <v>39994</v>
      </c>
      <c r="F51" s="469">
        <f>DAYS360(D51,E51,0)+1</f>
        <v>90</v>
      </c>
      <c r="G51" s="424"/>
      <c r="H51" s="516">
        <f>3150000*(1+$C$8)</f>
        <v>3391605</v>
      </c>
      <c r="I51" s="424">
        <v>0</v>
      </c>
      <c r="J51" s="424">
        <f>+I51+H51</f>
        <v>3391605</v>
      </c>
      <c r="K51" s="424">
        <f>+J51/30*F51</f>
        <v>10174815</v>
      </c>
      <c r="L51" s="424">
        <f>+J51*F51/360</f>
        <v>847901.25</v>
      </c>
      <c r="M51" s="424">
        <f>+L51*12%</f>
        <v>101748.15</v>
      </c>
      <c r="N51" s="424">
        <f>+L51</f>
        <v>847901.25</v>
      </c>
      <c r="O51" s="424">
        <f>+J51*F51/720</f>
        <v>423950.625</v>
      </c>
      <c r="P51" s="424">
        <f>+H51*0.085</f>
        <v>288286.42500000005</v>
      </c>
      <c r="Q51" s="424">
        <f>+H51*12%</f>
        <v>406992.6</v>
      </c>
      <c r="R51" s="424">
        <f>+H51*0.522%</f>
        <v>17704.1781</v>
      </c>
      <c r="S51" s="424">
        <f>+((P51+Q51+R51)/30*F51)</f>
        <v>2138949.6093</v>
      </c>
      <c r="T51" s="424">
        <f>+H51*0.04</f>
        <v>135664.2</v>
      </c>
      <c r="U51" s="424">
        <f>+(T51/30)*F51</f>
        <v>406992.60000000003</v>
      </c>
      <c r="V51" s="424">
        <f>+H51*0.03</f>
        <v>101748.15</v>
      </c>
      <c r="W51" s="424">
        <f>+H51*0.02</f>
        <v>67832.1</v>
      </c>
      <c r="X51" s="424">
        <f>+((V51+W51)/30*F51)</f>
        <v>508740.75</v>
      </c>
      <c r="Y51" s="424">
        <f>K51+L51+M51+N51+O51+S51+U51+X51</f>
        <v>15450999.2343</v>
      </c>
      <c r="Z51" s="424">
        <f>+Y51/12</f>
        <v>1287583.2695250001</v>
      </c>
      <c r="AA51" s="424">
        <v>18896705</v>
      </c>
      <c r="AB51" s="512"/>
      <c r="AC51" s="413"/>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row>
    <row r="52" spans="1:57" ht="14.25">
      <c r="A52" s="421" t="s">
        <v>402</v>
      </c>
      <c r="B52" s="421" t="s">
        <v>410</v>
      </c>
      <c r="C52" s="422">
        <v>1</v>
      </c>
      <c r="D52" s="470">
        <v>39904</v>
      </c>
      <c r="E52" s="568">
        <v>39994</v>
      </c>
      <c r="F52" s="469">
        <f>DAYS360(D52,E52,0)+1</f>
        <v>90</v>
      </c>
      <c r="G52" s="424"/>
      <c r="H52" s="443">
        <f>2549521*(1+$C$8)</f>
        <v>2745069.2607</v>
      </c>
      <c r="I52" s="424"/>
      <c r="J52" s="424">
        <f>+I52+H52</f>
        <v>2745069.2607</v>
      </c>
      <c r="K52" s="424">
        <f>+J52/30*F52</f>
        <v>8235207.7821</v>
      </c>
      <c r="L52" s="424">
        <f>+J52*F52/360</f>
        <v>686267.315175</v>
      </c>
      <c r="M52" s="424">
        <f>+L52*12%</f>
        <v>82352.077821</v>
      </c>
      <c r="N52" s="424">
        <f>+L52</f>
        <v>686267.315175</v>
      </c>
      <c r="O52" s="424">
        <f>+J52*F52/720</f>
        <v>343133.6575875</v>
      </c>
      <c r="P52" s="424">
        <f>+H52*0.085</f>
        <v>233330.8871595</v>
      </c>
      <c r="Q52" s="424">
        <f>+H52*12%</f>
        <v>329408.311284</v>
      </c>
      <c r="R52" s="424">
        <f>+H52*0.522%</f>
        <v>14329.261540853999</v>
      </c>
      <c r="S52" s="424">
        <f>+((P52+Q52+R52)/30*F52)</f>
        <v>1731205.379953062</v>
      </c>
      <c r="T52" s="424">
        <f>+H52*0.04</f>
        <v>109802.770428</v>
      </c>
      <c r="U52" s="424">
        <f>+(T52/30)*F52</f>
        <v>329408.311284</v>
      </c>
      <c r="V52" s="424">
        <f>+H52*0.03</f>
        <v>82352.077821</v>
      </c>
      <c r="W52" s="424">
        <f>+H52*0.02</f>
        <v>54901.385214</v>
      </c>
      <c r="X52" s="424">
        <f>+((V52+W52)/30*F52)</f>
        <v>411760.38910499995</v>
      </c>
      <c r="Y52" s="424">
        <f>K52+L52+M52+N52+O52+S52+U52+X52</f>
        <v>12505602.228200562</v>
      </c>
      <c r="Z52" s="424">
        <f>+Y52/12</f>
        <v>1042133.5190167135</v>
      </c>
      <c r="AA52" s="424"/>
      <c r="AB52" s="512"/>
      <c r="AC52" s="413"/>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row>
    <row r="53" spans="1:57" ht="14.25">
      <c r="A53" s="535" t="s">
        <v>18</v>
      </c>
      <c r="B53" s="421" t="s">
        <v>407</v>
      </c>
      <c r="C53" s="422">
        <v>1</v>
      </c>
      <c r="D53" s="470">
        <v>39904</v>
      </c>
      <c r="E53" s="568">
        <v>39994</v>
      </c>
      <c r="F53" s="469">
        <f>DAYS360(D53,E53,0)+1</f>
        <v>90</v>
      </c>
      <c r="G53" s="422"/>
      <c r="H53" s="424">
        <f>643963*(1+$C$8)</f>
        <v>693354.9621</v>
      </c>
      <c r="I53" s="424">
        <f>+E8</f>
        <v>59300</v>
      </c>
      <c r="J53" s="424">
        <f>+I53+H53</f>
        <v>752654.9621</v>
      </c>
      <c r="K53" s="424">
        <f>+J53/30*F53</f>
        <v>2257964.8863000004</v>
      </c>
      <c r="L53" s="424">
        <f>+J53*F53/360</f>
        <v>188163.740525</v>
      </c>
      <c r="M53" s="424">
        <f>+L53*12%</f>
        <v>22579.648863</v>
      </c>
      <c r="N53" s="424">
        <f>+L53</f>
        <v>188163.740525</v>
      </c>
      <c r="O53" s="424">
        <f>+J53*F53/720</f>
        <v>94081.8702625</v>
      </c>
      <c r="P53" s="424">
        <f>+H53*0.085</f>
        <v>58935.17177850001</v>
      </c>
      <c r="Q53" s="424">
        <f>+H53*12%</f>
        <v>83202.595452</v>
      </c>
      <c r="R53" s="424">
        <f>+H53*0.522%</f>
        <v>3619.312902162</v>
      </c>
      <c r="S53" s="424">
        <f>+((P53+Q53+R53)/30*F53)</f>
        <v>437271.24039798597</v>
      </c>
      <c r="T53" s="424">
        <f>+H53*0.04</f>
        <v>27734.198484</v>
      </c>
      <c r="U53" s="424">
        <f>+(T53/30)*F53</f>
        <v>83202.595452</v>
      </c>
      <c r="V53" s="424">
        <f>+H53*0.03</f>
        <v>20800.648863</v>
      </c>
      <c r="W53" s="424">
        <f>+H53*0.02</f>
        <v>13867.099242</v>
      </c>
      <c r="X53" s="424">
        <f>+((V53+W53)/30*F53)</f>
        <v>104003.244315</v>
      </c>
      <c r="Y53" s="424">
        <f>K53+L53+M53+N53+O53+S53+U53+X53</f>
        <v>3375430.9666404855</v>
      </c>
      <c r="Z53" s="424">
        <f>+Y53/12</f>
        <v>281285.9138867071</v>
      </c>
      <c r="AA53" s="424"/>
      <c r="AB53" s="512"/>
      <c r="AC53" s="413"/>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row>
    <row r="54" spans="1:57" ht="12.75">
      <c r="A54" s="432"/>
      <c r="B54" s="432"/>
      <c r="C54" s="433"/>
      <c r="D54" s="433"/>
      <c r="E54" s="433"/>
      <c r="F54" s="433"/>
      <c r="G54" s="433"/>
      <c r="H54" s="434"/>
      <c r="I54" s="434"/>
      <c r="J54" s="434"/>
      <c r="K54" s="434"/>
      <c r="L54" s="434"/>
      <c r="M54" s="434"/>
      <c r="N54" s="434"/>
      <c r="O54" s="434"/>
      <c r="P54" s="434"/>
      <c r="Q54" s="434"/>
      <c r="R54" s="434"/>
      <c r="S54" s="434"/>
      <c r="T54" s="434"/>
      <c r="U54" s="434"/>
      <c r="V54" s="434"/>
      <c r="W54" s="434"/>
      <c r="X54" s="434"/>
      <c r="Y54" s="434"/>
      <c r="Z54" s="434"/>
      <c r="AA54" s="434"/>
      <c r="AB54" s="413"/>
      <c r="AC54" s="413"/>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row>
    <row r="55" spans="1:57" ht="12.75">
      <c r="A55" s="432"/>
      <c r="B55" s="432"/>
      <c r="C55" s="433"/>
      <c r="D55" s="433"/>
      <c r="E55" s="433"/>
      <c r="F55" s="433"/>
      <c r="G55" s="433"/>
      <c r="H55" s="434"/>
      <c r="I55" s="434"/>
      <c r="J55" s="434"/>
      <c r="K55" s="434"/>
      <c r="L55" s="434"/>
      <c r="M55" s="434"/>
      <c r="N55" s="434"/>
      <c r="O55" s="434"/>
      <c r="P55" s="434"/>
      <c r="Q55" s="434"/>
      <c r="R55" s="434"/>
      <c r="S55" s="434"/>
      <c r="T55" s="434"/>
      <c r="U55" s="434"/>
      <c r="V55" s="434"/>
      <c r="W55" s="434"/>
      <c r="X55" s="434"/>
      <c r="Y55" s="434"/>
      <c r="Z55" s="434"/>
      <c r="AA55" s="434"/>
      <c r="AB55" s="413"/>
      <c r="AC55" s="413"/>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row>
    <row r="56" spans="1:57" ht="15.75">
      <c r="A56" s="453" t="s">
        <v>325</v>
      </c>
      <c r="B56" s="453" t="s">
        <v>405</v>
      </c>
      <c r="C56" s="433"/>
      <c r="D56" s="433"/>
      <c r="E56" s="433"/>
      <c r="F56" s="433"/>
      <c r="G56" s="433"/>
      <c r="H56" s="434"/>
      <c r="I56" s="434"/>
      <c r="J56" s="434"/>
      <c r="K56" s="434"/>
      <c r="L56" s="434"/>
      <c r="M56" s="434"/>
      <c r="N56" s="434"/>
      <c r="O56" s="434"/>
      <c r="P56" s="434"/>
      <c r="Q56" s="434"/>
      <c r="R56" s="434"/>
      <c r="S56" s="434"/>
      <c r="T56" s="434"/>
      <c r="U56" s="434"/>
      <c r="V56" s="434"/>
      <c r="W56" s="434"/>
      <c r="X56" s="434"/>
      <c r="Y56" s="435">
        <f>+Y57</f>
        <v>227037030.46757063</v>
      </c>
      <c r="Z56" s="434"/>
      <c r="AA56" s="434"/>
      <c r="AB56" s="413"/>
      <c r="AC56" s="413"/>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row>
    <row r="57" spans="1:57" ht="12.75">
      <c r="A57" s="454" t="s">
        <v>206</v>
      </c>
      <c r="B57" s="454"/>
      <c r="C57" s="423">
        <f>SUM(C58:C67)</f>
        <v>30</v>
      </c>
      <c r="D57" s="423"/>
      <c r="E57" s="423"/>
      <c r="F57" s="423"/>
      <c r="G57" s="464">
        <f>+G58</f>
        <v>6461000.649999999</v>
      </c>
      <c r="H57" s="465">
        <f>SUM(H58:H67)</f>
        <v>44539539.018199995</v>
      </c>
      <c r="I57" s="465">
        <f aca="true" t="shared" si="42" ref="I57:Z57">SUM(I58:I67)</f>
        <v>177900</v>
      </c>
      <c r="J57" s="465">
        <f t="shared" si="42"/>
        <v>46655739.213199995</v>
      </c>
      <c r="K57" s="465">
        <f t="shared" si="42"/>
        <v>154705437.16709998</v>
      </c>
      <c r="L57" s="465">
        <f t="shared" si="42"/>
        <v>10048684.6408</v>
      </c>
      <c r="M57" s="465">
        <f t="shared" si="42"/>
        <v>1205842.1568960003</v>
      </c>
      <c r="N57" s="465">
        <f t="shared" si="42"/>
        <v>10048684.6408</v>
      </c>
      <c r="O57" s="465">
        <f t="shared" si="42"/>
        <v>5831967.40165</v>
      </c>
      <c r="P57" s="465">
        <f t="shared" si="42"/>
        <v>3785860.8165470003</v>
      </c>
      <c r="Q57" s="465">
        <f t="shared" si="42"/>
        <v>5344744.6821840005</v>
      </c>
      <c r="R57" s="465">
        <f t="shared" si="42"/>
        <v>425760.21891268203</v>
      </c>
      <c r="S57" s="465">
        <f t="shared" si="42"/>
        <v>31844299.16793564</v>
      </c>
      <c r="T57" s="465">
        <f t="shared" si="42"/>
        <v>1781581.5607280002</v>
      </c>
      <c r="U57" s="465">
        <f t="shared" si="42"/>
        <v>5934273.463284002</v>
      </c>
      <c r="V57" s="465">
        <f t="shared" si="42"/>
        <v>1336186.1705460001</v>
      </c>
      <c r="W57" s="465">
        <f t="shared" si="42"/>
        <v>890790.7803640001</v>
      </c>
      <c r="X57" s="465">
        <f t="shared" si="42"/>
        <v>7417841.829105001</v>
      </c>
      <c r="Y57" s="465">
        <f t="shared" si="42"/>
        <v>227037030.46757063</v>
      </c>
      <c r="Z57" s="465">
        <f t="shared" si="42"/>
        <v>18919752.538964216</v>
      </c>
      <c r="AA57" s="465"/>
      <c r="AB57" s="413"/>
      <c r="AC57" s="413"/>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row>
    <row r="58" spans="1:57" ht="14.25">
      <c r="A58" s="535" t="s">
        <v>215</v>
      </c>
      <c r="B58" s="421" t="s">
        <v>413</v>
      </c>
      <c r="C58" s="422">
        <v>1</v>
      </c>
      <c r="D58" s="470">
        <v>39904</v>
      </c>
      <c r="E58" s="568">
        <v>39994</v>
      </c>
      <c r="F58" s="469">
        <f aca="true" t="shared" si="43" ref="F58:F65">DAYS360(D58,E58,0)+1</f>
        <v>90</v>
      </c>
      <c r="G58" s="424">
        <f>+$E$7*13</f>
        <v>6461000.649999999</v>
      </c>
      <c r="H58" s="424">
        <f>+G58*70%</f>
        <v>4522700.454999999</v>
      </c>
      <c r="I58" s="424"/>
      <c r="J58" s="424">
        <f>G58</f>
        <v>6461000.649999999</v>
      </c>
      <c r="K58" s="424">
        <f aca="true" t="shared" si="44" ref="K58:K65">+J58/30*F58</f>
        <v>19383001.95</v>
      </c>
      <c r="L58" s="424">
        <v>0</v>
      </c>
      <c r="M58" s="424">
        <f>+L58*12%</f>
        <v>0</v>
      </c>
      <c r="N58" s="424">
        <v>0</v>
      </c>
      <c r="O58" s="424">
        <f aca="true" t="shared" si="45" ref="O58:O67">+J58*F58/720</f>
        <v>807625.08125</v>
      </c>
      <c r="P58" s="424">
        <f aca="true" t="shared" si="46" ref="P58:P65">+H58*0.085</f>
        <v>384429.53867499996</v>
      </c>
      <c r="Q58" s="424">
        <f aca="true" t="shared" si="47" ref="Q58:Q65">+H58*12%</f>
        <v>542724.0545999999</v>
      </c>
      <c r="R58" s="424">
        <f>+H58*0.522%</f>
        <v>23608.496375099996</v>
      </c>
      <c r="S58" s="424">
        <f aca="true" t="shared" si="48" ref="S58:S65">+((P58+Q58+R58)/30*F58)</f>
        <v>2852286.2689502994</v>
      </c>
      <c r="T58" s="424">
        <f aca="true" t="shared" si="49" ref="T58:T65">+H58*0.04</f>
        <v>180908.01819999996</v>
      </c>
      <c r="U58" s="424">
        <f aca="true" t="shared" si="50" ref="U58:U65">+(T58/30)*F58</f>
        <v>542724.0545999999</v>
      </c>
      <c r="V58" s="424">
        <f aca="true" t="shared" si="51" ref="V58:V65">+H58*0.03</f>
        <v>135681.01364999998</v>
      </c>
      <c r="W58" s="424">
        <f aca="true" t="shared" si="52" ref="W58:W65">+H58*0.02</f>
        <v>90454.00909999998</v>
      </c>
      <c r="X58" s="424">
        <f aca="true" t="shared" si="53" ref="X58:X65">+((V58+W58)/30*F58)</f>
        <v>678405.0682499998</v>
      </c>
      <c r="Y58" s="424">
        <f aca="true" t="shared" si="54" ref="Y58:Y65">K58+L58+M58+N58+O58+S58+U58+X58</f>
        <v>24264042.4230503</v>
      </c>
      <c r="Z58" s="424">
        <f>+Y58/12</f>
        <v>2022003.5352541916</v>
      </c>
      <c r="AA58" s="460"/>
      <c r="AB58" s="413"/>
      <c r="AC58" s="413"/>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row>
    <row r="59" spans="1:57" ht="14.25">
      <c r="A59" s="535" t="s">
        <v>24</v>
      </c>
      <c r="B59" s="421" t="s">
        <v>410</v>
      </c>
      <c r="C59" s="429">
        <v>1</v>
      </c>
      <c r="D59" s="470">
        <v>39904</v>
      </c>
      <c r="E59" s="568">
        <v>39994</v>
      </c>
      <c r="F59" s="469">
        <f>DAYS360(D59,E59,0)+1</f>
        <v>90</v>
      </c>
      <c r="G59" s="430"/>
      <c r="H59" s="521">
        <f>2549521*(1+$C$8)</f>
        <v>2745069.2607</v>
      </c>
      <c r="I59" s="424"/>
      <c r="J59" s="424">
        <f>+I59+H59</f>
        <v>2745069.2607</v>
      </c>
      <c r="K59" s="424">
        <f>+J59/30*F59</f>
        <v>8235207.7821</v>
      </c>
      <c r="L59" s="424">
        <f aca="true" t="shared" si="55" ref="L59:L67">+J59*F59/360</f>
        <v>686267.315175</v>
      </c>
      <c r="M59" s="424">
        <f>+L59*12%</f>
        <v>82352.077821</v>
      </c>
      <c r="N59" s="424">
        <f aca="true" t="shared" si="56" ref="N59:N66">+L59</f>
        <v>686267.315175</v>
      </c>
      <c r="O59" s="424">
        <f t="shared" si="45"/>
        <v>343133.6575875</v>
      </c>
      <c r="P59" s="424">
        <f>+H59*0.085</f>
        <v>233330.8871595</v>
      </c>
      <c r="Q59" s="424">
        <f>+H59*12%</f>
        <v>329408.311284</v>
      </c>
      <c r="R59" s="424">
        <f>+H59*1.044%</f>
        <v>28658.523081707997</v>
      </c>
      <c r="S59" s="424">
        <f>+((P59+Q59+R59)/30*F59)</f>
        <v>1774193.1645756238</v>
      </c>
      <c r="T59" s="424">
        <f>+H59*0.04</f>
        <v>109802.770428</v>
      </c>
      <c r="U59" s="424">
        <f>+(T59/30)*F59</f>
        <v>329408.311284</v>
      </c>
      <c r="V59" s="424">
        <f>+H59*0.03</f>
        <v>82352.077821</v>
      </c>
      <c r="W59" s="424">
        <f>+H59*0.02</f>
        <v>54901.385214</v>
      </c>
      <c r="X59" s="424">
        <f>+((V59+W59)/30*F59)</f>
        <v>411760.38910499995</v>
      </c>
      <c r="Y59" s="520">
        <f>K59+L59+M59+N59+O59+S59+U59+X59</f>
        <v>12548590.012823123</v>
      </c>
      <c r="Z59" s="424">
        <f>+Y59/12</f>
        <v>1045715.834401927</v>
      </c>
      <c r="AA59" s="460"/>
      <c r="AB59" s="413"/>
      <c r="AC59" s="413"/>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row>
    <row r="60" spans="1:57" ht="14.25">
      <c r="A60" s="421" t="s">
        <v>16</v>
      </c>
      <c r="B60" s="421" t="s">
        <v>414</v>
      </c>
      <c r="C60" s="422">
        <v>17</v>
      </c>
      <c r="D60" s="470">
        <v>39904</v>
      </c>
      <c r="E60" s="568">
        <v>39994</v>
      </c>
      <c r="F60" s="469">
        <f t="shared" si="43"/>
        <v>90</v>
      </c>
      <c r="G60" s="422"/>
      <c r="H60" s="520">
        <f>(1373103*(1+$C$8))*C60</f>
        <v>25133140.001700003</v>
      </c>
      <c r="I60" s="424">
        <v>0</v>
      </c>
      <c r="J60" s="424">
        <f>+H60</f>
        <v>25133140.001700003</v>
      </c>
      <c r="K60" s="424">
        <f t="shared" si="44"/>
        <v>75399420.0051</v>
      </c>
      <c r="L60" s="424">
        <f t="shared" si="55"/>
        <v>6283285.000425001</v>
      </c>
      <c r="M60" s="424">
        <f aca="true" t="shared" si="57" ref="M60:M65">+L60*12%</f>
        <v>753994.2000510001</v>
      </c>
      <c r="N60" s="424">
        <f t="shared" si="56"/>
        <v>6283285.000425001</v>
      </c>
      <c r="O60" s="424">
        <f t="shared" si="45"/>
        <v>3141642.5002125003</v>
      </c>
      <c r="P60" s="424">
        <f t="shared" si="46"/>
        <v>2136316.9001445</v>
      </c>
      <c r="Q60" s="424">
        <f t="shared" si="47"/>
        <v>3015976.8002040004</v>
      </c>
      <c r="R60" s="424">
        <f>+H60*1.044%</f>
        <v>262389.98161774804</v>
      </c>
      <c r="S60" s="424">
        <f t="shared" si="48"/>
        <v>16244051.045898743</v>
      </c>
      <c r="T60" s="424">
        <f t="shared" si="49"/>
        <v>1005325.6000680001</v>
      </c>
      <c r="U60" s="424">
        <f t="shared" si="50"/>
        <v>3015976.8002040004</v>
      </c>
      <c r="V60" s="424">
        <f t="shared" si="51"/>
        <v>753994.2000510001</v>
      </c>
      <c r="W60" s="424">
        <f t="shared" si="52"/>
        <v>502662.8000340001</v>
      </c>
      <c r="X60" s="424">
        <f t="shared" si="53"/>
        <v>3769971.0002550003</v>
      </c>
      <c r="Y60" s="520">
        <f t="shared" si="54"/>
        <v>114891625.55257124</v>
      </c>
      <c r="Z60" s="424">
        <f aca="true" t="shared" si="58" ref="Z60:Z65">+Y60/12</f>
        <v>9574302.129380936</v>
      </c>
      <c r="AA60" s="424">
        <f>294798628+18896705</f>
        <v>313695333</v>
      </c>
      <c r="AB60" s="428"/>
      <c r="AC60" s="413"/>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row>
    <row r="61" spans="1:57" ht="14.25">
      <c r="A61" s="421" t="s">
        <v>17</v>
      </c>
      <c r="B61" s="421" t="s">
        <v>415</v>
      </c>
      <c r="C61" s="422">
        <v>5</v>
      </c>
      <c r="D61" s="470">
        <v>39904</v>
      </c>
      <c r="E61" s="568">
        <v>39994</v>
      </c>
      <c r="F61" s="469">
        <f t="shared" si="43"/>
        <v>90</v>
      </c>
      <c r="G61" s="422"/>
      <c r="H61" s="520">
        <f>(1202250*(1+$C$8))*C61</f>
        <v>6472312.875</v>
      </c>
      <c r="I61" s="424"/>
      <c r="J61" s="424">
        <f aca="true" t="shared" si="59" ref="J61:J66">+I61+H61</f>
        <v>6472312.875</v>
      </c>
      <c r="K61" s="424">
        <f t="shared" si="44"/>
        <v>19416938.625</v>
      </c>
      <c r="L61" s="424">
        <f t="shared" si="55"/>
        <v>1618078.21875</v>
      </c>
      <c r="M61" s="424">
        <f t="shared" si="57"/>
        <v>194169.38624999998</v>
      </c>
      <c r="N61" s="424">
        <f t="shared" si="56"/>
        <v>1618078.21875</v>
      </c>
      <c r="O61" s="424">
        <f t="shared" si="45"/>
        <v>809039.109375</v>
      </c>
      <c r="P61" s="424">
        <f t="shared" si="46"/>
        <v>550146.594375</v>
      </c>
      <c r="Q61" s="424">
        <f t="shared" si="47"/>
        <v>776677.5449999999</v>
      </c>
      <c r="R61" s="424">
        <f>+H61*1.044%</f>
        <v>67570.946415</v>
      </c>
      <c r="S61" s="424">
        <f t="shared" si="48"/>
        <v>4183185.257369999</v>
      </c>
      <c r="T61" s="424">
        <f t="shared" si="49"/>
        <v>258892.515</v>
      </c>
      <c r="U61" s="424">
        <f t="shared" si="50"/>
        <v>776677.545</v>
      </c>
      <c r="V61" s="424">
        <f t="shared" si="51"/>
        <v>194169.38624999998</v>
      </c>
      <c r="W61" s="424">
        <f t="shared" si="52"/>
        <v>129446.2575</v>
      </c>
      <c r="X61" s="424">
        <f t="shared" si="53"/>
        <v>970846.9312499999</v>
      </c>
      <c r="Y61" s="520">
        <f t="shared" si="54"/>
        <v>29587013.291745</v>
      </c>
      <c r="Z61" s="424">
        <f t="shared" si="58"/>
        <v>2465584.44097875</v>
      </c>
      <c r="AA61" s="424">
        <v>66481908</v>
      </c>
      <c r="AB61" s="413"/>
      <c r="AC61" s="413"/>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row>
    <row r="62" spans="1:57" ht="14.25">
      <c r="A62" s="421" t="s">
        <v>378</v>
      </c>
      <c r="B62" s="421" t="s">
        <v>406</v>
      </c>
      <c r="C62" s="422">
        <v>1</v>
      </c>
      <c r="D62" s="470">
        <v>39904</v>
      </c>
      <c r="E62" s="568">
        <v>39994</v>
      </c>
      <c r="F62" s="469">
        <f t="shared" si="43"/>
        <v>90</v>
      </c>
      <c r="G62" s="422"/>
      <c r="H62" s="516">
        <f>1144212*(1+$C$8)</f>
        <v>1231973.0604</v>
      </c>
      <c r="I62" s="424">
        <v>0</v>
      </c>
      <c r="J62" s="424">
        <f t="shared" si="59"/>
        <v>1231973.0604</v>
      </c>
      <c r="K62" s="424">
        <f t="shared" si="44"/>
        <v>3695919.1812</v>
      </c>
      <c r="L62" s="424">
        <f t="shared" si="55"/>
        <v>307993.2651</v>
      </c>
      <c r="M62" s="424">
        <f t="shared" si="57"/>
        <v>36959.191812</v>
      </c>
      <c r="N62" s="424">
        <f t="shared" si="56"/>
        <v>307993.2651</v>
      </c>
      <c r="O62" s="424">
        <f t="shared" si="45"/>
        <v>153996.63255</v>
      </c>
      <c r="P62" s="424">
        <f t="shared" si="46"/>
        <v>104717.71013400001</v>
      </c>
      <c r="Q62" s="424">
        <f t="shared" si="47"/>
        <v>147836.767248</v>
      </c>
      <c r="R62" s="424">
        <f>+H62*0.522%</f>
        <v>6430.899375288001</v>
      </c>
      <c r="S62" s="424">
        <f t="shared" si="48"/>
        <v>776956.1302718639</v>
      </c>
      <c r="T62" s="424">
        <f t="shared" si="49"/>
        <v>49278.922416</v>
      </c>
      <c r="U62" s="424">
        <f t="shared" si="50"/>
        <v>147836.76724800002</v>
      </c>
      <c r="V62" s="424">
        <f t="shared" si="51"/>
        <v>36959.191812</v>
      </c>
      <c r="W62" s="424">
        <f t="shared" si="52"/>
        <v>24639.461208</v>
      </c>
      <c r="X62" s="424">
        <f t="shared" si="53"/>
        <v>184795.95906</v>
      </c>
      <c r="Y62" s="424">
        <f t="shared" si="54"/>
        <v>5612450.392341864</v>
      </c>
      <c r="Z62" s="424">
        <f t="shared" si="58"/>
        <v>467704.19936182204</v>
      </c>
      <c r="AA62" s="424"/>
      <c r="AB62" s="413"/>
      <c r="AC62" s="413"/>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row>
    <row r="63" spans="1:57" ht="14.25">
      <c r="A63" s="421" t="s">
        <v>142</v>
      </c>
      <c r="B63" s="421" t="s">
        <v>416</v>
      </c>
      <c r="C63" s="422">
        <v>1</v>
      </c>
      <c r="D63" s="470">
        <v>39904</v>
      </c>
      <c r="E63" s="568">
        <v>39994</v>
      </c>
      <c r="F63" s="469">
        <f t="shared" si="43"/>
        <v>90</v>
      </c>
      <c r="G63" s="422"/>
      <c r="H63" s="519">
        <f>991724*(1+$C$8)</f>
        <v>1067789.2308</v>
      </c>
      <c r="I63" s="424">
        <v>0</v>
      </c>
      <c r="J63" s="424">
        <f t="shared" si="59"/>
        <v>1067789.2308</v>
      </c>
      <c r="K63" s="424">
        <f t="shared" si="44"/>
        <v>3203367.6924</v>
      </c>
      <c r="L63" s="424">
        <f t="shared" si="55"/>
        <v>266947.3077</v>
      </c>
      <c r="M63" s="424">
        <f t="shared" si="57"/>
        <v>32033.676924</v>
      </c>
      <c r="N63" s="424">
        <f t="shared" si="56"/>
        <v>266947.3077</v>
      </c>
      <c r="O63" s="424">
        <f t="shared" si="45"/>
        <v>133473.65385</v>
      </c>
      <c r="P63" s="424">
        <f t="shared" si="46"/>
        <v>90762.08461800001</v>
      </c>
      <c r="Q63" s="424">
        <f t="shared" si="47"/>
        <v>128134.707696</v>
      </c>
      <c r="R63" s="424">
        <f>+H63*0.522%</f>
        <v>5573.859784776</v>
      </c>
      <c r="S63" s="424">
        <f t="shared" si="48"/>
        <v>673411.9562963281</v>
      </c>
      <c r="T63" s="424">
        <f t="shared" si="49"/>
        <v>42711.569232</v>
      </c>
      <c r="U63" s="424">
        <f t="shared" si="50"/>
        <v>128134.707696</v>
      </c>
      <c r="V63" s="424">
        <f t="shared" si="51"/>
        <v>32033.676924</v>
      </c>
      <c r="W63" s="424">
        <f t="shared" si="52"/>
        <v>21355.784616</v>
      </c>
      <c r="X63" s="424">
        <f t="shared" si="53"/>
        <v>160168.38462000003</v>
      </c>
      <c r="Y63" s="424">
        <f t="shared" si="54"/>
        <v>4864484.687186328</v>
      </c>
      <c r="Z63" s="424">
        <f t="shared" si="58"/>
        <v>405373.723932194</v>
      </c>
      <c r="AA63" s="424">
        <v>16378338</v>
      </c>
      <c r="AB63" s="413"/>
      <c r="AC63" s="428"/>
      <c r="AD63" s="509"/>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row>
    <row r="64" spans="1:57" ht="14.25">
      <c r="A64" s="514" t="s">
        <v>452</v>
      </c>
      <c r="B64" s="514" t="s">
        <v>407</v>
      </c>
      <c r="C64" s="522">
        <v>1</v>
      </c>
      <c r="D64" s="470">
        <v>39904</v>
      </c>
      <c r="E64" s="568">
        <v>39994</v>
      </c>
      <c r="F64" s="523">
        <f t="shared" si="43"/>
        <v>90</v>
      </c>
      <c r="G64" s="522"/>
      <c r="H64" s="424">
        <f>643963*(1+$C$8)</f>
        <v>693354.9621</v>
      </c>
      <c r="I64" s="424">
        <f>+E8</f>
        <v>59300</v>
      </c>
      <c r="J64" s="516">
        <f t="shared" si="59"/>
        <v>752654.9621</v>
      </c>
      <c r="K64" s="516">
        <f t="shared" si="44"/>
        <v>2257964.8863000004</v>
      </c>
      <c r="L64" s="516">
        <f t="shared" si="55"/>
        <v>188163.740525</v>
      </c>
      <c r="M64" s="516">
        <f t="shared" si="57"/>
        <v>22579.648863</v>
      </c>
      <c r="N64" s="516">
        <f t="shared" si="56"/>
        <v>188163.740525</v>
      </c>
      <c r="O64" s="516">
        <f t="shared" si="45"/>
        <v>94081.8702625</v>
      </c>
      <c r="P64" s="516">
        <f t="shared" si="46"/>
        <v>58935.17177850001</v>
      </c>
      <c r="Q64" s="516">
        <f t="shared" si="47"/>
        <v>83202.595452</v>
      </c>
      <c r="R64" s="516">
        <f>+H64*0.522%</f>
        <v>3619.312902162</v>
      </c>
      <c r="S64" s="516">
        <f t="shared" si="48"/>
        <v>437271.24039798597</v>
      </c>
      <c r="T64" s="516">
        <f t="shared" si="49"/>
        <v>27734.198484</v>
      </c>
      <c r="U64" s="516">
        <f t="shared" si="50"/>
        <v>83202.595452</v>
      </c>
      <c r="V64" s="516">
        <f t="shared" si="51"/>
        <v>20800.648863</v>
      </c>
      <c r="W64" s="516">
        <f t="shared" si="52"/>
        <v>13867.099242</v>
      </c>
      <c r="X64" s="516">
        <f t="shared" si="53"/>
        <v>104003.244315</v>
      </c>
      <c r="Y64" s="516">
        <f t="shared" si="54"/>
        <v>3375430.9666404855</v>
      </c>
      <c r="Z64" s="516">
        <f t="shared" si="58"/>
        <v>281285.9138867071</v>
      </c>
      <c r="AA64" s="424"/>
      <c r="AB64" s="413"/>
      <c r="AC64" s="413"/>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row>
    <row r="65" spans="1:57" ht="14.25">
      <c r="A65" s="514" t="s">
        <v>525</v>
      </c>
      <c r="B65" s="421" t="s">
        <v>417</v>
      </c>
      <c r="C65" s="422">
        <v>1</v>
      </c>
      <c r="D65" s="470">
        <v>39904</v>
      </c>
      <c r="E65" s="568">
        <v>39994</v>
      </c>
      <c r="F65" s="469">
        <f t="shared" si="43"/>
        <v>90</v>
      </c>
      <c r="G65" s="422"/>
      <c r="H65" s="520">
        <f>500250*(1+$C$8)</f>
        <v>538619.175</v>
      </c>
      <c r="I65" s="424">
        <f>+E8</f>
        <v>59300</v>
      </c>
      <c r="J65" s="424">
        <f t="shared" si="59"/>
        <v>597919.175</v>
      </c>
      <c r="K65" s="424">
        <f t="shared" si="44"/>
        <v>1793757.5250000001</v>
      </c>
      <c r="L65" s="424">
        <f t="shared" si="55"/>
        <v>149479.79375</v>
      </c>
      <c r="M65" s="424">
        <f t="shared" si="57"/>
        <v>17937.57525</v>
      </c>
      <c r="N65" s="424">
        <f t="shared" si="56"/>
        <v>149479.79375</v>
      </c>
      <c r="O65" s="424">
        <f t="shared" si="45"/>
        <v>74739.896875</v>
      </c>
      <c r="P65" s="424">
        <f t="shared" si="46"/>
        <v>45782.629875000006</v>
      </c>
      <c r="Q65" s="424">
        <f t="shared" si="47"/>
        <v>64634.30100000001</v>
      </c>
      <c r="R65" s="424">
        <f>+H65*1.044%</f>
        <v>5623.184187</v>
      </c>
      <c r="S65" s="424">
        <f t="shared" si="48"/>
        <v>348120.34518600005</v>
      </c>
      <c r="T65" s="424">
        <f t="shared" si="49"/>
        <v>21544.767000000003</v>
      </c>
      <c r="U65" s="424">
        <f t="shared" si="50"/>
        <v>64634.301000000014</v>
      </c>
      <c r="V65" s="424">
        <f t="shared" si="51"/>
        <v>16158.575250000002</v>
      </c>
      <c r="W65" s="424">
        <f t="shared" si="52"/>
        <v>10772.383500000002</v>
      </c>
      <c r="X65" s="424">
        <f t="shared" si="53"/>
        <v>80792.87625000002</v>
      </c>
      <c r="Y65" s="424">
        <f t="shared" si="54"/>
        <v>2678942.1070610005</v>
      </c>
      <c r="Z65" s="424">
        <f t="shared" si="58"/>
        <v>223245.17558841672</v>
      </c>
      <c r="AA65" s="424"/>
      <c r="AB65" s="528"/>
      <c r="AC65" s="413"/>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row>
    <row r="66" spans="1:57" ht="14.25">
      <c r="A66" s="514" t="s">
        <v>362</v>
      </c>
      <c r="B66" s="514" t="s">
        <v>408</v>
      </c>
      <c r="C66" s="422">
        <v>1</v>
      </c>
      <c r="D66" s="470">
        <v>39904</v>
      </c>
      <c r="E66" s="568">
        <v>39994</v>
      </c>
      <c r="F66" s="469">
        <f>DAYS360(D66,E66,0)+1</f>
        <v>90</v>
      </c>
      <c r="G66" s="422"/>
      <c r="H66" s="520">
        <f>+E7</f>
        <v>497000.05</v>
      </c>
      <c r="I66" s="424">
        <f>+E8</f>
        <v>59300</v>
      </c>
      <c r="J66" s="424">
        <f t="shared" si="59"/>
        <v>556300.05</v>
      </c>
      <c r="K66" s="424">
        <f>+J66/30*F66</f>
        <v>1668900.1500000001</v>
      </c>
      <c r="L66" s="424">
        <f t="shared" si="55"/>
        <v>139075.0125</v>
      </c>
      <c r="M66" s="424">
        <f>+L66*12%</f>
        <v>16689.001500000002</v>
      </c>
      <c r="N66" s="424">
        <f t="shared" si="56"/>
        <v>139075.0125</v>
      </c>
      <c r="O66" s="424">
        <f t="shared" si="45"/>
        <v>69537.50625</v>
      </c>
      <c r="P66" s="424">
        <f>+H66*0.085</f>
        <v>42245.004250000005</v>
      </c>
      <c r="Q66" s="424">
        <f>+H66*12%</f>
        <v>59640.005999999994</v>
      </c>
      <c r="R66" s="424">
        <f>+H66*1.044%</f>
        <v>5188.680522</v>
      </c>
      <c r="S66" s="424">
        <f>+((P66+Q66+R66)/30*F66)</f>
        <v>321221.07231599995</v>
      </c>
      <c r="T66" s="424">
        <f>+H66*0.04</f>
        <v>19880.002</v>
      </c>
      <c r="U66" s="424">
        <f>+(T66/30)*F66</f>
        <v>59640.006</v>
      </c>
      <c r="V66" s="424">
        <f>+H66*0.03</f>
        <v>14910.001499999998</v>
      </c>
      <c r="W66" s="424">
        <f>+H66*0.02</f>
        <v>9940.001</v>
      </c>
      <c r="X66" s="424">
        <f>+((V66+W66)/30*F66)</f>
        <v>74550.00749999999</v>
      </c>
      <c r="Y66" s="424">
        <f>K66+L66+M66+N66+O66+S66+U66+X66</f>
        <v>2488687.768566</v>
      </c>
      <c r="Z66" s="424">
        <f>+Y66/12</f>
        <v>207390.64738049998</v>
      </c>
      <c r="AA66" s="434"/>
      <c r="AB66" s="528"/>
      <c r="AC66" s="413"/>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row>
    <row r="67" spans="1:29" ht="14.25">
      <c r="A67" s="540" t="s">
        <v>519</v>
      </c>
      <c r="B67" s="514" t="s">
        <v>518</v>
      </c>
      <c r="C67" s="522">
        <v>1</v>
      </c>
      <c r="D67" s="470">
        <v>39904</v>
      </c>
      <c r="E67" s="568">
        <v>39994</v>
      </c>
      <c r="F67" s="523">
        <f>DAYS360(D67,E67,0)+1</f>
        <v>90</v>
      </c>
      <c r="G67" s="522"/>
      <c r="H67" s="519">
        <f>1520925*(1+$C$8)</f>
        <v>1637579.9475</v>
      </c>
      <c r="I67" s="516"/>
      <c r="J67" s="516">
        <f>+H67</f>
        <v>1637579.9475</v>
      </c>
      <c r="K67" s="516">
        <f>+J67*12</f>
        <v>19650959.37</v>
      </c>
      <c r="L67" s="516">
        <f t="shared" si="55"/>
        <v>409394.986875</v>
      </c>
      <c r="M67" s="516">
        <f>+L67*12%</f>
        <v>49127.398425</v>
      </c>
      <c r="N67" s="516">
        <f>+L67</f>
        <v>409394.986875</v>
      </c>
      <c r="O67" s="516">
        <f t="shared" si="45"/>
        <v>204697.4934375</v>
      </c>
      <c r="P67" s="516">
        <f>+H67*0.085</f>
        <v>139194.2955375</v>
      </c>
      <c r="Q67" s="516">
        <f>+H67*12%</f>
        <v>196509.5937</v>
      </c>
      <c r="R67" s="516">
        <f>+H67*1.044%</f>
        <v>17096.3346519</v>
      </c>
      <c r="S67" s="516">
        <f>(+P67+Q67+R67)*12</f>
        <v>4233602.6866728</v>
      </c>
      <c r="T67" s="516">
        <f>+H67*0.04</f>
        <v>65503.1979</v>
      </c>
      <c r="U67" s="516">
        <f>+T67*12</f>
        <v>786038.3748</v>
      </c>
      <c r="V67" s="516">
        <f>+H67*0.03</f>
        <v>49127.398425</v>
      </c>
      <c r="W67" s="516">
        <f>+H67*0.02</f>
        <v>32751.59895</v>
      </c>
      <c r="X67" s="516">
        <f>(+V67+W67)*12</f>
        <v>982547.9685000001</v>
      </c>
      <c r="Y67" s="519">
        <f>K67+L67+M67+N67+O67+S67+U67+X67</f>
        <v>26725763.265585303</v>
      </c>
      <c r="Z67" s="516">
        <f>+Y67/12</f>
        <v>2227146.9387987754</v>
      </c>
      <c r="AA67" s="411"/>
      <c r="AB67" s="413"/>
      <c r="AC67" s="411"/>
    </row>
    <row r="68" spans="1:29" ht="14.25">
      <c r="A68" s="541"/>
      <c r="B68" s="539"/>
      <c r="C68" s="545"/>
      <c r="D68" s="546"/>
      <c r="E68" s="546"/>
      <c r="F68" s="547"/>
      <c r="G68" s="545"/>
      <c r="H68" s="546"/>
      <c r="I68" s="538"/>
      <c r="J68" s="538"/>
      <c r="K68" s="538"/>
      <c r="L68" s="538"/>
      <c r="M68" s="538"/>
      <c r="N68" s="538"/>
      <c r="O68" s="538"/>
      <c r="P68" s="538"/>
      <c r="Q68" s="538"/>
      <c r="R68" s="538"/>
      <c r="S68" s="538"/>
      <c r="T68" s="538"/>
      <c r="U68" s="538"/>
      <c r="V68" s="538"/>
      <c r="W68" s="538"/>
      <c r="X68" s="538"/>
      <c r="Y68" s="437"/>
      <c r="Z68" s="538"/>
      <c r="AA68" s="411"/>
      <c r="AB68" s="413"/>
      <c r="AC68" s="411"/>
    </row>
    <row r="69" spans="1:29" ht="13.5" thickBot="1">
      <c r="A69" s="411"/>
      <c r="B69" s="411"/>
      <c r="C69" s="413"/>
      <c r="D69" s="413"/>
      <c r="E69" s="413"/>
      <c r="F69" s="413"/>
      <c r="G69" s="415"/>
      <c r="H69" s="415"/>
      <c r="I69" s="529"/>
      <c r="J69" s="386"/>
      <c r="K69" s="386"/>
      <c r="L69" s="386"/>
      <c r="M69" s="386"/>
      <c r="N69" s="386"/>
      <c r="O69" s="386"/>
      <c r="P69" s="386"/>
      <c r="Q69" s="386"/>
      <c r="R69" s="386"/>
      <c r="S69" s="386"/>
      <c r="T69" s="386"/>
      <c r="U69" s="386"/>
      <c r="V69" s="386"/>
      <c r="W69" s="386"/>
      <c r="X69" s="386"/>
      <c r="Y69" s="436"/>
      <c r="Z69" s="437"/>
      <c r="AA69" s="411"/>
      <c r="AB69" s="411"/>
      <c r="AC69" s="411"/>
    </row>
    <row r="70" spans="1:29" ht="13.5" thickBot="1">
      <c r="A70" s="532" t="s">
        <v>403</v>
      </c>
      <c r="B70" s="533"/>
      <c r="C70" s="534">
        <f>+C57+C50+C41+C24+C12</f>
        <v>64</v>
      </c>
      <c r="D70" s="534"/>
      <c r="E70" s="534"/>
      <c r="F70" s="534"/>
      <c r="G70" s="534"/>
      <c r="H70" s="530">
        <f aca="true" t="shared" si="60" ref="H70:Y70">+H57+H50+H41+H24+H12</f>
        <v>109112268.5597</v>
      </c>
      <c r="I70" s="530">
        <f t="shared" si="60"/>
        <v>533700</v>
      </c>
      <c r="J70" s="530">
        <f t="shared" si="60"/>
        <v>115460869.1447</v>
      </c>
      <c r="K70" s="530">
        <f t="shared" si="60"/>
        <v>361120826.96159995</v>
      </c>
      <c r="L70" s="530">
        <f t="shared" si="60"/>
        <v>23833091.779925</v>
      </c>
      <c r="M70" s="530">
        <f t="shared" si="60"/>
        <v>2859971.013591</v>
      </c>
      <c r="N70" s="530">
        <f t="shared" si="60"/>
        <v>23833091.779925</v>
      </c>
      <c r="O70" s="530">
        <f t="shared" si="60"/>
        <v>14339421.1337125</v>
      </c>
      <c r="P70" s="530">
        <f t="shared" si="60"/>
        <v>9253420.3254495</v>
      </c>
      <c r="Q70" s="530">
        <f t="shared" si="60"/>
        <v>13004012.218164</v>
      </c>
      <c r="R70" s="530">
        <f t="shared" si="60"/>
        <v>823271.516192988</v>
      </c>
      <c r="S70" s="530">
        <f t="shared" si="60"/>
        <v>72551832.22795705</v>
      </c>
      <c r="T70" s="530">
        <f t="shared" si="60"/>
        <v>4334670.739388</v>
      </c>
      <c r="U70" s="530">
        <f t="shared" si="60"/>
        <v>13593540.999264002</v>
      </c>
      <c r="V70" s="530">
        <f t="shared" si="60"/>
        <v>3251003.054541</v>
      </c>
      <c r="W70" s="530">
        <f t="shared" si="60"/>
        <v>2167335.369694</v>
      </c>
      <c r="X70" s="530">
        <f t="shared" si="60"/>
        <v>16991926.249080002</v>
      </c>
      <c r="Y70" s="531">
        <f t="shared" si="60"/>
        <v>529123702.1450546</v>
      </c>
      <c r="Z70" s="438"/>
      <c r="AA70" s="411"/>
      <c r="AB70" s="411"/>
      <c r="AC70" s="411"/>
    </row>
    <row r="71" spans="1:29" ht="13.5" thickBot="1">
      <c r="A71" s="411"/>
      <c r="B71" s="411"/>
      <c r="C71" s="411"/>
      <c r="D71" s="411"/>
      <c r="E71" s="411"/>
      <c r="F71" s="411"/>
      <c r="G71" s="411"/>
      <c r="H71" s="386"/>
      <c r="I71" s="452"/>
      <c r="J71" s="386"/>
      <c r="K71" s="386"/>
      <c r="L71" s="431"/>
      <c r="M71" s="431"/>
      <c r="N71" s="431"/>
      <c r="O71" s="431"/>
      <c r="P71" s="431"/>
      <c r="Q71" s="431"/>
      <c r="R71" s="431"/>
      <c r="S71" s="431"/>
      <c r="T71" s="431"/>
      <c r="U71" s="431"/>
      <c r="V71" s="431"/>
      <c r="W71" s="431"/>
      <c r="X71" s="431"/>
      <c r="Y71" s="431"/>
      <c r="Z71" s="411"/>
      <c r="AA71" s="411"/>
      <c r="AB71" s="411"/>
      <c r="AC71" s="411"/>
    </row>
    <row r="72" spans="1:29" ht="13.5" thickBot="1">
      <c r="A72" s="481" t="s">
        <v>207</v>
      </c>
      <c r="B72" s="510"/>
      <c r="C72" s="777">
        <f>+Y12+Y24+Y41+Y50+Y57</f>
        <v>529123702.1450546</v>
      </c>
      <c r="D72" s="777"/>
      <c r="E72" s="777"/>
      <c r="F72" s="777"/>
      <c r="G72" s="777"/>
      <c r="H72" s="778"/>
      <c r="I72" s="411"/>
      <c r="J72" s="411"/>
      <c r="K72" s="411"/>
      <c r="L72" s="411"/>
      <c r="M72" s="411"/>
      <c r="N72" s="411"/>
      <c r="O72" s="411"/>
      <c r="P72" s="411"/>
      <c r="Q72" s="411"/>
      <c r="R72" s="411"/>
      <c r="S72" s="411"/>
      <c r="T72" s="411"/>
      <c r="U72" s="411"/>
      <c r="V72" s="411"/>
      <c r="W72" s="411"/>
      <c r="X72" s="440"/>
      <c r="Y72" s="440"/>
      <c r="Z72" s="411"/>
      <c r="AA72" s="411"/>
      <c r="AB72" s="411"/>
      <c r="AC72" s="411"/>
    </row>
    <row r="73" spans="1:29" ht="12.75">
      <c r="A73" s="411"/>
      <c r="B73" s="411"/>
      <c r="C73" s="441"/>
      <c r="D73" s="441"/>
      <c r="E73" s="441"/>
      <c r="F73" s="441"/>
      <c r="G73" s="496"/>
      <c r="H73" s="438"/>
      <c r="I73" s="415"/>
      <c r="J73" s="411"/>
      <c r="K73" s="411"/>
      <c r="L73" s="415"/>
      <c r="M73" s="415"/>
      <c r="N73" s="411"/>
      <c r="O73" s="411"/>
      <c r="P73" s="411"/>
      <c r="Q73" s="411"/>
      <c r="R73" s="411"/>
      <c r="S73" s="411"/>
      <c r="T73" s="411"/>
      <c r="U73" s="411"/>
      <c r="V73" s="411"/>
      <c r="W73" s="411"/>
      <c r="X73" s="411"/>
      <c r="Y73" s="411"/>
      <c r="Z73" s="411"/>
      <c r="AA73" s="411"/>
      <c r="AB73" s="411"/>
      <c r="AC73" s="411"/>
    </row>
    <row r="74" spans="1:29" ht="12.75">
      <c r="A74" s="411"/>
      <c r="B74" s="411"/>
      <c r="C74" s="441"/>
      <c r="D74" s="441"/>
      <c r="E74" s="441"/>
      <c r="F74" s="441"/>
      <c r="G74" s="441"/>
      <c r="I74" s="489"/>
      <c r="J74" s="411"/>
      <c r="K74" s="411"/>
      <c r="L74" s="415"/>
      <c r="M74" s="415"/>
      <c r="N74" s="411"/>
      <c r="O74" s="411"/>
      <c r="P74" s="411"/>
      <c r="Q74" s="411"/>
      <c r="R74" s="411"/>
      <c r="S74" s="411"/>
      <c r="T74" s="411"/>
      <c r="U74" s="411"/>
      <c r="V74" s="411"/>
      <c r="W74" s="411"/>
      <c r="X74" s="411"/>
      <c r="Y74" s="411"/>
      <c r="Z74" s="411"/>
      <c r="AA74" s="411"/>
      <c r="AB74" s="411"/>
      <c r="AC74" s="411"/>
    </row>
    <row r="75" spans="1:29" ht="12.75">
      <c r="A75" s="411"/>
      <c r="B75" s="411"/>
      <c r="C75" s="441"/>
      <c r="D75" s="441"/>
      <c r="E75" s="441"/>
      <c r="F75" s="441"/>
      <c r="G75" s="441"/>
      <c r="H75" s="488"/>
      <c r="I75" s="411"/>
      <c r="J75" s="411"/>
      <c r="K75" s="411"/>
      <c r="L75" s="415"/>
      <c r="M75" s="415"/>
      <c r="N75" s="411"/>
      <c r="O75" s="411"/>
      <c r="P75" s="411"/>
      <c r="Q75" s="411"/>
      <c r="R75" s="411"/>
      <c r="S75" s="411"/>
      <c r="T75" s="411"/>
      <c r="U75" s="411"/>
      <c r="V75" s="411"/>
      <c r="W75" s="411"/>
      <c r="X75" s="411"/>
      <c r="Y75" s="411"/>
      <c r="Z75" s="411"/>
      <c r="AA75" s="411"/>
      <c r="AB75" s="411"/>
      <c r="AC75" s="411"/>
    </row>
    <row r="76" spans="1:29" ht="12.75">
      <c r="A76" s="411"/>
      <c r="B76" s="441"/>
      <c r="C76" s="441"/>
      <c r="D76" s="441"/>
      <c r="E76" s="441"/>
      <c r="F76" s="441"/>
      <c r="G76" s="441"/>
      <c r="I76" s="411"/>
      <c r="J76" s="411"/>
      <c r="K76" s="411"/>
      <c r="L76" s="415"/>
      <c r="M76" s="415"/>
      <c r="N76" s="411"/>
      <c r="O76" s="411"/>
      <c r="P76" s="411"/>
      <c r="Q76" s="411"/>
      <c r="R76" s="411"/>
      <c r="S76" s="411"/>
      <c r="T76" s="411"/>
      <c r="U76" s="411"/>
      <c r="V76" s="411"/>
      <c r="W76" s="411"/>
      <c r="X76" s="411"/>
      <c r="Y76" s="411"/>
      <c r="Z76" s="411"/>
      <c r="AA76" s="411"/>
      <c r="AB76" s="411"/>
      <c r="AC76" s="411"/>
    </row>
    <row r="77" spans="1:29" ht="12.75">
      <c r="A77" s="411"/>
      <c r="B77" s="441"/>
      <c r="C77" s="441"/>
      <c r="D77" s="441"/>
      <c r="E77" s="441"/>
      <c r="F77" s="441"/>
      <c r="G77" s="441"/>
      <c r="H77" s="411"/>
      <c r="I77" s="411"/>
      <c r="J77" s="411"/>
      <c r="K77" s="411"/>
      <c r="L77" s="415"/>
      <c r="M77" s="415"/>
      <c r="N77" s="411"/>
      <c r="O77" s="411"/>
      <c r="P77" s="411"/>
      <c r="Q77" s="411"/>
      <c r="R77" s="411"/>
      <c r="S77" s="411"/>
      <c r="T77" s="411"/>
      <c r="U77" s="411"/>
      <c r="V77" s="411"/>
      <c r="W77" s="411"/>
      <c r="X77" s="411"/>
      <c r="Y77" s="411"/>
      <c r="Z77" s="411"/>
      <c r="AA77" s="411"/>
      <c r="AB77" s="411"/>
      <c r="AC77" s="411"/>
    </row>
    <row r="78" spans="1:29" ht="12.75">
      <c r="A78" s="411"/>
      <c r="B78" s="441"/>
      <c r="C78" s="441"/>
      <c r="D78" s="441"/>
      <c r="E78" s="441"/>
      <c r="F78" s="441"/>
      <c r="G78" s="441"/>
      <c r="H78" s="442"/>
      <c r="I78" s="442"/>
      <c r="J78" s="442"/>
      <c r="K78" s="442"/>
      <c r="L78" s="415"/>
      <c r="M78" s="415"/>
      <c r="N78" s="411"/>
      <c r="O78" s="411"/>
      <c r="P78" s="411"/>
      <c r="Q78" s="411"/>
      <c r="R78" s="411"/>
      <c r="S78" s="411"/>
      <c r="T78" s="411"/>
      <c r="U78" s="411"/>
      <c r="V78" s="411"/>
      <c r="W78" s="411"/>
      <c r="X78" s="411"/>
      <c r="Y78" s="411"/>
      <c r="Z78" s="411"/>
      <c r="AA78" s="411"/>
      <c r="AB78" s="411"/>
      <c r="AC78" s="411"/>
    </row>
    <row r="79" spans="1:29" ht="12.75">
      <c r="A79" s="444"/>
      <c r="B79" s="441"/>
      <c r="C79" s="445"/>
      <c r="D79" s="445"/>
      <c r="E79" s="445"/>
      <c r="F79" s="445"/>
      <c r="G79" s="445"/>
      <c r="H79" s="411"/>
      <c r="I79" s="411"/>
      <c r="J79" s="411"/>
      <c r="K79" s="411"/>
      <c r="L79" s="411"/>
      <c r="M79" s="411"/>
      <c r="N79" s="411"/>
      <c r="O79" s="411"/>
      <c r="P79" s="411"/>
      <c r="Q79" s="411"/>
      <c r="R79" s="411"/>
      <c r="S79" s="411"/>
      <c r="T79" s="411"/>
      <c r="U79" s="411"/>
      <c r="V79" s="411"/>
      <c r="W79" s="411"/>
      <c r="X79" s="411"/>
      <c r="Y79" s="411"/>
      <c r="Z79" s="411"/>
      <c r="AA79" s="411"/>
      <c r="AB79" s="411"/>
      <c r="AC79" s="411"/>
    </row>
    <row r="80" spans="1:29" ht="12.75">
      <c r="A80" s="444"/>
      <c r="B80" s="441"/>
      <c r="C80" s="445"/>
      <c r="D80" s="445"/>
      <c r="E80" s="445"/>
      <c r="F80" s="445"/>
      <c r="G80" s="445"/>
      <c r="H80" s="411"/>
      <c r="I80" s="411"/>
      <c r="J80" s="411"/>
      <c r="K80" s="411"/>
      <c r="L80" s="411"/>
      <c r="M80" s="411"/>
      <c r="N80" s="411"/>
      <c r="O80" s="411"/>
      <c r="P80" s="411"/>
      <c r="Q80" s="411"/>
      <c r="R80" s="411"/>
      <c r="S80" s="411"/>
      <c r="T80" s="411"/>
      <c r="U80" s="411"/>
      <c r="V80" s="411"/>
      <c r="W80" s="411"/>
      <c r="X80" s="411"/>
      <c r="Y80" s="411"/>
      <c r="Z80" s="411"/>
      <c r="AA80" s="411"/>
      <c r="AB80" s="411"/>
      <c r="AC80" s="411"/>
    </row>
    <row r="81" spans="1:29" ht="12.75">
      <c r="A81" s="444"/>
      <c r="B81" s="441"/>
      <c r="C81" s="445"/>
      <c r="D81" s="445"/>
      <c r="E81" s="445"/>
      <c r="F81" s="445"/>
      <c r="G81" s="445"/>
      <c r="H81" s="411"/>
      <c r="I81" s="446"/>
      <c r="J81" s="446"/>
      <c r="K81" s="447"/>
      <c r="L81" s="447"/>
      <c r="M81" s="447"/>
      <c r="N81" s="447"/>
      <c r="O81" s="447"/>
      <c r="P81" s="447"/>
      <c r="Q81" s="447"/>
      <c r="R81" s="446"/>
      <c r="S81" s="446"/>
      <c r="T81" s="446"/>
      <c r="U81" s="446"/>
      <c r="V81" s="446"/>
      <c r="W81" s="446"/>
      <c r="X81" s="446"/>
      <c r="Y81" s="446"/>
      <c r="Z81" s="411"/>
      <c r="AA81" s="411"/>
      <c r="AB81" s="411"/>
      <c r="AC81" s="411"/>
    </row>
    <row r="82" spans="1:29" ht="12.75">
      <c r="A82" s="444"/>
      <c r="B82" s="441"/>
      <c r="C82" s="445"/>
      <c r="D82" s="445"/>
      <c r="E82" s="445"/>
      <c r="F82" s="445"/>
      <c r="G82" s="445"/>
      <c r="H82" s="411"/>
      <c r="I82" s="446"/>
      <c r="J82" s="446"/>
      <c r="K82" s="448"/>
      <c r="L82" s="449"/>
      <c r="M82" s="449"/>
      <c r="N82" s="449"/>
      <c r="O82" s="450"/>
      <c r="P82" s="448"/>
      <c r="Q82" s="449"/>
      <c r="R82" s="450"/>
      <c r="S82" s="448"/>
      <c r="T82" s="446"/>
      <c r="U82" s="446"/>
      <c r="V82" s="446"/>
      <c r="W82" s="446"/>
      <c r="X82" s="446"/>
      <c r="Y82" s="446"/>
      <c r="Z82" s="411"/>
      <c r="AA82" s="411"/>
      <c r="AB82" s="411"/>
      <c r="AC82" s="411"/>
    </row>
    <row r="83" spans="1:29" ht="12.75">
      <c r="A83" s="444"/>
      <c r="B83" s="441"/>
      <c r="C83" s="445"/>
      <c r="D83" s="445"/>
      <c r="E83" s="445"/>
      <c r="F83" s="445"/>
      <c r="G83" s="445"/>
      <c r="H83" s="411"/>
      <c r="I83" s="446"/>
      <c r="J83" s="446"/>
      <c r="K83" s="448"/>
      <c r="L83" s="449"/>
      <c r="M83" s="446"/>
      <c r="N83" s="449"/>
      <c r="O83" s="450"/>
      <c r="P83" s="448"/>
      <c r="Q83" s="449"/>
      <c r="R83" s="450"/>
      <c r="S83" s="446"/>
      <c r="T83" s="446"/>
      <c r="U83" s="446"/>
      <c r="V83" s="446"/>
      <c r="W83" s="446"/>
      <c r="X83" s="446"/>
      <c r="Y83" s="446"/>
      <c r="Z83" s="411"/>
      <c r="AA83" s="411"/>
      <c r="AB83" s="411"/>
      <c r="AC83" s="411"/>
    </row>
    <row r="84" spans="1:29" ht="12.75">
      <c r="A84" s="444"/>
      <c r="B84" s="441"/>
      <c r="C84" s="445"/>
      <c r="D84" s="445"/>
      <c r="E84" s="445"/>
      <c r="F84" s="445"/>
      <c r="G84" s="445"/>
      <c r="H84" s="411"/>
      <c r="I84" s="446"/>
      <c r="J84" s="449"/>
      <c r="K84" s="446"/>
      <c r="L84" s="446"/>
      <c r="M84" s="446"/>
      <c r="N84" s="446"/>
      <c r="O84" s="446"/>
      <c r="P84" s="449"/>
      <c r="Q84" s="446"/>
      <c r="R84" s="446"/>
      <c r="S84" s="446"/>
      <c r="T84" s="446"/>
      <c r="U84" s="446"/>
      <c r="V84" s="446"/>
      <c r="W84" s="446"/>
      <c r="X84" s="446"/>
      <c r="Y84" s="446"/>
      <c r="Z84" s="411"/>
      <c r="AA84" s="411"/>
      <c r="AB84" s="411"/>
      <c r="AC84" s="411"/>
    </row>
    <row r="85" spans="1:29" ht="12.75">
      <c r="A85" s="444"/>
      <c r="B85" s="441"/>
      <c r="C85" s="445"/>
      <c r="D85" s="445"/>
      <c r="E85" s="445"/>
      <c r="F85" s="445"/>
      <c r="G85" s="445"/>
      <c r="H85" s="411"/>
      <c r="I85" s="446"/>
      <c r="J85" s="446"/>
      <c r="K85" s="446"/>
      <c r="L85" s="446"/>
      <c r="M85" s="446"/>
      <c r="N85" s="446"/>
      <c r="O85" s="446"/>
      <c r="P85" s="446"/>
      <c r="Q85" s="446"/>
      <c r="R85" s="446"/>
      <c r="S85" s="446"/>
      <c r="T85" s="446"/>
      <c r="U85" s="446"/>
      <c r="V85" s="446"/>
      <c r="W85" s="446"/>
      <c r="X85" s="446"/>
      <c r="Y85" s="446"/>
      <c r="Z85" s="411"/>
      <c r="AA85" s="411"/>
      <c r="AB85" s="411"/>
      <c r="AC85" s="411"/>
    </row>
    <row r="86" spans="1:29" ht="12.75">
      <c r="A86" s="466" t="s">
        <v>128</v>
      </c>
      <c r="B86" s="441"/>
      <c r="C86" s="445"/>
      <c r="D86" s="445"/>
      <c r="E86" s="445"/>
      <c r="F86" s="445"/>
      <c r="G86" s="445"/>
      <c r="H86" s="451" t="s">
        <v>209</v>
      </c>
      <c r="I86" s="570">
        <f>+(4406840*3)</f>
        <v>13220520</v>
      </c>
      <c r="J86" s="449"/>
      <c r="K86" s="449"/>
      <c r="L86" s="446"/>
      <c r="M86" s="446"/>
      <c r="N86" s="446"/>
      <c r="O86" s="446"/>
      <c r="P86" s="446"/>
      <c r="Q86" s="446"/>
      <c r="R86" s="446"/>
      <c r="S86" s="446"/>
      <c r="T86" s="446"/>
      <c r="U86" s="446"/>
      <c r="V86" s="446"/>
      <c r="W86" s="446"/>
      <c r="X86" s="446"/>
      <c r="Y86" s="446"/>
      <c r="Z86" s="411"/>
      <c r="AA86" s="411"/>
      <c r="AB86" s="411"/>
      <c r="AC86" s="411"/>
    </row>
    <row r="87" spans="1:29" ht="12.75">
      <c r="A87" s="411"/>
      <c r="B87" s="441"/>
      <c r="C87" s="441"/>
      <c r="D87" s="441"/>
      <c r="E87" s="441"/>
      <c r="F87" s="441"/>
      <c r="G87" s="441"/>
      <c r="H87" s="451" t="s">
        <v>376</v>
      </c>
      <c r="I87" s="570">
        <f>3000000/4</f>
        <v>750000</v>
      </c>
      <c r="J87" s="411"/>
      <c r="K87" s="411"/>
      <c r="L87" s="411"/>
      <c r="M87" s="411"/>
      <c r="N87" s="411"/>
      <c r="O87" s="411"/>
      <c r="P87" s="411"/>
      <c r="Q87" s="411"/>
      <c r="R87" s="411"/>
      <c r="S87" s="411"/>
      <c r="T87" s="411"/>
      <c r="U87" s="411"/>
      <c r="V87" s="411"/>
      <c r="W87" s="411"/>
      <c r="X87" s="411"/>
      <c r="Y87" s="411"/>
      <c r="Z87" s="411"/>
      <c r="AA87" s="411"/>
      <c r="AB87" s="411"/>
      <c r="AC87" s="411"/>
    </row>
    <row r="88" spans="1:29" ht="12.75">
      <c r="A88" s="411"/>
      <c r="B88" s="441"/>
      <c r="C88" s="441"/>
      <c r="D88" s="441"/>
      <c r="E88" s="441"/>
      <c r="F88" s="441"/>
      <c r="G88" s="441"/>
      <c r="H88" s="439" t="s">
        <v>108</v>
      </c>
      <c r="I88" s="569">
        <f>SUM(I86:I87)</f>
        <v>13970520</v>
      </c>
      <c r="J88" s="411"/>
      <c r="K88" s="411"/>
      <c r="L88" s="411"/>
      <c r="M88" s="411"/>
      <c r="N88" s="411"/>
      <c r="O88" s="411"/>
      <c r="P88" s="411"/>
      <c r="Q88" s="411"/>
      <c r="R88" s="411"/>
      <c r="S88" s="411"/>
      <c r="T88" s="411"/>
      <c r="U88" s="411"/>
      <c r="V88" s="411"/>
      <c r="W88" s="411"/>
      <c r="X88" s="411"/>
      <c r="Y88" s="411"/>
      <c r="Z88" s="411"/>
      <c r="AA88" s="411"/>
      <c r="AB88" s="411"/>
      <c r="AC88" s="411"/>
    </row>
    <row r="89" spans="1:29" ht="12.75">
      <c r="A89" s="411"/>
      <c r="B89" s="441"/>
      <c r="C89" s="441"/>
      <c r="D89" s="441"/>
      <c r="E89" s="441"/>
      <c r="F89" s="441"/>
      <c r="G89" s="441"/>
      <c r="H89" s="411"/>
      <c r="I89" s="411"/>
      <c r="J89" s="411"/>
      <c r="K89" s="411"/>
      <c r="L89" s="411"/>
      <c r="M89" s="411"/>
      <c r="N89" s="411"/>
      <c r="O89" s="411"/>
      <c r="P89" s="411"/>
      <c r="Q89" s="411"/>
      <c r="R89" s="411"/>
      <c r="S89" s="411"/>
      <c r="T89" s="411"/>
      <c r="U89" s="411"/>
      <c r="V89" s="411"/>
      <c r="W89" s="411"/>
      <c r="X89" s="411"/>
      <c r="Y89" s="411"/>
      <c r="Z89" s="411"/>
      <c r="AA89" s="411"/>
      <c r="AB89" s="411"/>
      <c r="AC89" s="411"/>
    </row>
    <row r="90" spans="1:29" ht="12.75">
      <c r="A90" s="495"/>
      <c r="B90" s="441"/>
      <c r="C90" s="479"/>
      <c r="D90" s="479"/>
      <c r="E90" s="479"/>
      <c r="F90" s="479"/>
      <c r="G90" s="479"/>
      <c r="H90" s="446"/>
      <c r="I90" s="449"/>
      <c r="J90" s="446"/>
      <c r="K90" s="411"/>
      <c r="L90" s="411"/>
      <c r="M90" s="411"/>
      <c r="N90" s="411"/>
      <c r="O90" s="411"/>
      <c r="P90" s="411"/>
      <c r="Q90" s="411"/>
      <c r="R90" s="411"/>
      <c r="S90" s="411"/>
      <c r="T90" s="411"/>
      <c r="U90" s="411"/>
      <c r="V90" s="411"/>
      <c r="W90" s="411"/>
      <c r="X90" s="411"/>
      <c r="Y90" s="411"/>
      <c r="Z90" s="411"/>
      <c r="AA90" s="411"/>
      <c r="AB90" s="411"/>
      <c r="AC90" s="411"/>
    </row>
    <row r="91" spans="1:29" ht="12.75">
      <c r="A91" s="446"/>
      <c r="B91" s="441"/>
      <c r="C91" s="479"/>
      <c r="D91" s="479"/>
      <c r="E91" s="479"/>
      <c r="F91" s="479"/>
      <c r="G91" s="479"/>
      <c r="H91" s="446"/>
      <c r="I91" s="449"/>
      <c r="J91" s="446"/>
      <c r="K91" s="411"/>
      <c r="L91" s="411"/>
      <c r="M91" s="411"/>
      <c r="N91" s="411"/>
      <c r="O91" s="411"/>
      <c r="P91" s="411"/>
      <c r="Q91" s="411"/>
      <c r="R91" s="411"/>
      <c r="S91" s="411"/>
      <c r="T91" s="411"/>
      <c r="U91" s="411"/>
      <c r="V91" s="411"/>
      <c r="W91" s="411"/>
      <c r="X91" s="411"/>
      <c r="Y91" s="411"/>
      <c r="Z91" s="411"/>
      <c r="AA91" s="411"/>
      <c r="AB91" s="411"/>
      <c r="AC91" s="411"/>
    </row>
    <row r="92" spans="1:29" ht="12.75">
      <c r="A92" s="446"/>
      <c r="B92" s="441"/>
      <c r="C92" s="479"/>
      <c r="D92" s="479"/>
      <c r="E92" s="479"/>
      <c r="F92" s="479"/>
      <c r="G92" s="479"/>
      <c r="H92" s="385"/>
      <c r="I92" s="480"/>
      <c r="J92" s="446"/>
      <c r="K92" s="411"/>
      <c r="L92" s="411"/>
      <c r="M92" s="411"/>
      <c r="N92" s="411"/>
      <c r="O92" s="411"/>
      <c r="P92" s="411"/>
      <c r="Q92" s="411"/>
      <c r="R92" s="411"/>
      <c r="S92" s="411"/>
      <c r="T92" s="411"/>
      <c r="U92" s="411"/>
      <c r="V92" s="411"/>
      <c r="W92" s="411"/>
      <c r="X92" s="411"/>
      <c r="Y92" s="411"/>
      <c r="Z92" s="411"/>
      <c r="AA92" s="411"/>
      <c r="AB92" s="411"/>
      <c r="AC92" s="411"/>
    </row>
    <row r="93" spans="1:29" ht="12.75">
      <c r="A93" s="411"/>
      <c r="B93" s="441"/>
      <c r="C93" s="441"/>
      <c r="D93" s="441"/>
      <c r="E93" s="441"/>
      <c r="F93" s="441"/>
      <c r="G93" s="441"/>
      <c r="H93" s="411"/>
      <c r="I93" s="411"/>
      <c r="J93" s="411"/>
      <c r="K93" s="411"/>
      <c r="L93" s="411"/>
      <c r="M93" s="411"/>
      <c r="N93" s="411"/>
      <c r="O93" s="411"/>
      <c r="P93" s="411"/>
      <c r="Q93" s="411"/>
      <c r="R93" s="411"/>
      <c r="S93" s="411"/>
      <c r="T93" s="411"/>
      <c r="U93" s="411"/>
      <c r="V93" s="411"/>
      <c r="W93" s="411"/>
      <c r="X93" s="411"/>
      <c r="Y93" s="411"/>
      <c r="Z93" s="411"/>
      <c r="AA93" s="411"/>
      <c r="AB93" s="411"/>
      <c r="AC93" s="411"/>
    </row>
    <row r="94" spans="1:29" ht="12.75">
      <c r="A94" s="411"/>
      <c r="B94" s="411"/>
      <c r="C94" s="441"/>
      <c r="D94" s="441"/>
      <c r="E94" s="441"/>
      <c r="F94" s="441"/>
      <c r="G94" s="441"/>
      <c r="H94" s="411"/>
      <c r="I94" s="411"/>
      <c r="J94" s="411"/>
      <c r="K94" s="411"/>
      <c r="L94" s="411"/>
      <c r="M94" s="411"/>
      <c r="N94" s="411"/>
      <c r="O94" s="411"/>
      <c r="P94" s="411"/>
      <c r="Q94" s="411"/>
      <c r="R94" s="411"/>
      <c r="S94" s="411"/>
      <c r="T94" s="411"/>
      <c r="U94" s="411"/>
      <c r="V94" s="411"/>
      <c r="W94" s="411"/>
      <c r="X94" s="411"/>
      <c r="Y94" s="411"/>
      <c r="Z94" s="411"/>
      <c r="AA94" s="411"/>
      <c r="AB94" s="411"/>
      <c r="AC94" s="411"/>
    </row>
    <row r="95" spans="1:29" ht="12.75">
      <c r="A95" s="411"/>
      <c r="B95" s="411"/>
      <c r="C95" s="441"/>
      <c r="D95" s="441"/>
      <c r="E95" s="441"/>
      <c r="F95" s="441"/>
      <c r="G95" s="441"/>
      <c r="H95" s="411"/>
      <c r="I95" s="411"/>
      <c r="J95" s="411"/>
      <c r="K95" s="411"/>
      <c r="L95" s="411"/>
      <c r="M95" s="411"/>
      <c r="N95" s="411"/>
      <c r="O95" s="411"/>
      <c r="P95" s="411"/>
      <c r="Q95" s="411"/>
      <c r="R95" s="411"/>
      <c r="S95" s="411"/>
      <c r="T95" s="411"/>
      <c r="U95" s="411"/>
      <c r="V95" s="411"/>
      <c r="W95" s="411"/>
      <c r="X95" s="411"/>
      <c r="Y95" s="411"/>
      <c r="Z95" s="411"/>
      <c r="AA95" s="411"/>
      <c r="AB95" s="411"/>
      <c r="AC95" s="411"/>
    </row>
    <row r="96" spans="1:29" ht="12.75">
      <c r="A96" s="411"/>
      <c r="B96" s="411"/>
      <c r="C96" s="441"/>
      <c r="D96" s="441"/>
      <c r="E96" s="441"/>
      <c r="F96" s="441"/>
      <c r="G96" s="441"/>
      <c r="H96" s="411"/>
      <c r="I96" s="411"/>
      <c r="J96" s="411"/>
      <c r="K96" s="411"/>
      <c r="L96" s="411"/>
      <c r="M96" s="411"/>
      <c r="N96" s="411"/>
      <c r="O96" s="411"/>
      <c r="P96" s="411"/>
      <c r="Q96" s="411"/>
      <c r="R96" s="411"/>
      <c r="S96" s="411"/>
      <c r="T96" s="411"/>
      <c r="U96" s="411"/>
      <c r="V96" s="411"/>
      <c r="W96" s="411"/>
      <c r="X96" s="411"/>
      <c r="Y96" s="411"/>
      <c r="Z96" s="411"/>
      <c r="AA96" s="411"/>
      <c r="AB96" s="411"/>
      <c r="AC96" s="411"/>
    </row>
    <row r="97" spans="1:29" ht="12.75">
      <c r="A97" s="411"/>
      <c r="B97" s="411"/>
      <c r="C97" s="441"/>
      <c r="D97" s="441"/>
      <c r="E97" s="441"/>
      <c r="F97" s="441"/>
      <c r="G97" s="441"/>
      <c r="H97" s="411"/>
      <c r="I97" s="411"/>
      <c r="J97" s="411"/>
      <c r="K97" s="411"/>
      <c r="L97" s="411"/>
      <c r="M97" s="411"/>
      <c r="N97" s="411"/>
      <c r="O97" s="411"/>
      <c r="P97" s="411"/>
      <c r="Q97" s="411"/>
      <c r="R97" s="411"/>
      <c r="S97" s="411"/>
      <c r="T97" s="411"/>
      <c r="U97" s="411"/>
      <c r="V97" s="411"/>
      <c r="W97" s="411"/>
      <c r="X97" s="411"/>
      <c r="Y97" s="411"/>
      <c r="Z97" s="411"/>
      <c r="AA97" s="411"/>
      <c r="AB97" s="411"/>
      <c r="AC97" s="411"/>
    </row>
    <row r="98" spans="1:29" ht="12.75">
      <c r="A98" s="411"/>
      <c r="B98" s="411"/>
      <c r="C98" s="441"/>
      <c r="D98" s="441"/>
      <c r="E98" s="441"/>
      <c r="F98" s="441"/>
      <c r="G98" s="441"/>
      <c r="H98" s="411"/>
      <c r="I98" s="411"/>
      <c r="J98" s="411"/>
      <c r="K98" s="411"/>
      <c r="L98" s="411"/>
      <c r="M98" s="411"/>
      <c r="N98" s="411"/>
      <c r="O98" s="411"/>
      <c r="P98" s="411"/>
      <c r="Q98" s="411"/>
      <c r="R98" s="411"/>
      <c r="S98" s="411"/>
      <c r="T98" s="411"/>
      <c r="U98" s="411"/>
      <c r="V98" s="411"/>
      <c r="W98" s="411"/>
      <c r="X98" s="411"/>
      <c r="Y98" s="411"/>
      <c r="Z98" s="411"/>
      <c r="AA98" s="411"/>
      <c r="AB98" s="411"/>
      <c r="AC98" s="411"/>
    </row>
    <row r="99" spans="1:29" ht="12.75">
      <c r="A99" s="411"/>
      <c r="B99" s="411"/>
      <c r="C99" s="441"/>
      <c r="D99" s="441"/>
      <c r="E99" s="441"/>
      <c r="F99" s="441"/>
      <c r="G99" s="441"/>
      <c r="H99" s="411"/>
      <c r="I99" s="411"/>
      <c r="J99" s="411"/>
      <c r="K99" s="411"/>
      <c r="L99" s="411"/>
      <c r="M99" s="411"/>
      <c r="N99" s="411"/>
      <c r="O99" s="411"/>
      <c r="P99" s="411"/>
      <c r="Q99" s="411"/>
      <c r="R99" s="411"/>
      <c r="S99" s="411"/>
      <c r="T99" s="411"/>
      <c r="U99" s="411"/>
      <c r="V99" s="411"/>
      <c r="W99" s="411"/>
      <c r="X99" s="411"/>
      <c r="Y99" s="411"/>
      <c r="Z99" s="411"/>
      <c r="AA99" s="411"/>
      <c r="AB99" s="411"/>
      <c r="AC99" s="411"/>
    </row>
    <row r="100" spans="1:29" ht="12.75">
      <c r="A100" s="411"/>
      <c r="B100" s="411"/>
      <c r="C100" s="441"/>
      <c r="D100" s="441"/>
      <c r="E100" s="441"/>
      <c r="F100" s="441"/>
      <c r="G100" s="441"/>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row>
    <row r="101" spans="1:29" ht="12.75">
      <c r="A101" s="411"/>
      <c r="B101" s="411"/>
      <c r="C101" s="441"/>
      <c r="D101" s="441"/>
      <c r="E101" s="441"/>
      <c r="F101" s="441"/>
      <c r="G101" s="44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row>
    <row r="102" spans="1:25" ht="12.75">
      <c r="A102" s="403"/>
      <c r="B102" s="403"/>
      <c r="C102" s="404"/>
      <c r="D102" s="404"/>
      <c r="E102" s="404"/>
      <c r="F102" s="404"/>
      <c r="G102" s="404"/>
      <c r="H102" s="403"/>
      <c r="I102" s="403"/>
      <c r="J102" s="403"/>
      <c r="K102" s="403"/>
      <c r="L102" s="403"/>
      <c r="M102" s="403"/>
      <c r="N102" s="403"/>
      <c r="O102" s="403"/>
      <c r="P102" s="403"/>
      <c r="Q102" s="403"/>
      <c r="R102" s="403"/>
      <c r="S102" s="403"/>
      <c r="T102" s="403"/>
      <c r="U102" s="403"/>
      <c r="V102" s="403"/>
      <c r="W102" s="403"/>
      <c r="X102" s="403"/>
      <c r="Y102" s="403"/>
    </row>
    <row r="103" spans="1:25" ht="12.75">
      <c r="A103" s="403"/>
      <c r="B103" s="403"/>
      <c r="C103" s="404"/>
      <c r="D103" s="404"/>
      <c r="E103" s="404"/>
      <c r="F103" s="404"/>
      <c r="G103" s="404"/>
      <c r="H103" s="403"/>
      <c r="I103" s="403"/>
      <c r="J103" s="403"/>
      <c r="K103" s="403"/>
      <c r="L103" s="403"/>
      <c r="M103" s="403"/>
      <c r="N103" s="403"/>
      <c r="O103" s="403"/>
      <c r="P103" s="403"/>
      <c r="Q103" s="403"/>
      <c r="R103" s="403"/>
      <c r="S103" s="403"/>
      <c r="T103" s="403"/>
      <c r="U103" s="403"/>
      <c r="V103" s="403"/>
      <c r="W103" s="403"/>
      <c r="X103" s="403"/>
      <c r="Y103" s="403"/>
    </row>
    <row r="104" spans="1:25" ht="12.75">
      <c r="A104" s="403"/>
      <c r="B104" s="403"/>
      <c r="C104" s="404"/>
      <c r="D104" s="404"/>
      <c r="E104" s="404"/>
      <c r="F104" s="404"/>
      <c r="G104" s="404"/>
      <c r="H104" s="403"/>
      <c r="I104" s="403"/>
      <c r="J104" s="403"/>
      <c r="K104" s="403"/>
      <c r="L104" s="403"/>
      <c r="M104" s="403"/>
      <c r="N104" s="403"/>
      <c r="O104" s="403"/>
      <c r="P104" s="403"/>
      <c r="Q104" s="403"/>
      <c r="R104" s="403"/>
      <c r="S104" s="403"/>
      <c r="T104" s="403"/>
      <c r="U104" s="403"/>
      <c r="V104" s="403"/>
      <c r="W104" s="403"/>
      <c r="X104" s="403"/>
      <c r="Y104" s="403"/>
    </row>
  </sheetData>
  <sheetProtection/>
  <mergeCells count="11">
    <mergeCell ref="X8:X9"/>
    <mergeCell ref="P8:R8"/>
    <mergeCell ref="C72:H72"/>
    <mergeCell ref="S8:S9"/>
    <mergeCell ref="U8:U9"/>
    <mergeCell ref="P4:Z4"/>
    <mergeCell ref="P5:Z5"/>
    <mergeCell ref="P6:Z6"/>
    <mergeCell ref="C4:O4"/>
    <mergeCell ref="C5:O5"/>
    <mergeCell ref="C6:O6"/>
  </mergeCells>
  <printOptions/>
  <pageMargins left="0.2362204724409449" right="0.7480314960629921" top="0.2755905511811024" bottom="0.2755905511811024" header="0" footer="0"/>
  <pageSetup fitToWidth="2" fitToHeight="1" horizontalDpi="300" verticalDpi="300" orientation="landscape" paperSize="119" scale="44" r:id="rId3"/>
  <rowBreaks count="1" manualBreakCount="1">
    <brk id="73" max="21" man="1"/>
  </rowBreaks>
  <colBreaks count="1" manualBreakCount="1">
    <brk id="13" max="97"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60" bestFit="1" customWidth="1"/>
    <col min="2" max="2" width="17.00390625" style="293" customWidth="1"/>
    <col min="3" max="3" width="18.421875" style="260" customWidth="1"/>
    <col min="4" max="4" width="10.140625" style="260" bestFit="1" customWidth="1"/>
    <col min="5" max="5" width="13.7109375" style="260" bestFit="1" customWidth="1"/>
    <col min="6" max="6" width="13.8515625" style="260" bestFit="1" customWidth="1"/>
    <col min="7" max="16384" width="11.421875" style="260" customWidth="1"/>
  </cols>
  <sheetData>
    <row r="1" spans="1:3" ht="15">
      <c r="A1" s="781" t="s">
        <v>28</v>
      </c>
      <c r="B1" s="781"/>
      <c r="C1" s="781"/>
    </row>
    <row r="2" spans="1:3" ht="15">
      <c r="A2" s="782" t="s">
        <v>61</v>
      </c>
      <c r="B2" s="781"/>
      <c r="C2" s="781"/>
    </row>
    <row r="3" spans="1:3" ht="15">
      <c r="A3" s="781" t="s">
        <v>226</v>
      </c>
      <c r="B3" s="781"/>
      <c r="C3" s="781"/>
    </row>
    <row r="4" spans="1:3" ht="15.75" thickBot="1">
      <c r="A4" s="783"/>
      <c r="B4" s="783"/>
      <c r="C4" s="783"/>
    </row>
    <row r="5" spans="1:4" ht="38.25" customHeight="1" thickTop="1">
      <c r="A5" s="261" t="s">
        <v>39</v>
      </c>
      <c r="B5" s="262" t="s">
        <v>71</v>
      </c>
      <c r="C5" s="263" t="s">
        <v>35</v>
      </c>
      <c r="D5" s="264" t="s">
        <v>49</v>
      </c>
    </row>
    <row r="6" spans="1:4" ht="15">
      <c r="A6" s="265" t="s">
        <v>29</v>
      </c>
      <c r="B6" s="265" t="e">
        <f>+B7</f>
        <v>#REF!</v>
      </c>
      <c r="C6" s="266" t="e">
        <f>+C7</f>
        <v>#REF!</v>
      </c>
      <c r="D6" s="267" t="e">
        <f>+C6/C105*100</f>
        <v>#REF!</v>
      </c>
    </row>
    <row r="7" spans="1:4" ht="15">
      <c r="A7" s="268" t="s">
        <v>72</v>
      </c>
      <c r="B7" s="268" t="e">
        <f>+#REF!-[0]!AUXBODEGA-[0]!ASISDESPACHOS-[0]!ASISCONTABPPC-[0]!ASISCALLCENTER-ASISICA+HONORAUDI_JURIDIC</f>
        <v>#REF!</v>
      </c>
      <c r="C7" s="269" t="e">
        <f>+B7</f>
        <v>#REF!</v>
      </c>
      <c r="D7" s="270"/>
    </row>
    <row r="8" spans="1:4" ht="15">
      <c r="A8" s="268"/>
      <c r="B8" s="271"/>
      <c r="C8" s="266"/>
      <c r="D8" s="272"/>
    </row>
    <row r="9" spans="1:4" ht="15">
      <c r="A9" s="265" t="s">
        <v>31</v>
      </c>
      <c r="B9" s="266">
        <f>SUM(B10:B23)</f>
        <v>304667803.38</v>
      </c>
      <c r="C9" s="266">
        <f>SUM(C10:C23)</f>
        <v>304667803.38</v>
      </c>
      <c r="D9" s="267" t="e">
        <f>+C9/C105*100</f>
        <v>#REF!</v>
      </c>
    </row>
    <row r="10" spans="1:4" ht="15">
      <c r="A10" s="271" t="s">
        <v>259</v>
      </c>
      <c r="B10" s="234">
        <v>21500000</v>
      </c>
      <c r="C10" s="269">
        <f>+SUM(B10:B10)</f>
        <v>21500000</v>
      </c>
      <c r="D10" s="270" t="e">
        <f>(+C10/C105)*100</f>
        <v>#REF!</v>
      </c>
    </row>
    <row r="11" spans="1:4" ht="15">
      <c r="A11" s="271" t="s">
        <v>52</v>
      </c>
      <c r="B11" s="234">
        <v>5924000</v>
      </c>
      <c r="C11" s="269">
        <f>+SUM(B11:B11)</f>
        <v>5924000</v>
      </c>
      <c r="D11" s="270" t="e">
        <f>+C11/C105*100</f>
        <v>#REF!</v>
      </c>
    </row>
    <row r="12" spans="1:4" ht="15">
      <c r="A12" s="271" t="s">
        <v>53</v>
      </c>
      <c r="B12" s="234">
        <v>15000000</v>
      </c>
      <c r="C12" s="269">
        <f>+SUM(B12:B12)</f>
        <v>15000000</v>
      </c>
      <c r="D12" s="270" t="e">
        <f>+C12/C105*100</f>
        <v>#REF!</v>
      </c>
    </row>
    <row r="13" spans="1:4" ht="15">
      <c r="A13" s="271" t="s">
        <v>32</v>
      </c>
      <c r="B13" s="234">
        <v>16571515</v>
      </c>
      <c r="C13" s="269">
        <f aca="true" t="shared" si="0" ref="C13:C23">+SUM(B13:B13)</f>
        <v>16571515</v>
      </c>
      <c r="D13" s="270" t="e">
        <f>+C13/C105*100</f>
        <v>#REF!</v>
      </c>
    </row>
    <row r="14" spans="1:4" ht="15">
      <c r="A14" s="271" t="s">
        <v>54</v>
      </c>
      <c r="B14" s="234">
        <v>33250000</v>
      </c>
      <c r="C14" s="269">
        <f t="shared" si="0"/>
        <v>33250000</v>
      </c>
      <c r="D14" s="270" t="e">
        <f>+C14/C105*100</f>
        <v>#REF!</v>
      </c>
    </row>
    <row r="15" spans="1:4" ht="15">
      <c r="A15" s="271" t="s">
        <v>33</v>
      </c>
      <c r="B15" s="234">
        <v>30729600</v>
      </c>
      <c r="C15" s="269">
        <f t="shared" si="0"/>
        <v>30729600</v>
      </c>
      <c r="D15" s="270" t="e">
        <f>+C15/C105*100</f>
        <v>#REF!</v>
      </c>
    </row>
    <row r="16" spans="1:4" ht="15">
      <c r="A16" s="271" t="s">
        <v>55</v>
      </c>
      <c r="B16" s="234">
        <v>8900000</v>
      </c>
      <c r="C16" s="269">
        <f t="shared" si="0"/>
        <v>8900000</v>
      </c>
      <c r="D16" s="270" t="e">
        <f>+C16/C105*100</f>
        <v>#REF!</v>
      </c>
    </row>
    <row r="17" spans="1:4" ht="15">
      <c r="A17" s="271" t="s">
        <v>260</v>
      </c>
      <c r="B17" s="234">
        <v>20000000</v>
      </c>
      <c r="C17" s="269">
        <f t="shared" si="0"/>
        <v>20000000</v>
      </c>
      <c r="D17" s="270" t="e">
        <f>+C17/C105*100</f>
        <v>#REF!</v>
      </c>
    </row>
    <row r="18" spans="1:4" ht="15">
      <c r="A18" s="271" t="s">
        <v>34</v>
      </c>
      <c r="B18" s="234">
        <v>42250000</v>
      </c>
      <c r="C18" s="269">
        <f t="shared" si="0"/>
        <v>42250000</v>
      </c>
      <c r="D18" s="270" t="e">
        <f>+C18/C105*100</f>
        <v>#REF!</v>
      </c>
    </row>
    <row r="19" spans="1:4" ht="15">
      <c r="A19" s="271" t="s">
        <v>50</v>
      </c>
      <c r="B19" s="234">
        <v>3032800</v>
      </c>
      <c r="C19" s="269">
        <f t="shared" si="0"/>
        <v>3032800</v>
      </c>
      <c r="D19" s="270" t="e">
        <f>+C19/C105*100</f>
        <v>#REF!</v>
      </c>
    </row>
    <row r="20" spans="1:4" ht="15">
      <c r="A20" s="271" t="s">
        <v>56</v>
      </c>
      <c r="B20" s="234">
        <v>26833000</v>
      </c>
      <c r="C20" s="269">
        <f t="shared" si="0"/>
        <v>26833000</v>
      </c>
      <c r="D20" s="270" t="e">
        <f>+C20/C105*100</f>
        <v>#REF!</v>
      </c>
    </row>
    <row r="21" spans="1:4" ht="15">
      <c r="A21" s="271" t="s">
        <v>57</v>
      </c>
      <c r="B21" s="234">
        <v>8900000</v>
      </c>
      <c r="C21" s="269">
        <f t="shared" si="0"/>
        <v>8900000</v>
      </c>
      <c r="D21" s="270" t="e">
        <f>+C21/C105*100</f>
        <v>#REF!</v>
      </c>
    </row>
    <row r="22" spans="1:4" ht="15">
      <c r="A22" s="271" t="s">
        <v>58</v>
      </c>
      <c r="B22" s="234">
        <v>60000000</v>
      </c>
      <c r="C22" s="269">
        <f t="shared" si="0"/>
        <v>60000000</v>
      </c>
      <c r="D22" s="270" t="e">
        <f>+C22/C105*100</f>
        <v>#REF!</v>
      </c>
    </row>
    <row r="23" spans="1:4" ht="15">
      <c r="A23" s="271" t="s">
        <v>59</v>
      </c>
      <c r="B23" s="234">
        <v>11776888.38</v>
      </c>
      <c r="C23" s="269">
        <f t="shared" si="0"/>
        <v>11776888.38</v>
      </c>
      <c r="D23" s="270" t="e">
        <f>+C23/C105*100</f>
        <v>#REF!</v>
      </c>
    </row>
    <row r="24" spans="1:4" ht="15">
      <c r="A24" s="273" t="s">
        <v>265</v>
      </c>
      <c r="B24" s="274">
        <f>SUM(B10:B23)</f>
        <v>304667803.38</v>
      </c>
      <c r="C24" s="274" t="e">
        <f>+C9+C6</f>
        <v>#REF!</v>
      </c>
      <c r="D24" s="275" t="e">
        <f>+D9+D6</f>
        <v>#REF!</v>
      </c>
    </row>
    <row r="25" spans="1:4" ht="15">
      <c r="A25" s="276"/>
      <c r="B25" s="271"/>
      <c r="C25" s="276"/>
      <c r="D25" s="272"/>
    </row>
    <row r="26" spans="1:5" ht="15">
      <c r="A26" s="273" t="s">
        <v>41</v>
      </c>
      <c r="B26" s="273"/>
      <c r="C26" s="274" t="e">
        <f>SUM(C28:C96)</f>
        <v>#REF!</v>
      </c>
      <c r="D26" s="275" t="e">
        <f>SUM(D28:D101)</f>
        <v>#REF!</v>
      </c>
      <c r="E26" s="277"/>
    </row>
    <row r="27" spans="1:4" ht="15">
      <c r="A27" s="276"/>
      <c r="B27" s="271"/>
      <c r="C27" s="269"/>
      <c r="D27" s="272"/>
    </row>
    <row r="28" spans="1:4" ht="15">
      <c r="A28" s="278" t="s">
        <v>60</v>
      </c>
      <c r="B28" s="279"/>
      <c r="C28" s="266" t="e">
        <f>B29+B33</f>
        <v>#REF!</v>
      </c>
      <c r="D28" s="270" t="e">
        <f>+C28/C105*100</f>
        <v>#REF!</v>
      </c>
    </row>
    <row r="29" spans="1:4" ht="15">
      <c r="A29" s="278" t="s">
        <v>73</v>
      </c>
      <c r="B29" s="236">
        <v>145800000</v>
      </c>
      <c r="C29" s="266"/>
      <c r="D29" s="270"/>
    </row>
    <row r="30" spans="1:6" ht="15">
      <c r="A30" s="281" t="s">
        <v>74</v>
      </c>
      <c r="B30" s="282" t="e">
        <f>+#REF!</f>
        <v>#REF!</v>
      </c>
      <c r="C30" s="266"/>
      <c r="D30" s="270"/>
      <c r="E30" s="283"/>
      <c r="F30" s="283"/>
    </row>
    <row r="31" spans="1:6" ht="15">
      <c r="A31" s="281" t="s">
        <v>75</v>
      </c>
      <c r="B31" s="282" t="e">
        <f>+#REF!</f>
        <v>#REF!</v>
      </c>
      <c r="C31" s="266"/>
      <c r="D31" s="270"/>
      <c r="F31" s="283"/>
    </row>
    <row r="32" spans="1:6" ht="15">
      <c r="A32" s="281" t="s">
        <v>76</v>
      </c>
      <c r="B32" s="282" t="e">
        <f>+#REF!+#REF!</f>
        <v>#REF!</v>
      </c>
      <c r="C32" s="266"/>
      <c r="D32" s="270"/>
      <c r="F32" s="283"/>
    </row>
    <row r="33" spans="1:6" ht="15">
      <c r="A33" s="278" t="s">
        <v>77</v>
      </c>
      <c r="B33" s="280" t="e">
        <f>SUM(B30:B32)</f>
        <v>#REF!</v>
      </c>
      <c r="C33" s="266"/>
      <c r="D33" s="270"/>
      <c r="F33" s="283"/>
    </row>
    <row r="34" spans="1:6" ht="15">
      <c r="A34" s="281"/>
      <c r="B34" s="280"/>
      <c r="C34" s="266"/>
      <c r="D34" s="270"/>
      <c r="F34" s="283"/>
    </row>
    <row r="35" spans="1:6" ht="15">
      <c r="A35" s="284" t="s">
        <v>64</v>
      </c>
      <c r="B35" s="279"/>
      <c r="C35" s="266" t="e">
        <f>B36+B43</f>
        <v>#REF!</v>
      </c>
      <c r="D35" s="270" t="e">
        <f>+C35/C105*100</f>
        <v>#REF!</v>
      </c>
      <c r="F35" s="283"/>
    </row>
    <row r="36" spans="1:6" ht="15">
      <c r="A36" s="284" t="s">
        <v>73</v>
      </c>
      <c r="B36" s="236">
        <v>3826475436</v>
      </c>
      <c r="C36" s="266"/>
      <c r="D36" s="270"/>
      <c r="F36" s="283"/>
    </row>
    <row r="37" spans="1:6" ht="15">
      <c r="A37" s="285" t="s">
        <v>78</v>
      </c>
      <c r="B37" s="282" t="e">
        <f>+#REF!+#REF!</f>
        <v>#REF!</v>
      </c>
      <c r="C37" s="266"/>
      <c r="D37" s="270"/>
      <c r="F37" s="283"/>
    </row>
    <row r="38" spans="1:6" ht="13.5" customHeight="1">
      <c r="A38" s="285" t="s">
        <v>74</v>
      </c>
      <c r="B38" s="282" t="e">
        <f>+#REF!</f>
        <v>#REF!</v>
      </c>
      <c r="C38" s="266"/>
      <c r="D38" s="270"/>
      <c r="F38" s="283"/>
    </row>
    <row r="39" spans="1:6" ht="13.5" customHeight="1">
      <c r="A39" s="285" t="s">
        <v>79</v>
      </c>
      <c r="B39" s="282" t="e">
        <f>+#REF!/3</f>
        <v>#REF!</v>
      </c>
      <c r="C39" s="266"/>
      <c r="D39" s="270"/>
      <c r="F39" s="283"/>
    </row>
    <row r="40" spans="1:6" ht="13.5" customHeight="1">
      <c r="A40" s="285" t="s">
        <v>80</v>
      </c>
      <c r="B40" s="282" t="e">
        <f>+#REF!</f>
        <v>#REF!</v>
      </c>
      <c r="C40" s="266"/>
      <c r="D40" s="270"/>
      <c r="F40" s="283"/>
    </row>
    <row r="41" spans="1:6" ht="13.5" customHeight="1">
      <c r="A41" s="285" t="s">
        <v>81</v>
      </c>
      <c r="B41" s="282" t="e">
        <f>+#REF!</f>
        <v>#REF!</v>
      </c>
      <c r="C41" s="266"/>
      <c r="D41" s="270"/>
      <c r="F41" s="283"/>
    </row>
    <row r="42" spans="1:6" ht="13.5" customHeight="1">
      <c r="A42" s="285" t="s">
        <v>82</v>
      </c>
      <c r="B42" s="282" t="e">
        <f>+#REF!</f>
        <v>#REF!</v>
      </c>
      <c r="C42" s="266"/>
      <c r="D42" s="270"/>
      <c r="F42" s="283"/>
    </row>
    <row r="43" spans="1:6" ht="13.5" customHeight="1">
      <c r="A43" s="284" t="s">
        <v>77</v>
      </c>
      <c r="B43" s="280" t="e">
        <f>SUM(B37:B42)</f>
        <v>#REF!</v>
      </c>
      <c r="C43" s="266"/>
      <c r="D43" s="270"/>
      <c r="F43" s="283"/>
    </row>
    <row r="44" spans="1:6" ht="13.5" customHeight="1">
      <c r="A44" s="285"/>
      <c r="B44" s="280"/>
      <c r="C44" s="266"/>
      <c r="D44" s="270"/>
      <c r="F44" s="283"/>
    </row>
    <row r="45" spans="1:6" ht="13.5" customHeight="1">
      <c r="A45" s="278" t="s">
        <v>42</v>
      </c>
      <c r="B45" s="271"/>
      <c r="C45" s="266" t="e">
        <f>B46+B52</f>
        <v>#REF!</v>
      </c>
      <c r="D45" s="286" t="e">
        <f>+C45/C105*100</f>
        <v>#REF!</v>
      </c>
      <c r="F45" s="283"/>
    </row>
    <row r="46" spans="1:6" ht="13.5" customHeight="1">
      <c r="A46" s="284" t="s">
        <v>73</v>
      </c>
      <c r="B46" s="287">
        <f>B47+B48+B49+B50</f>
        <v>372000000</v>
      </c>
      <c r="C46" s="266"/>
      <c r="D46" s="286"/>
      <c r="F46" s="283"/>
    </row>
    <row r="47" spans="1:6" ht="13.5" customHeight="1">
      <c r="A47" s="281" t="s">
        <v>83</v>
      </c>
      <c r="B47" s="235">
        <v>50000000</v>
      </c>
      <c r="C47" s="266"/>
      <c r="D47" s="272"/>
      <c r="F47" s="283"/>
    </row>
    <row r="48" spans="1:4" ht="15">
      <c r="A48" s="281" t="s">
        <v>84</v>
      </c>
      <c r="B48" s="235">
        <v>86000000</v>
      </c>
      <c r="C48" s="266"/>
      <c r="D48" s="272"/>
    </row>
    <row r="49" spans="1:4" ht="15">
      <c r="A49" s="281" t="s">
        <v>256</v>
      </c>
      <c r="B49" s="235">
        <v>236000000</v>
      </c>
      <c r="C49" s="266"/>
      <c r="D49" s="272"/>
    </row>
    <row r="50" spans="1:4" ht="15" hidden="1" outlineLevel="1">
      <c r="A50" s="285" t="s">
        <v>85</v>
      </c>
      <c r="B50" s="279">
        <v>0</v>
      </c>
      <c r="C50" s="266"/>
      <c r="D50" s="272"/>
    </row>
    <row r="51" spans="1:4" ht="15" collapsed="1">
      <c r="A51" s="285" t="s">
        <v>74</v>
      </c>
      <c r="B51" s="282" t="e">
        <f>+#REF!</f>
        <v>#REF!</v>
      </c>
      <c r="C51" s="266"/>
      <c r="D51" s="272"/>
    </row>
    <row r="52" spans="1:4" ht="15">
      <c r="A52" s="278" t="s">
        <v>77</v>
      </c>
      <c r="B52" s="280" t="e">
        <f>B51</f>
        <v>#REF!</v>
      </c>
      <c r="C52" s="266"/>
      <c r="D52" s="272"/>
    </row>
    <row r="53" spans="1:4" ht="15">
      <c r="A53" s="278"/>
      <c r="B53" s="279"/>
      <c r="C53" s="266"/>
      <c r="D53" s="272"/>
    </row>
    <row r="54" spans="1:4" ht="15">
      <c r="A54" s="284" t="s">
        <v>310</v>
      </c>
      <c r="B54" s="279"/>
      <c r="C54" s="266" t="e">
        <f>B55+B63</f>
        <v>#REF!</v>
      </c>
      <c r="D54" s="270" t="e">
        <f>+C54/C105*100</f>
        <v>#REF!</v>
      </c>
    </row>
    <row r="55" spans="1:4" ht="16.5" customHeight="1">
      <c r="A55" s="284" t="s">
        <v>73</v>
      </c>
      <c r="B55" s="280">
        <f>SUM(B56:B59)</f>
        <v>769208400</v>
      </c>
      <c r="C55" s="266"/>
      <c r="D55" s="270"/>
    </row>
    <row r="56" spans="1:4" ht="13.5" customHeight="1">
      <c r="A56" s="285" t="s">
        <v>44</v>
      </c>
      <c r="B56" s="235">
        <v>170000000</v>
      </c>
      <c r="C56" s="269"/>
      <c r="D56" s="272"/>
    </row>
    <row r="57" spans="1:4" ht="15">
      <c r="A57" s="285" t="s">
        <v>224</v>
      </c>
      <c r="B57" s="235">
        <v>260000000</v>
      </c>
      <c r="C57" s="269"/>
      <c r="D57" s="272"/>
    </row>
    <row r="58" spans="1:4" ht="15">
      <c r="A58" s="285" t="s">
        <v>315</v>
      </c>
      <c r="B58" s="235">
        <v>289208400</v>
      </c>
      <c r="C58" s="269"/>
      <c r="D58" s="272"/>
    </row>
    <row r="59" spans="1:4" ht="15">
      <c r="A59" s="285" t="s">
        <v>238</v>
      </c>
      <c r="B59" s="235">
        <v>50000000</v>
      </c>
      <c r="C59" s="269"/>
      <c r="D59" s="272"/>
    </row>
    <row r="60" spans="1:4" ht="15">
      <c r="A60" s="285" t="s">
        <v>74</v>
      </c>
      <c r="B60" s="282" t="e">
        <f>+#REF!</f>
        <v>#REF!</v>
      </c>
      <c r="C60" s="269"/>
      <c r="D60" s="272"/>
    </row>
    <row r="61" spans="1:4" ht="15">
      <c r="A61" s="285" t="s">
        <v>316</v>
      </c>
      <c r="B61" s="279" t="e">
        <f>+#REF!</f>
        <v>#REF!</v>
      </c>
      <c r="C61" s="269"/>
      <c r="D61" s="272"/>
    </row>
    <row r="62" spans="1:4" ht="15">
      <c r="A62" s="285" t="s">
        <v>255</v>
      </c>
      <c r="B62" s="279" t="e">
        <f>+#REF!</f>
        <v>#REF!</v>
      </c>
      <c r="C62" s="269"/>
      <c r="D62" s="272"/>
    </row>
    <row r="63" spans="1:4" ht="15">
      <c r="A63" s="278" t="s">
        <v>77</v>
      </c>
      <c r="B63" s="280" t="e">
        <f>SUM(B60:B62)</f>
        <v>#REF!</v>
      </c>
      <c r="C63" s="269"/>
      <c r="D63" s="272"/>
    </row>
    <row r="64" spans="1:4" ht="15">
      <c r="A64" s="278"/>
      <c r="B64" s="279"/>
      <c r="C64" s="269"/>
      <c r="D64" s="272"/>
    </row>
    <row r="65" spans="1:4" ht="15">
      <c r="A65" s="284" t="s">
        <v>36</v>
      </c>
      <c r="B65" s="279"/>
      <c r="C65" s="266" t="e">
        <f>B66+B70</f>
        <v>#REF!</v>
      </c>
      <c r="D65" s="270" t="e">
        <f>+C65/C105*100</f>
        <v>#REF!</v>
      </c>
    </row>
    <row r="66" spans="1:4" ht="15">
      <c r="A66" s="284" t="s">
        <v>73</v>
      </c>
      <c r="B66" s="236">
        <v>340000000</v>
      </c>
      <c r="C66" s="266"/>
      <c r="D66" s="270"/>
    </row>
    <row r="67" spans="1:4" ht="15">
      <c r="A67" s="285" t="s">
        <v>74</v>
      </c>
      <c r="B67" s="282" t="e">
        <f>+#REF!</f>
        <v>#REF!</v>
      </c>
      <c r="C67" s="266"/>
      <c r="D67" s="270"/>
    </row>
    <row r="68" spans="1:4" ht="15">
      <c r="A68" s="285" t="s">
        <v>239</v>
      </c>
      <c r="B68" s="282" t="e">
        <f>+#REF!</f>
        <v>#REF!</v>
      </c>
      <c r="C68" s="266"/>
      <c r="D68" s="270"/>
    </row>
    <row r="69" spans="1:4" ht="17.25" customHeight="1">
      <c r="A69" s="285" t="s">
        <v>240</v>
      </c>
      <c r="B69" s="282" t="e">
        <f>+#REF!</f>
        <v>#REF!</v>
      </c>
      <c r="C69" s="266"/>
      <c r="D69" s="270"/>
    </row>
    <row r="70" spans="1:4" ht="15">
      <c r="A70" s="278" t="s">
        <v>77</v>
      </c>
      <c r="B70" s="280" t="e">
        <f>SUM(B67:B69)</f>
        <v>#REF!</v>
      </c>
      <c r="C70" s="266"/>
      <c r="D70" s="270"/>
    </row>
    <row r="71" spans="1:4" ht="15">
      <c r="A71" s="278"/>
      <c r="B71" s="279"/>
      <c r="C71" s="266"/>
      <c r="D71" s="270"/>
    </row>
    <row r="72" spans="1:4" ht="15">
      <c r="A72" s="284" t="s">
        <v>241</v>
      </c>
      <c r="B72" s="279"/>
      <c r="C72" s="266" t="e">
        <f>+B74+B75+B76+B77+B78</f>
        <v>#REF!</v>
      </c>
      <c r="D72" s="270" t="e">
        <f>+C72/C105*100</f>
        <v>#REF!</v>
      </c>
    </row>
    <row r="73" spans="1:4" ht="15">
      <c r="A73" s="284" t="s">
        <v>73</v>
      </c>
      <c r="B73" s="280">
        <f>SUM(B74:B77)</f>
        <v>472548000</v>
      </c>
      <c r="C73" s="266"/>
      <c r="D73" s="270"/>
    </row>
    <row r="74" spans="1:4" ht="15">
      <c r="A74" s="285" t="s">
        <v>244</v>
      </c>
      <c r="B74" s="235">
        <v>258000000</v>
      </c>
      <c r="C74" s="269"/>
      <c r="D74" s="272"/>
    </row>
    <row r="75" spans="1:4" ht="15">
      <c r="A75" s="285" t="s">
        <v>245</v>
      </c>
      <c r="B75" s="235">
        <v>74148000</v>
      </c>
      <c r="C75" s="269"/>
      <c r="D75" s="272"/>
    </row>
    <row r="76" spans="1:4" ht="15">
      <c r="A76" s="285" t="s">
        <v>67</v>
      </c>
      <c r="B76" s="235">
        <v>130400000</v>
      </c>
      <c r="C76" s="269"/>
      <c r="D76" s="272"/>
    </row>
    <row r="77" spans="1:4" ht="15">
      <c r="A77" s="285" t="s">
        <v>242</v>
      </c>
      <c r="B77" s="235">
        <v>10000000</v>
      </c>
      <c r="C77" s="269"/>
      <c r="D77" s="272"/>
    </row>
    <row r="78" spans="1:4" ht="15">
      <c r="A78" s="285" t="s">
        <v>243</v>
      </c>
      <c r="B78" s="282" t="e">
        <f>+#REF!</f>
        <v>#REF!</v>
      </c>
      <c r="C78" s="269"/>
      <c r="D78" s="272"/>
    </row>
    <row r="79" spans="1:4" ht="15">
      <c r="A79" s="278" t="s">
        <v>77</v>
      </c>
      <c r="B79" s="280" t="e">
        <f>B78</f>
        <v>#REF!</v>
      </c>
      <c r="C79" s="269"/>
      <c r="D79" s="272"/>
    </row>
    <row r="80" spans="1:4" ht="15">
      <c r="A80" s="278"/>
      <c r="B80" s="279"/>
      <c r="C80" s="269"/>
      <c r="D80" s="272"/>
    </row>
    <row r="81" spans="1:4" ht="15">
      <c r="A81" s="284" t="s">
        <v>37</v>
      </c>
      <c r="B81" s="279"/>
      <c r="C81" s="266" t="e">
        <f>B82+B91</f>
        <v>#REF!</v>
      </c>
      <c r="D81" s="270" t="e">
        <f>+C81/C105*100</f>
        <v>#REF!</v>
      </c>
    </row>
    <row r="82" spans="1:4" ht="15">
      <c r="A82" s="284" t="s">
        <v>73</v>
      </c>
      <c r="B82" s="280">
        <f>SUM(B83:B87)</f>
        <v>452000000</v>
      </c>
      <c r="C82" s="266"/>
      <c r="D82" s="270"/>
    </row>
    <row r="83" spans="1:4" ht="15">
      <c r="A83" s="285" t="s">
        <v>246</v>
      </c>
      <c r="B83" s="235">
        <v>220000000</v>
      </c>
      <c r="C83" s="269"/>
      <c r="D83" s="272"/>
    </row>
    <row r="84" spans="1:4" ht="15">
      <c r="A84" s="285" t="s">
        <v>69</v>
      </c>
      <c r="B84" s="235">
        <v>55000000</v>
      </c>
      <c r="C84" s="269"/>
      <c r="D84" s="272"/>
    </row>
    <row r="85" spans="1:4" ht="15">
      <c r="A85" s="285" t="s">
        <v>70</v>
      </c>
      <c r="B85" s="235">
        <v>30000000</v>
      </c>
      <c r="C85" s="269"/>
      <c r="D85" s="272"/>
    </row>
    <row r="86" spans="1:4" ht="15">
      <c r="A86" s="285" t="s">
        <v>247</v>
      </c>
      <c r="B86" s="235">
        <v>117000000</v>
      </c>
      <c r="C86" s="269"/>
      <c r="D86" s="272"/>
    </row>
    <row r="87" spans="1:4" ht="15">
      <c r="A87" s="285" t="s">
        <v>252</v>
      </c>
      <c r="B87" s="235">
        <v>30000000</v>
      </c>
      <c r="C87" s="269"/>
      <c r="D87" s="272"/>
    </row>
    <row r="88" spans="1:4" ht="15">
      <c r="A88" s="285" t="s">
        <v>248</v>
      </c>
      <c r="B88" s="279" t="e">
        <f>+#REF!/3*2</f>
        <v>#REF!</v>
      </c>
      <c r="C88" s="269"/>
      <c r="D88" s="272"/>
    </row>
    <row r="89" spans="1:4" ht="15">
      <c r="A89" s="285" t="s">
        <v>249</v>
      </c>
      <c r="B89" s="279" t="e">
        <f>+#REF!</f>
        <v>#REF!</v>
      </c>
      <c r="C89" s="269"/>
      <c r="D89" s="272"/>
    </row>
    <row r="90" spans="1:4" ht="15">
      <c r="A90" s="285" t="s">
        <v>292</v>
      </c>
      <c r="B90" s="279" t="e">
        <f>+ASISICA</f>
        <v>#REF!</v>
      </c>
      <c r="C90" s="269"/>
      <c r="D90" s="272"/>
    </row>
    <row r="91" spans="1:4" ht="15">
      <c r="A91" s="278" t="s">
        <v>77</v>
      </c>
      <c r="B91" s="280" t="e">
        <f>SUM(B88:B90)</f>
        <v>#REF!</v>
      </c>
      <c r="C91" s="269"/>
      <c r="D91" s="272"/>
    </row>
    <row r="92" spans="1:4" ht="15">
      <c r="A92" s="278"/>
      <c r="B92" s="279"/>
      <c r="C92" s="269"/>
      <c r="D92" s="272"/>
    </row>
    <row r="93" spans="1:4" ht="15">
      <c r="A93" s="278"/>
      <c r="B93" s="279"/>
      <c r="C93" s="266"/>
      <c r="D93" s="270"/>
    </row>
    <row r="94" spans="1:4" ht="15">
      <c r="A94" s="284" t="s">
        <v>251</v>
      </c>
      <c r="B94" s="279"/>
      <c r="C94" s="266" t="e">
        <f>B95+B97</f>
        <v>#REF!</v>
      </c>
      <c r="D94" s="270" t="e">
        <f>+C94/C105*100</f>
        <v>#REF!</v>
      </c>
    </row>
    <row r="95" spans="1:4" ht="15">
      <c r="A95" s="284" t="s">
        <v>73</v>
      </c>
      <c r="B95" s="236">
        <v>73000000</v>
      </c>
      <c r="C95" s="266"/>
      <c r="D95" s="270"/>
    </row>
    <row r="96" spans="1:4" ht="15">
      <c r="A96" s="285" t="s">
        <v>30</v>
      </c>
      <c r="B96" s="279" t="e">
        <f>+#REF!</f>
        <v>#REF!</v>
      </c>
      <c r="C96" s="266"/>
      <c r="D96" s="270"/>
    </row>
    <row r="97" spans="1:4" ht="15">
      <c r="A97" s="278" t="s">
        <v>77</v>
      </c>
      <c r="B97" s="280" t="e">
        <f>+B96</f>
        <v>#REF!</v>
      </c>
      <c r="C97" s="266"/>
      <c r="D97" s="270"/>
    </row>
    <row r="98" spans="1:4" ht="15">
      <c r="A98" s="278"/>
      <c r="B98" s="279"/>
      <c r="C98" s="266"/>
      <c r="D98" s="270"/>
    </row>
    <row r="99" spans="1:4" ht="15">
      <c r="A99" s="284" t="s">
        <v>227</v>
      </c>
      <c r="B99" s="236">
        <f>SUM('Anexo 1 Minagricultura'!D15:D16)*10%</f>
        <v>751974537.8590117</v>
      </c>
      <c r="C99" s="266">
        <f>+B99</f>
        <v>751974537.8590117</v>
      </c>
      <c r="D99" s="270" t="e">
        <f>+C99/C105*100</f>
        <v>#REF!</v>
      </c>
    </row>
    <row r="100" spans="1:4" ht="15">
      <c r="A100" s="284"/>
      <c r="B100" s="280"/>
      <c r="C100" s="266"/>
      <c r="D100" s="270"/>
    </row>
    <row r="101" spans="1:4" ht="16.5" customHeight="1">
      <c r="A101" s="284" t="s">
        <v>306</v>
      </c>
      <c r="B101" s="280"/>
      <c r="C101" s="266" t="e">
        <f>+B102+B103</f>
        <v>#REF!</v>
      </c>
      <c r="D101" s="270" t="e">
        <f>+C101/C105*100</f>
        <v>#REF!</v>
      </c>
    </row>
    <row r="102" spans="1:4" ht="15">
      <c r="A102" s="285" t="s">
        <v>291</v>
      </c>
      <c r="B102" s="279" t="e">
        <f>+#REF!</f>
        <v>#REF!</v>
      </c>
      <c r="C102" s="269"/>
      <c r="D102" s="272"/>
    </row>
    <row r="103" spans="1:4" ht="15">
      <c r="A103" s="285" t="s">
        <v>282</v>
      </c>
      <c r="B103" s="279" t="e">
        <f>+#REF!</f>
        <v>#REF!</v>
      </c>
      <c r="C103" s="269"/>
      <c r="D103" s="272"/>
    </row>
    <row r="104" spans="1:4" ht="15">
      <c r="A104" s="288"/>
      <c r="B104" s="271"/>
      <c r="C104" s="276"/>
      <c r="D104" s="272"/>
    </row>
    <row r="105" spans="1:4" ht="15">
      <c r="A105" s="273" t="s">
        <v>48</v>
      </c>
      <c r="B105" s="274"/>
      <c r="C105" s="274" t="e">
        <f>+C99+C26+C24+C101</f>
        <v>#REF!</v>
      </c>
      <c r="D105" s="270" t="e">
        <f>+D26+D24</f>
        <v>#REF!</v>
      </c>
    </row>
    <row r="106" spans="1:4" ht="8.25" customHeight="1" thickBot="1">
      <c r="A106" s="289"/>
      <c r="B106" s="290"/>
      <c r="C106" s="291"/>
      <c r="D106" s="292"/>
    </row>
    <row r="107" ht="15.75" thickTop="1">
      <c r="C107" s="294"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8.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8" t="s">
        <v>149</v>
      </c>
      <c r="B1" s="298"/>
      <c r="C1" s="298"/>
      <c r="D1" s="298"/>
      <c r="E1" s="298"/>
      <c r="F1" s="298"/>
      <c r="G1" s="298"/>
      <c r="H1" s="298"/>
      <c r="I1" s="298"/>
      <c r="J1" s="298"/>
    </row>
    <row r="2" spans="1:10" ht="12.75" customHeight="1">
      <c r="A2" s="298" t="s">
        <v>284</v>
      </c>
      <c r="B2" s="298"/>
      <c r="C2" s="298"/>
      <c r="D2" s="298"/>
      <c r="E2" s="298"/>
      <c r="F2" s="298"/>
      <c r="G2" s="298"/>
      <c r="H2" s="298"/>
      <c r="I2" s="298"/>
      <c r="J2" s="298"/>
    </row>
    <row r="3" spans="1:11" ht="13.5" customHeight="1" thickBot="1">
      <c r="A3" s="55"/>
      <c r="B3" s="56"/>
      <c r="C3" s="56"/>
      <c r="D3" s="56"/>
      <c r="E3" s="56"/>
      <c r="F3" s="56"/>
      <c r="G3" s="56"/>
      <c r="H3" s="56"/>
      <c r="I3" s="56"/>
      <c r="J3" s="56"/>
      <c r="K3" s="54"/>
    </row>
    <row r="4" spans="1:11" ht="15" thickBot="1">
      <c r="A4" s="203" t="s">
        <v>128</v>
      </c>
      <c r="B4" s="40" t="s">
        <v>129</v>
      </c>
      <c r="C4" s="188" t="s">
        <v>130</v>
      </c>
      <c r="D4" s="237" t="s">
        <v>130</v>
      </c>
      <c r="E4" s="295" t="s">
        <v>311</v>
      </c>
      <c r="F4" s="295"/>
      <c r="G4" s="301" t="s">
        <v>283</v>
      </c>
      <c r="H4" s="40" t="s">
        <v>285</v>
      </c>
      <c r="I4" s="40" t="s">
        <v>108</v>
      </c>
      <c r="J4" s="299" t="s">
        <v>151</v>
      </c>
      <c r="K4" s="58"/>
    </row>
    <row r="5" spans="1:11" ht="15.75" thickBot="1">
      <c r="A5" s="55"/>
      <c r="B5" s="59"/>
      <c r="C5" s="108" t="s">
        <v>264</v>
      </c>
      <c r="D5" s="238" t="s">
        <v>104</v>
      </c>
      <c r="E5" s="296">
        <v>0.1</v>
      </c>
      <c r="F5" s="296">
        <v>0.06</v>
      </c>
      <c r="G5" s="41">
        <v>0.00966</v>
      </c>
      <c r="H5" s="222">
        <v>0.27022</v>
      </c>
      <c r="I5" s="300" t="s">
        <v>286</v>
      </c>
      <c r="J5" s="60" t="s">
        <v>103</v>
      </c>
      <c r="K5" s="58"/>
    </row>
    <row r="6" spans="1:11" ht="15.75" thickBot="1">
      <c r="A6" s="61" t="s">
        <v>132</v>
      </c>
      <c r="B6" s="62" t="e">
        <f>+B7+B8+B9+B10+B11</f>
        <v>#REF!</v>
      </c>
      <c r="C6" s="219">
        <f aca="true" t="shared" si="0" ref="C6:J6">SUM(C7:C11)</f>
        <v>19000000</v>
      </c>
      <c r="D6" s="297"/>
      <c r="E6" s="220" t="e">
        <f t="shared" si="0"/>
        <v>#REF!</v>
      </c>
      <c r="F6" s="220"/>
      <c r="G6" s="62" t="e">
        <f t="shared" si="0"/>
        <v>#REF!</v>
      </c>
      <c r="H6" s="63">
        <f t="shared" si="0"/>
        <v>580432.56</v>
      </c>
      <c r="I6" s="64" t="e">
        <f t="shared" si="0"/>
        <v>#REF!</v>
      </c>
      <c r="J6" s="62" t="e">
        <f t="shared" si="0"/>
        <v>#REF!</v>
      </c>
      <c r="K6" s="58"/>
    </row>
    <row r="7" spans="1:11" ht="15">
      <c r="A7" s="207" t="e">
        <f>+#REF!</f>
        <v>#REF!</v>
      </c>
      <c r="B7" s="213" t="e">
        <f>+#REF!</f>
        <v>#REF!</v>
      </c>
      <c r="C7" s="190">
        <v>3800000</v>
      </c>
      <c r="D7" s="190" t="e">
        <f>+C7*B7</f>
        <v>#REF!</v>
      </c>
      <c r="E7" s="67" t="e">
        <f>+D7*E5</f>
        <v>#REF!</v>
      </c>
      <c r="F7" s="67"/>
      <c r="G7" s="68" t="e">
        <f>+D7*$G$5</f>
        <v>#REF!</v>
      </c>
      <c r="H7" s="69">
        <f>537000*$H$5</f>
        <v>145108.14</v>
      </c>
      <c r="I7" s="69" t="e">
        <f>+D7-E7-F7-G7-H7</f>
        <v>#REF!</v>
      </c>
      <c r="J7" s="68" t="e">
        <f>+I7*12</f>
        <v>#REF!</v>
      </c>
      <c r="K7" s="72"/>
    </row>
    <row r="8" spans="1:11" ht="15">
      <c r="A8" s="208" t="e">
        <f>+#REF!</f>
        <v>#REF!</v>
      </c>
      <c r="B8" s="214" t="e">
        <f>+#REF!</f>
        <v>#REF!</v>
      </c>
      <c r="C8" s="190">
        <v>3800000</v>
      </c>
      <c r="D8" s="190" t="e">
        <f aca="true" t="shared" si="1" ref="D8:D39">+C8*B8</f>
        <v>#REF!</v>
      </c>
      <c r="E8" s="67" t="e">
        <f>+D8*10%</f>
        <v>#REF!</v>
      </c>
      <c r="F8" s="67"/>
      <c r="G8" s="68" t="e">
        <f>+D8*$G$5</f>
        <v>#REF!</v>
      </c>
      <c r="H8" s="69">
        <f>537000*$H$5</f>
        <v>145108.14</v>
      </c>
      <c r="I8" s="69" t="e">
        <f>+D8-E8-F8-G8-H8</f>
        <v>#REF!</v>
      </c>
      <c r="J8" s="68" t="e">
        <f>+I8*12</f>
        <v>#REF!</v>
      </c>
      <c r="K8" s="72"/>
    </row>
    <row r="9" spans="1:11" ht="15">
      <c r="A9" s="208" t="e">
        <f>+#REF!</f>
        <v>#REF!</v>
      </c>
      <c r="B9" s="214" t="e">
        <f>+#REF!</f>
        <v>#REF!</v>
      </c>
      <c r="C9" s="190">
        <v>3800000</v>
      </c>
      <c r="D9" s="190" t="e">
        <f t="shared" si="1"/>
        <v>#REF!</v>
      </c>
      <c r="E9" s="67" t="e">
        <f>+D9*10%</f>
        <v>#REF!</v>
      </c>
      <c r="F9" s="67"/>
      <c r="G9" s="68" t="e">
        <f>+D9*$G$5</f>
        <v>#REF!</v>
      </c>
      <c r="H9" s="69">
        <f>537000*$H$5</f>
        <v>145108.14</v>
      </c>
      <c r="I9" s="69" t="e">
        <f>+D9-E9-F9-G9-H9</f>
        <v>#REF!</v>
      </c>
      <c r="J9" s="68" t="e">
        <f>+I9*12</f>
        <v>#REF!</v>
      </c>
      <c r="K9" s="72"/>
    </row>
    <row r="10" spans="1:11" ht="15">
      <c r="A10" s="208" t="e">
        <f>+#REF!</f>
        <v>#REF!</v>
      </c>
      <c r="B10" s="214" t="e">
        <f>+#REF!</f>
        <v>#REF!</v>
      </c>
      <c r="C10" s="190">
        <v>3800000</v>
      </c>
      <c r="D10" s="190" t="e">
        <f t="shared" si="1"/>
        <v>#REF!</v>
      </c>
      <c r="E10" s="67" t="e">
        <f>+D10*10%</f>
        <v>#REF!</v>
      </c>
      <c r="F10" s="67"/>
      <c r="G10" s="68" t="e">
        <f>+D10*$G$5</f>
        <v>#REF!</v>
      </c>
      <c r="H10" s="69">
        <v>0</v>
      </c>
      <c r="I10" s="69" t="e">
        <f>+D10-E10-F10-G10-H10</f>
        <v>#REF!</v>
      </c>
      <c r="J10" s="68" t="e">
        <f>+I10*12</f>
        <v>#REF!</v>
      </c>
      <c r="K10" s="72"/>
    </row>
    <row r="11" spans="1:10" ht="15.75" thickBot="1">
      <c r="A11" s="206" t="e">
        <f>+#REF!</f>
        <v>#REF!</v>
      </c>
      <c r="B11" s="217" t="e">
        <f>+#REF!</f>
        <v>#REF!</v>
      </c>
      <c r="C11" s="197">
        <v>3800000</v>
      </c>
      <c r="D11" s="197" t="e">
        <f t="shared" si="1"/>
        <v>#REF!</v>
      </c>
      <c r="E11" s="67" t="e">
        <f>+D11*10%</f>
        <v>#REF!</v>
      </c>
      <c r="F11" s="67"/>
      <c r="G11" s="68" t="e">
        <f>+D11*$G$5</f>
        <v>#REF!</v>
      </c>
      <c r="H11" s="69">
        <f>537000*$H$5</f>
        <v>145108.14</v>
      </c>
      <c r="I11" s="69" t="e">
        <f>+D11-E11-F11-G11-H11</f>
        <v>#REF!</v>
      </c>
      <c r="J11" s="68" t="e">
        <f>+I11*12</f>
        <v>#REF!</v>
      </c>
    </row>
    <row r="12" spans="1:10" ht="15.75" thickBot="1">
      <c r="A12" s="73" t="s">
        <v>134</v>
      </c>
      <c r="B12" s="62" t="e">
        <f aca="true" t="shared" si="2" ref="B12:I12">SUM(B13:B18)</f>
        <v>#REF!</v>
      </c>
      <c r="C12" s="199">
        <f t="shared" si="2"/>
        <v>16000000</v>
      </c>
      <c r="D12" s="199"/>
      <c r="E12" s="62" t="e">
        <f t="shared" si="2"/>
        <v>#REF!</v>
      </c>
      <c r="F12" s="62"/>
      <c r="G12" s="62" t="e">
        <f>SUM(G13:G18)</f>
        <v>#REF!</v>
      </c>
      <c r="H12" s="74">
        <f t="shared" si="2"/>
        <v>870648.8400000001</v>
      </c>
      <c r="I12" s="75" t="e">
        <f t="shared" si="2"/>
        <v>#REF!</v>
      </c>
      <c r="J12" s="62" t="e">
        <f>SUM(J13:J18)</f>
        <v>#REF!</v>
      </c>
    </row>
    <row r="13" spans="1:11" ht="15">
      <c r="A13" s="207" t="e">
        <f>+#REF!</f>
        <v>#REF!</v>
      </c>
      <c r="B13" s="213" t="e">
        <f>+#REF!</f>
        <v>#REF!</v>
      </c>
      <c r="C13" s="190">
        <v>3000000</v>
      </c>
      <c r="D13" s="190"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8" t="e">
        <f>+#REF!</f>
        <v>#REF!</v>
      </c>
      <c r="B14" s="214" t="e">
        <f>+#REF!</f>
        <v>#REF!</v>
      </c>
      <c r="C14" s="190">
        <v>3000000</v>
      </c>
      <c r="D14" s="190" t="e">
        <f t="shared" si="1"/>
        <v>#REF!</v>
      </c>
      <c r="E14" s="67" t="e">
        <f t="shared" si="3"/>
        <v>#REF!</v>
      </c>
      <c r="F14" s="67"/>
      <c r="G14" s="68" t="e">
        <f t="shared" si="4"/>
        <v>#REF!</v>
      </c>
      <c r="H14" s="69">
        <f t="shared" si="5"/>
        <v>145108.14</v>
      </c>
      <c r="I14" s="69" t="e">
        <f t="shared" si="6"/>
        <v>#REF!</v>
      </c>
      <c r="J14" s="68" t="e">
        <f t="shared" si="7"/>
        <v>#REF!</v>
      </c>
      <c r="K14" s="72"/>
    </row>
    <row r="15" spans="1:11" ht="15">
      <c r="A15" s="208" t="e">
        <f>+#REF!</f>
        <v>#REF!</v>
      </c>
      <c r="B15" s="214" t="e">
        <f>+#REF!</f>
        <v>#REF!</v>
      </c>
      <c r="C15" s="190">
        <v>2500000</v>
      </c>
      <c r="D15" s="190" t="e">
        <f t="shared" si="1"/>
        <v>#REF!</v>
      </c>
      <c r="E15" s="67" t="e">
        <f t="shared" si="3"/>
        <v>#REF!</v>
      </c>
      <c r="F15" s="67"/>
      <c r="G15" s="68" t="e">
        <f t="shared" si="4"/>
        <v>#REF!</v>
      </c>
      <c r="H15" s="69">
        <f t="shared" si="5"/>
        <v>145108.14</v>
      </c>
      <c r="I15" s="69" t="e">
        <f t="shared" si="6"/>
        <v>#REF!</v>
      </c>
      <c r="J15" s="68" t="e">
        <f t="shared" si="7"/>
        <v>#REF!</v>
      </c>
      <c r="K15" s="72"/>
    </row>
    <row r="16" spans="1:11" ht="15">
      <c r="A16" s="207" t="e">
        <f>+#REF!</f>
        <v>#REF!</v>
      </c>
      <c r="B16" s="213" t="e">
        <f>+#REF!</f>
        <v>#REF!</v>
      </c>
      <c r="C16" s="190">
        <v>2500000</v>
      </c>
      <c r="D16" s="190" t="e">
        <f t="shared" si="1"/>
        <v>#REF!</v>
      </c>
      <c r="E16" s="67" t="e">
        <f t="shared" si="3"/>
        <v>#REF!</v>
      </c>
      <c r="F16" s="67"/>
      <c r="G16" s="68" t="e">
        <f t="shared" si="4"/>
        <v>#REF!</v>
      </c>
      <c r="H16" s="69">
        <f t="shared" si="5"/>
        <v>145108.14</v>
      </c>
      <c r="I16" s="69" t="e">
        <f t="shared" si="6"/>
        <v>#REF!</v>
      </c>
      <c r="J16" s="68" t="e">
        <f t="shared" si="7"/>
        <v>#REF!</v>
      </c>
      <c r="K16" s="72"/>
    </row>
    <row r="17" spans="1:11" ht="15">
      <c r="A17" s="207" t="e">
        <f>+#REF!</f>
        <v>#REF!</v>
      </c>
      <c r="B17" s="213" t="e">
        <f>+#REF!</f>
        <v>#REF!</v>
      </c>
      <c r="C17" s="190">
        <v>2500000</v>
      </c>
      <c r="D17" s="190" t="e">
        <f t="shared" si="1"/>
        <v>#REF!</v>
      </c>
      <c r="E17" s="67" t="e">
        <f t="shared" si="3"/>
        <v>#REF!</v>
      </c>
      <c r="F17" s="67"/>
      <c r="G17" s="68" t="e">
        <f t="shared" si="4"/>
        <v>#REF!</v>
      </c>
      <c r="H17" s="69">
        <f t="shared" si="5"/>
        <v>145108.14</v>
      </c>
      <c r="I17" s="69" t="e">
        <f t="shared" si="6"/>
        <v>#REF!</v>
      </c>
      <c r="J17" s="68" t="e">
        <f t="shared" si="7"/>
        <v>#REF!</v>
      </c>
      <c r="K17" s="72"/>
    </row>
    <row r="18" spans="1:11" ht="15.75" thickBot="1">
      <c r="A18" s="202" t="e">
        <f>+#REF!</f>
        <v>#REF!</v>
      </c>
      <c r="B18" s="215" t="e">
        <f>+#REF!</f>
        <v>#REF!</v>
      </c>
      <c r="C18" s="190">
        <v>2500000</v>
      </c>
      <c r="D18" s="190"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137</v>
      </c>
      <c r="B19" s="62" t="e">
        <f>+B20+B21+B23+B25</f>
        <v>#REF!</v>
      </c>
      <c r="C19" s="220">
        <f aca="true" t="shared" si="8" ref="C19:J19">SUM(C20:C25)</f>
        <v>7580000</v>
      </c>
      <c r="D19" s="220"/>
      <c r="E19" s="220" t="e">
        <f t="shared" si="8"/>
        <v>#REF!</v>
      </c>
      <c r="F19" s="220"/>
      <c r="G19" s="62" t="e">
        <f t="shared" si="8"/>
        <v>#REF!</v>
      </c>
      <c r="H19" s="74">
        <f t="shared" si="8"/>
        <v>580432.56</v>
      </c>
      <c r="I19" s="75" t="e">
        <f t="shared" si="8"/>
        <v>#REF!</v>
      </c>
      <c r="J19" s="62" t="e">
        <f t="shared" si="8"/>
        <v>#REF!</v>
      </c>
      <c r="K19" s="72"/>
    </row>
    <row r="20" spans="1:11" ht="15">
      <c r="A20" s="209" t="e">
        <f>+#REF!</f>
        <v>#REF!</v>
      </c>
      <c r="B20" s="216" t="e">
        <f>+#REF!</f>
        <v>#REF!</v>
      </c>
      <c r="C20" s="191">
        <v>1800000</v>
      </c>
      <c r="D20" s="190"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7" t="e">
        <f>+#REF!</f>
        <v>#REF!</v>
      </c>
      <c r="B21" s="213" t="e">
        <f>+#REF!</f>
        <v>#REF!</v>
      </c>
      <c r="C21" s="190">
        <v>1800000</v>
      </c>
      <c r="D21" s="190" t="e">
        <f t="shared" si="1"/>
        <v>#REF!</v>
      </c>
      <c r="E21" s="67" t="e">
        <f>+D21*10%</f>
        <v>#REF!</v>
      </c>
      <c r="F21" s="67"/>
      <c r="G21" s="68" t="e">
        <f>+D21*$G$5</f>
        <v>#REF!</v>
      </c>
      <c r="H21" s="69">
        <f>537000*$H$5</f>
        <v>145108.14</v>
      </c>
      <c r="I21" s="69" t="e">
        <f t="shared" si="9"/>
        <v>#REF!</v>
      </c>
      <c r="J21" s="68" t="e">
        <f t="shared" si="10"/>
        <v>#REF!</v>
      </c>
      <c r="K21" s="72"/>
    </row>
    <row r="22" spans="1:11" ht="15">
      <c r="A22" s="207" t="e">
        <f>+#REF!</f>
        <v>#REF!</v>
      </c>
      <c r="B22" s="213" t="e">
        <f>+#REF!</f>
        <v>#REF!</v>
      </c>
      <c r="C22" s="190">
        <v>400000</v>
      </c>
      <c r="D22" s="190" t="e">
        <f t="shared" si="1"/>
        <v>#REF!</v>
      </c>
      <c r="E22" s="67">
        <v>0</v>
      </c>
      <c r="F22" s="67"/>
      <c r="G22" s="68">
        <v>0</v>
      </c>
      <c r="H22" s="69">
        <v>0</v>
      </c>
      <c r="I22" s="69" t="e">
        <f t="shared" si="9"/>
        <v>#REF!</v>
      </c>
      <c r="J22" s="68" t="e">
        <f t="shared" si="10"/>
        <v>#REF!</v>
      </c>
      <c r="K22" s="72"/>
    </row>
    <row r="23" spans="1:11" ht="15">
      <c r="A23" s="207" t="e">
        <f>+#REF!</f>
        <v>#REF!</v>
      </c>
      <c r="B23" s="213" t="e">
        <f>+#REF!</f>
        <v>#REF!</v>
      </c>
      <c r="C23" s="190">
        <v>1380000</v>
      </c>
      <c r="D23" s="190" t="e">
        <f t="shared" si="1"/>
        <v>#REF!</v>
      </c>
      <c r="E23" s="67" t="e">
        <f>+D23*10%</f>
        <v>#REF!</v>
      </c>
      <c r="F23" s="67"/>
      <c r="G23" s="68" t="e">
        <f>+D23*$G$5</f>
        <v>#REF!</v>
      </c>
      <c r="H23" s="69">
        <f>537000*$H$5</f>
        <v>145108.14</v>
      </c>
      <c r="I23" s="69" t="e">
        <f t="shared" si="9"/>
        <v>#REF!</v>
      </c>
      <c r="J23" s="68" t="e">
        <f t="shared" si="10"/>
        <v>#REF!</v>
      </c>
      <c r="K23" s="72"/>
    </row>
    <row r="24" spans="1:11" ht="15">
      <c r="A24" s="202" t="e">
        <f>+#REF!</f>
        <v>#REF!</v>
      </c>
      <c r="B24" s="215" t="e">
        <f>+#REF!</f>
        <v>#REF!</v>
      </c>
      <c r="C24" s="190">
        <v>500000</v>
      </c>
      <c r="D24" s="190" t="e">
        <f t="shared" si="1"/>
        <v>#REF!</v>
      </c>
      <c r="E24" s="67">
        <v>0</v>
      </c>
      <c r="F24" s="67"/>
      <c r="G24" s="68">
        <v>0</v>
      </c>
      <c r="H24" s="69">
        <v>0</v>
      </c>
      <c r="I24" s="69" t="e">
        <f t="shared" si="9"/>
        <v>#REF!</v>
      </c>
      <c r="J24" s="68" t="e">
        <f t="shared" si="10"/>
        <v>#REF!</v>
      </c>
      <c r="K24" s="72"/>
    </row>
    <row r="25" spans="1:11" ht="15.75" thickBot="1">
      <c r="A25" s="206" t="e">
        <f>+#REF!</f>
        <v>#REF!</v>
      </c>
      <c r="B25" s="217" t="e">
        <f>+#REF!</f>
        <v>#REF!</v>
      </c>
      <c r="C25" s="192">
        <v>1700000</v>
      </c>
      <c r="D25" s="190" t="e">
        <f t="shared" si="1"/>
        <v>#REF!</v>
      </c>
      <c r="E25" s="67" t="e">
        <f>+D25*10%</f>
        <v>#REF!</v>
      </c>
      <c r="F25" s="67"/>
      <c r="G25" s="68" t="e">
        <f>+D25*$G$5</f>
        <v>#REF!</v>
      </c>
      <c r="H25" s="69">
        <f>537000*$H$5</f>
        <v>145108.14</v>
      </c>
      <c r="I25" s="69" t="e">
        <f t="shared" si="9"/>
        <v>#REF!</v>
      </c>
      <c r="J25" s="68" t="e">
        <f t="shared" si="10"/>
        <v>#REF!</v>
      </c>
      <c r="K25" s="72"/>
    </row>
    <row r="26" spans="1:11" ht="15.75" thickBot="1">
      <c r="A26" s="73" t="s">
        <v>141</v>
      </c>
      <c r="B26" s="62" t="e">
        <f aca="true" t="shared" si="11" ref="B26:I26">SUM(B27:B39)</f>
        <v>#REF!</v>
      </c>
      <c r="C26" s="220">
        <f t="shared" si="11"/>
        <v>12700000</v>
      </c>
      <c r="D26" s="220"/>
      <c r="E26" s="220" t="e">
        <f t="shared" si="11"/>
        <v>#REF!</v>
      </c>
      <c r="F26" s="220"/>
      <c r="G26" s="62" t="e">
        <f>SUM(G27:G39)</f>
        <v>#REF!</v>
      </c>
      <c r="H26" s="74">
        <f t="shared" si="11"/>
        <v>1886405.8200000008</v>
      </c>
      <c r="I26" s="74" t="e">
        <f t="shared" si="11"/>
        <v>#REF!</v>
      </c>
      <c r="J26" s="62" t="e">
        <f>SUM(J27:J39)</f>
        <v>#REF!</v>
      </c>
      <c r="K26" s="72"/>
    </row>
    <row r="27" spans="1:11" ht="15.75" thickBot="1">
      <c r="A27" s="210" t="e">
        <f>+#REF!</f>
        <v>#REF!</v>
      </c>
      <c r="B27" s="218" t="e">
        <f>+#REF!</f>
        <v>#REF!</v>
      </c>
      <c r="C27" s="193">
        <v>2000000</v>
      </c>
      <c r="D27" s="193"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8" t="e">
        <f>+#REF!</f>
        <v>#REF!</v>
      </c>
      <c r="B28" s="214" t="e">
        <f>+#REF!</f>
        <v>#REF!</v>
      </c>
      <c r="C28" s="191">
        <v>1300000</v>
      </c>
      <c r="D28" s="191" t="e">
        <f t="shared" si="1"/>
        <v>#REF!</v>
      </c>
      <c r="E28" s="79" t="e">
        <f t="shared" si="12"/>
        <v>#REF!</v>
      </c>
      <c r="F28" s="79"/>
      <c r="G28" s="223" t="e">
        <f t="shared" si="13"/>
        <v>#REF!</v>
      </c>
      <c r="H28" s="79">
        <f t="shared" si="14"/>
        <v>145108.14</v>
      </c>
      <c r="I28" s="79" t="e">
        <f t="shared" si="15"/>
        <v>#REF!</v>
      </c>
      <c r="J28" s="70" t="e">
        <f t="shared" si="16"/>
        <v>#REF!</v>
      </c>
      <c r="K28" s="72"/>
    </row>
    <row r="29" spans="1:11" ht="15">
      <c r="A29" s="207" t="e">
        <f>+#REF!</f>
        <v>#REF!</v>
      </c>
      <c r="B29" s="213" t="e">
        <f>+#REF!</f>
        <v>#REF!</v>
      </c>
      <c r="C29" s="190">
        <v>1300000</v>
      </c>
      <c r="D29" s="190" t="e">
        <f t="shared" si="1"/>
        <v>#REF!</v>
      </c>
      <c r="E29" s="67" t="e">
        <f t="shared" si="12"/>
        <v>#REF!</v>
      </c>
      <c r="F29" s="67"/>
      <c r="G29" s="224" t="e">
        <f t="shared" si="13"/>
        <v>#REF!</v>
      </c>
      <c r="H29" s="67">
        <f t="shared" si="14"/>
        <v>145108.14</v>
      </c>
      <c r="I29" s="67" t="e">
        <f t="shared" si="15"/>
        <v>#REF!</v>
      </c>
      <c r="J29" s="68" t="e">
        <f t="shared" si="16"/>
        <v>#REF!</v>
      </c>
      <c r="K29" s="72"/>
    </row>
    <row r="30" spans="1:11" ht="15.75" thickBot="1">
      <c r="A30" s="206" t="e">
        <f>+#REF!</f>
        <v>#REF!</v>
      </c>
      <c r="B30" s="217" t="e">
        <f>+#REF!</f>
        <v>#REF!</v>
      </c>
      <c r="C30" s="192">
        <v>1300000</v>
      </c>
      <c r="D30" s="192" t="e">
        <f t="shared" si="1"/>
        <v>#REF!</v>
      </c>
      <c r="E30" s="81" t="e">
        <f t="shared" si="12"/>
        <v>#REF!</v>
      </c>
      <c r="F30" s="81"/>
      <c r="G30" s="225" t="e">
        <f t="shared" si="13"/>
        <v>#REF!</v>
      </c>
      <c r="H30" s="81">
        <f t="shared" si="14"/>
        <v>145108.14</v>
      </c>
      <c r="I30" s="81" t="e">
        <f t="shared" si="15"/>
        <v>#REF!</v>
      </c>
      <c r="J30" s="71" t="e">
        <f t="shared" si="16"/>
        <v>#REF!</v>
      </c>
      <c r="K30" s="72"/>
    </row>
    <row r="31" spans="1:11" ht="15">
      <c r="A31" s="207" t="e">
        <f>+#REF!</f>
        <v>#REF!</v>
      </c>
      <c r="B31" s="213" t="e">
        <f>+#REF!</f>
        <v>#REF!</v>
      </c>
      <c r="C31" s="190">
        <v>900000</v>
      </c>
      <c r="D31" s="190" t="e">
        <f t="shared" si="1"/>
        <v>#REF!</v>
      </c>
      <c r="E31" s="67" t="e">
        <f t="shared" si="12"/>
        <v>#REF!</v>
      </c>
      <c r="F31" s="67"/>
      <c r="G31" s="224" t="e">
        <f t="shared" si="13"/>
        <v>#REF!</v>
      </c>
      <c r="H31" s="67">
        <f t="shared" si="14"/>
        <v>145108.14</v>
      </c>
      <c r="I31" s="67" t="e">
        <f t="shared" si="15"/>
        <v>#REF!</v>
      </c>
      <c r="J31" s="68" t="e">
        <f t="shared" si="16"/>
        <v>#REF!</v>
      </c>
      <c r="K31" s="72"/>
    </row>
    <row r="32" spans="1:11" ht="15">
      <c r="A32" s="207" t="e">
        <f>+#REF!</f>
        <v>#REF!</v>
      </c>
      <c r="B32" s="213" t="e">
        <f>+#REF!</f>
        <v>#REF!</v>
      </c>
      <c r="C32" s="190">
        <v>900000</v>
      </c>
      <c r="D32" s="190" t="e">
        <f t="shared" si="1"/>
        <v>#REF!</v>
      </c>
      <c r="E32" s="67" t="e">
        <f t="shared" si="12"/>
        <v>#REF!</v>
      </c>
      <c r="F32" s="67"/>
      <c r="G32" s="224" t="e">
        <f t="shared" si="13"/>
        <v>#REF!</v>
      </c>
      <c r="H32" s="67">
        <f t="shared" si="14"/>
        <v>145108.14</v>
      </c>
      <c r="I32" s="67" t="e">
        <f t="shared" si="15"/>
        <v>#REF!</v>
      </c>
      <c r="J32" s="68" t="e">
        <f t="shared" si="16"/>
        <v>#REF!</v>
      </c>
      <c r="K32" s="72"/>
    </row>
    <row r="33" spans="1:11" ht="15">
      <c r="A33" s="207" t="e">
        <f>+#REF!</f>
        <v>#REF!</v>
      </c>
      <c r="B33" s="213" t="e">
        <f>+#REF!</f>
        <v>#REF!</v>
      </c>
      <c r="C33" s="190">
        <v>900000</v>
      </c>
      <c r="D33" s="190" t="e">
        <f t="shared" si="1"/>
        <v>#REF!</v>
      </c>
      <c r="E33" s="67" t="e">
        <f t="shared" si="12"/>
        <v>#REF!</v>
      </c>
      <c r="F33" s="67"/>
      <c r="G33" s="224" t="e">
        <f t="shared" si="13"/>
        <v>#REF!</v>
      </c>
      <c r="H33" s="67">
        <f t="shared" si="14"/>
        <v>145108.14</v>
      </c>
      <c r="I33" s="67" t="e">
        <f t="shared" si="15"/>
        <v>#REF!</v>
      </c>
      <c r="J33" s="68" t="e">
        <f t="shared" si="16"/>
        <v>#REF!</v>
      </c>
      <c r="K33" s="72"/>
    </row>
    <row r="34" spans="1:11" ht="15">
      <c r="A34" s="207" t="e">
        <f>+#REF!</f>
        <v>#REF!</v>
      </c>
      <c r="B34" s="213" t="e">
        <f>+#REF!</f>
        <v>#REF!</v>
      </c>
      <c r="C34" s="190">
        <v>900000</v>
      </c>
      <c r="D34" s="190" t="e">
        <f t="shared" si="1"/>
        <v>#REF!</v>
      </c>
      <c r="E34" s="67" t="e">
        <f t="shared" si="12"/>
        <v>#REF!</v>
      </c>
      <c r="F34" s="67"/>
      <c r="G34" s="224" t="e">
        <f t="shared" si="13"/>
        <v>#REF!</v>
      </c>
      <c r="H34" s="67">
        <f t="shared" si="14"/>
        <v>145108.14</v>
      </c>
      <c r="I34" s="67" t="e">
        <f t="shared" si="15"/>
        <v>#REF!</v>
      </c>
      <c r="J34" s="68" t="e">
        <f t="shared" si="16"/>
        <v>#REF!</v>
      </c>
      <c r="K34" s="72"/>
    </row>
    <row r="35" spans="1:11" ht="15">
      <c r="A35" s="207" t="e">
        <f>+#REF!</f>
        <v>#REF!</v>
      </c>
      <c r="B35" s="213" t="e">
        <f>+#REF!</f>
        <v>#REF!</v>
      </c>
      <c r="C35" s="190">
        <v>700000</v>
      </c>
      <c r="D35" s="190" t="e">
        <f t="shared" si="1"/>
        <v>#REF!</v>
      </c>
      <c r="E35" s="67" t="e">
        <f t="shared" si="12"/>
        <v>#REF!</v>
      </c>
      <c r="F35" s="67"/>
      <c r="G35" s="224" t="e">
        <f t="shared" si="13"/>
        <v>#REF!</v>
      </c>
      <c r="H35" s="67">
        <f t="shared" si="14"/>
        <v>145108.14</v>
      </c>
      <c r="I35" s="67" t="e">
        <f t="shared" si="15"/>
        <v>#REF!</v>
      </c>
      <c r="J35" s="68" t="e">
        <f t="shared" si="16"/>
        <v>#REF!</v>
      </c>
      <c r="K35" s="72"/>
    </row>
    <row r="36" spans="1:11" ht="15">
      <c r="A36" s="207" t="e">
        <f>+#REF!</f>
        <v>#REF!</v>
      </c>
      <c r="B36" s="213" t="e">
        <f>+#REF!</f>
        <v>#REF!</v>
      </c>
      <c r="C36" s="190">
        <v>700000</v>
      </c>
      <c r="D36" s="190" t="e">
        <f t="shared" si="1"/>
        <v>#REF!</v>
      </c>
      <c r="E36" s="67" t="e">
        <f t="shared" si="12"/>
        <v>#REF!</v>
      </c>
      <c r="F36" s="67"/>
      <c r="G36" s="224" t="e">
        <f t="shared" si="13"/>
        <v>#REF!</v>
      </c>
      <c r="H36" s="67">
        <f t="shared" si="14"/>
        <v>145108.14</v>
      </c>
      <c r="I36" s="67" t="e">
        <f t="shared" si="15"/>
        <v>#REF!</v>
      </c>
      <c r="J36" s="68" t="e">
        <f t="shared" si="16"/>
        <v>#REF!</v>
      </c>
      <c r="K36" s="72"/>
    </row>
    <row r="37" spans="1:11" ht="15.75" thickBot="1">
      <c r="A37" s="206" t="e">
        <f>+#REF!</f>
        <v>#REF!</v>
      </c>
      <c r="B37" s="217" t="e">
        <f>+#REF!</f>
        <v>#REF!</v>
      </c>
      <c r="C37" s="192">
        <v>700000</v>
      </c>
      <c r="D37" s="192" t="e">
        <f t="shared" si="1"/>
        <v>#REF!</v>
      </c>
      <c r="E37" s="81" t="e">
        <f t="shared" si="12"/>
        <v>#REF!</v>
      </c>
      <c r="F37" s="81"/>
      <c r="G37" s="225" t="e">
        <f t="shared" si="13"/>
        <v>#REF!</v>
      </c>
      <c r="H37" s="81">
        <f t="shared" si="14"/>
        <v>145108.14</v>
      </c>
      <c r="I37" s="81" t="e">
        <f t="shared" si="15"/>
        <v>#REF!</v>
      </c>
      <c r="J37" s="71" t="e">
        <f t="shared" si="16"/>
        <v>#REF!</v>
      </c>
      <c r="K37" s="72"/>
    </row>
    <row r="38" spans="1:11" ht="15">
      <c r="A38" s="207" t="e">
        <f>+#REF!</f>
        <v>#REF!</v>
      </c>
      <c r="B38" s="213" t="e">
        <f>+#REF!</f>
        <v>#REF!</v>
      </c>
      <c r="C38" s="190">
        <v>550000</v>
      </c>
      <c r="D38" s="190" t="e">
        <f t="shared" si="1"/>
        <v>#REF!</v>
      </c>
      <c r="E38" s="67" t="e">
        <f t="shared" si="12"/>
        <v>#REF!</v>
      </c>
      <c r="F38" s="67"/>
      <c r="G38" s="224" t="e">
        <f t="shared" si="13"/>
        <v>#REF!</v>
      </c>
      <c r="H38" s="67">
        <f t="shared" si="14"/>
        <v>145108.14</v>
      </c>
      <c r="I38" s="67" t="e">
        <f t="shared" si="15"/>
        <v>#REF!</v>
      </c>
      <c r="J38" s="68" t="e">
        <f t="shared" si="16"/>
        <v>#REF!</v>
      </c>
      <c r="K38" s="72"/>
    </row>
    <row r="39" spans="1:11" ht="15.75" thickBot="1">
      <c r="A39" s="186" t="e">
        <f>+#REF!</f>
        <v>#REF!</v>
      </c>
      <c r="B39" s="201" t="e">
        <f>+#REF!</f>
        <v>#REF!</v>
      </c>
      <c r="C39" s="192">
        <v>550000</v>
      </c>
      <c r="D39" s="190"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148</v>
      </c>
      <c r="B40" s="84" t="e">
        <f>+B26+B19+B12+B6</f>
        <v>#REF!</v>
      </c>
      <c r="C40" s="195">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6" t="s">
        <v>287</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784" t="s">
        <v>149</v>
      </c>
      <c r="B1" s="785"/>
      <c r="C1" s="785"/>
      <c r="D1" s="785"/>
      <c r="E1" s="785"/>
      <c r="F1" s="785"/>
      <c r="G1" s="785"/>
      <c r="H1" s="785"/>
      <c r="I1" s="785"/>
    </row>
    <row r="2" spans="1:8" ht="15.75" thickBot="1">
      <c r="A2" s="55"/>
      <c r="B2" s="56"/>
      <c r="C2" s="56"/>
      <c r="D2" s="56"/>
      <c r="E2" s="56"/>
      <c r="F2" s="56"/>
      <c r="G2" s="56"/>
      <c r="H2" s="56"/>
    </row>
    <row r="3" spans="1:8" s="58" customFormat="1" ht="14.25">
      <c r="A3" s="203" t="s">
        <v>128</v>
      </c>
      <c r="B3" s="40" t="s">
        <v>129</v>
      </c>
      <c r="C3" s="188" t="s">
        <v>130</v>
      </c>
      <c r="D3" s="40" t="s">
        <v>130</v>
      </c>
      <c r="E3" s="40" t="s">
        <v>150</v>
      </c>
      <c r="F3" s="40" t="s">
        <v>131</v>
      </c>
      <c r="G3" s="40" t="s">
        <v>150</v>
      </c>
      <c r="H3" s="57" t="s">
        <v>151</v>
      </c>
    </row>
    <row r="4" spans="1:8" s="58" customFormat="1" ht="15" customHeight="1" thickBot="1">
      <c r="A4" s="55"/>
      <c r="B4" s="59"/>
      <c r="C4" s="189" t="s">
        <v>264</v>
      </c>
      <c r="D4" s="59" t="s">
        <v>104</v>
      </c>
      <c r="E4" s="41" t="s">
        <v>152</v>
      </c>
      <c r="F4" s="41" t="s">
        <v>109</v>
      </c>
      <c r="G4" s="41" t="s">
        <v>109</v>
      </c>
      <c r="H4" s="60" t="s">
        <v>103</v>
      </c>
    </row>
    <row r="5" spans="1:10" s="58" customFormat="1" ht="15" customHeight="1" thickBot="1">
      <c r="A5" s="61" t="s">
        <v>132</v>
      </c>
      <c r="B5" s="62">
        <f>+B6+B7+B8+B9+B10</f>
        <v>5</v>
      </c>
      <c r="C5" s="219">
        <f aca="true" t="shared" si="0" ref="C5:H5">SUM(C6:C10)</f>
        <v>19000000</v>
      </c>
      <c r="D5" s="220">
        <f t="shared" si="0"/>
        <v>19000000</v>
      </c>
      <c r="E5" s="62">
        <f t="shared" si="0"/>
        <v>760000</v>
      </c>
      <c r="F5" s="63">
        <f t="shared" si="0"/>
        <v>3040000</v>
      </c>
      <c r="G5" s="64">
        <f t="shared" si="0"/>
        <v>22800000</v>
      </c>
      <c r="H5" s="65">
        <f t="shared" si="0"/>
        <v>273600000</v>
      </c>
      <c r="J5" s="66"/>
    </row>
    <row r="6" spans="1:10" s="58" customFormat="1" ht="15" customHeight="1">
      <c r="A6" s="204" t="s">
        <v>68</v>
      </c>
      <c r="B6" s="211">
        <v>1</v>
      </c>
      <c r="C6" s="196">
        <v>3800000</v>
      </c>
      <c r="D6" s="67">
        <v>3800000</v>
      </c>
      <c r="E6" s="68">
        <f>+D6*0.04</f>
        <v>152000</v>
      </c>
      <c r="F6" s="69">
        <f>+D6*0.16</f>
        <v>608000</v>
      </c>
      <c r="G6" s="69">
        <f>+F6+E6+D6</f>
        <v>4560000</v>
      </c>
      <c r="H6" s="70">
        <f>+G6*12</f>
        <v>54720000</v>
      </c>
      <c r="J6" s="66"/>
    </row>
    <row r="7" spans="1:8" s="58" customFormat="1" ht="15" customHeight="1">
      <c r="A7" s="205" t="s">
        <v>133</v>
      </c>
      <c r="B7" s="212">
        <v>1</v>
      </c>
      <c r="C7" s="198">
        <v>3800000</v>
      </c>
      <c r="D7" s="67">
        <v>3800000</v>
      </c>
      <c r="E7" s="68">
        <f>+D7*0.04</f>
        <v>152000</v>
      </c>
      <c r="F7" s="69">
        <f>+D7*0.16</f>
        <v>608000</v>
      </c>
      <c r="G7" s="69">
        <f>+F7+E7+D7</f>
        <v>4560000</v>
      </c>
      <c r="H7" s="68">
        <f>+G7*12</f>
        <v>54720000</v>
      </c>
    </row>
    <row r="8" spans="1:8" s="58" customFormat="1" ht="15" customHeight="1">
      <c r="A8" s="205" t="s">
        <v>42</v>
      </c>
      <c r="B8" s="212">
        <v>1</v>
      </c>
      <c r="C8" s="198">
        <v>3800000</v>
      </c>
      <c r="D8" s="67">
        <v>3800000</v>
      </c>
      <c r="E8" s="68">
        <f>+D8*0.04</f>
        <v>152000</v>
      </c>
      <c r="F8" s="69">
        <f>+D8*0.16</f>
        <v>608000</v>
      </c>
      <c r="G8" s="69">
        <f>+F8+E8+D8</f>
        <v>4560000</v>
      </c>
      <c r="H8" s="68">
        <f>+G8*12</f>
        <v>54720000</v>
      </c>
    </row>
    <row r="9" spans="1:8" s="58" customFormat="1" ht="15" customHeight="1">
      <c r="A9" s="205" t="s">
        <v>43</v>
      </c>
      <c r="B9" s="212">
        <v>1</v>
      </c>
      <c r="C9" s="198">
        <v>3800000</v>
      </c>
      <c r="D9" s="67">
        <v>3800000</v>
      </c>
      <c r="E9" s="68">
        <f>+D9*0.04</f>
        <v>152000</v>
      </c>
      <c r="F9" s="69">
        <f>+D9*0.16</f>
        <v>608000</v>
      </c>
      <c r="G9" s="69">
        <f>+F9+E9+D9</f>
        <v>4560000</v>
      </c>
      <c r="H9" s="68">
        <f>+G9*12</f>
        <v>54720000</v>
      </c>
    </row>
    <row r="10" spans="1:8" s="72" customFormat="1" ht="15" customHeight="1" thickBot="1">
      <c r="A10" s="206" t="s">
        <v>36</v>
      </c>
      <c r="B10" s="217">
        <v>1</v>
      </c>
      <c r="C10" s="197">
        <v>3800000</v>
      </c>
      <c r="D10" s="67">
        <v>3800000</v>
      </c>
      <c r="E10" s="68">
        <f>+D10*0.04</f>
        <v>152000</v>
      </c>
      <c r="F10" s="69">
        <f>+D10*0.16</f>
        <v>608000</v>
      </c>
      <c r="G10" s="69">
        <f>+F10+E10+D10</f>
        <v>4560000</v>
      </c>
      <c r="H10" s="68">
        <f>+G10*12</f>
        <v>54720000</v>
      </c>
    </row>
    <row r="11" spans="1:8" s="72" customFormat="1" ht="15" customHeight="1" thickBot="1">
      <c r="A11" s="73" t="s">
        <v>134</v>
      </c>
      <c r="B11" s="62">
        <f aca="true" t="shared" si="1" ref="B11:H11">SUM(B12:B17)</f>
        <v>6</v>
      </c>
      <c r="C11" s="199">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7" t="s">
        <v>135</v>
      </c>
      <c r="B12" s="213">
        <v>1</v>
      </c>
      <c r="C12" s="190">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8" t="s">
        <v>47</v>
      </c>
      <c r="B13" s="214">
        <v>1</v>
      </c>
      <c r="C13" s="190">
        <v>3000000</v>
      </c>
      <c r="D13" s="68">
        <v>3000000</v>
      </c>
      <c r="E13" s="68">
        <f t="shared" si="2"/>
        <v>120000</v>
      </c>
      <c r="F13" s="69">
        <f t="shared" si="3"/>
        <v>480000</v>
      </c>
      <c r="G13" s="69">
        <f t="shared" si="4"/>
        <v>3600000</v>
      </c>
      <c r="H13" s="68">
        <f t="shared" si="5"/>
        <v>43200000</v>
      </c>
    </row>
    <row r="14" spans="1:8" s="72" customFormat="1" ht="15" customHeight="1">
      <c r="A14" s="208" t="s">
        <v>45</v>
      </c>
      <c r="B14" s="214">
        <v>1</v>
      </c>
      <c r="C14" s="190">
        <v>2500000</v>
      </c>
      <c r="D14" s="68">
        <v>2500000</v>
      </c>
      <c r="E14" s="68">
        <f t="shared" si="2"/>
        <v>100000</v>
      </c>
      <c r="F14" s="69">
        <f t="shared" si="3"/>
        <v>400000</v>
      </c>
      <c r="G14" s="69">
        <f t="shared" si="4"/>
        <v>3000000</v>
      </c>
      <c r="H14" s="68">
        <f t="shared" si="5"/>
        <v>36000000</v>
      </c>
    </row>
    <row r="15" spans="1:8" s="72" customFormat="1" ht="15" customHeight="1">
      <c r="A15" s="207" t="s">
        <v>37</v>
      </c>
      <c r="B15" s="213">
        <v>1</v>
      </c>
      <c r="C15" s="190">
        <v>2500000</v>
      </c>
      <c r="D15" s="68">
        <v>2500000</v>
      </c>
      <c r="E15" s="68">
        <f t="shared" si="2"/>
        <v>100000</v>
      </c>
      <c r="F15" s="69">
        <f t="shared" si="3"/>
        <v>400000</v>
      </c>
      <c r="G15" s="69">
        <f t="shared" si="4"/>
        <v>3000000</v>
      </c>
      <c r="H15" s="68">
        <f t="shared" si="5"/>
        <v>36000000</v>
      </c>
    </row>
    <row r="16" spans="1:8" s="72" customFormat="1" ht="15" customHeight="1">
      <c r="A16" s="207" t="s">
        <v>136</v>
      </c>
      <c r="B16" s="213">
        <v>1</v>
      </c>
      <c r="C16" s="190">
        <v>2500000</v>
      </c>
      <c r="D16" s="68">
        <v>2500000</v>
      </c>
      <c r="E16" s="68">
        <f t="shared" si="2"/>
        <v>100000</v>
      </c>
      <c r="F16" s="69">
        <f t="shared" si="3"/>
        <v>400000</v>
      </c>
      <c r="G16" s="69">
        <f t="shared" si="4"/>
        <v>3000000</v>
      </c>
      <c r="H16" s="68">
        <f t="shared" si="5"/>
        <v>36000000</v>
      </c>
    </row>
    <row r="17" spans="1:8" s="72" customFormat="1" ht="15" customHeight="1" thickBot="1">
      <c r="A17" s="202" t="s">
        <v>46</v>
      </c>
      <c r="B17" s="215">
        <v>1</v>
      </c>
      <c r="C17" s="190">
        <v>2500000</v>
      </c>
      <c r="D17" s="68">
        <v>2500000</v>
      </c>
      <c r="E17" s="68">
        <f t="shared" si="2"/>
        <v>100000</v>
      </c>
      <c r="F17" s="69">
        <f t="shared" si="3"/>
        <v>400000</v>
      </c>
      <c r="G17" s="69">
        <f t="shared" si="4"/>
        <v>3000000</v>
      </c>
      <c r="H17" s="68">
        <f t="shared" si="5"/>
        <v>36000000</v>
      </c>
    </row>
    <row r="18" spans="1:8" s="72" customFormat="1" ht="15" customHeight="1" thickBot="1">
      <c r="A18" s="73" t="s">
        <v>137</v>
      </c>
      <c r="B18" s="62">
        <f>+B19+B20+B22+B24</f>
        <v>22</v>
      </c>
      <c r="C18" s="199">
        <f aca="true" t="shared" si="6" ref="C18:H18">SUM(C19:C24)</f>
        <v>7580000</v>
      </c>
      <c r="D18" s="220">
        <f t="shared" si="6"/>
        <v>43540000</v>
      </c>
      <c r="E18" s="62">
        <f t="shared" si="6"/>
        <v>1521600</v>
      </c>
      <c r="F18" s="74">
        <f t="shared" si="6"/>
        <v>6086400</v>
      </c>
      <c r="G18" s="75">
        <f t="shared" si="6"/>
        <v>51148000</v>
      </c>
      <c r="H18" s="62">
        <f t="shared" si="6"/>
        <v>613776000</v>
      </c>
    </row>
    <row r="19" spans="1:8" s="72" customFormat="1" ht="15" customHeight="1">
      <c r="A19" s="209" t="s">
        <v>138</v>
      </c>
      <c r="B19" s="216">
        <v>6</v>
      </c>
      <c r="C19" s="191">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7" t="s">
        <v>153</v>
      </c>
      <c r="B20" s="213">
        <v>10</v>
      </c>
      <c r="C20" s="190">
        <v>1800000</v>
      </c>
      <c r="D20" s="68">
        <f t="shared" si="7"/>
        <v>18000000</v>
      </c>
      <c r="E20" s="68">
        <f t="shared" si="8"/>
        <v>720000</v>
      </c>
      <c r="F20" s="221">
        <f>+D20*16%</f>
        <v>2880000</v>
      </c>
      <c r="G20" s="69">
        <f t="shared" si="9"/>
        <v>21600000</v>
      </c>
      <c r="H20" s="68">
        <f t="shared" si="10"/>
        <v>259200000</v>
      </c>
    </row>
    <row r="21" spans="1:8" s="72" customFormat="1" ht="15" customHeight="1">
      <c r="A21" s="207" t="s">
        <v>261</v>
      </c>
      <c r="B21" s="213">
        <v>10</v>
      </c>
      <c r="C21" s="190">
        <v>400000</v>
      </c>
      <c r="D21" s="68">
        <f t="shared" si="7"/>
        <v>4000000</v>
      </c>
      <c r="E21" s="68">
        <v>0</v>
      </c>
      <c r="F21" s="69">
        <v>0</v>
      </c>
      <c r="G21" s="69">
        <f>+F21+E21+D21</f>
        <v>4000000</v>
      </c>
      <c r="H21" s="68">
        <f t="shared" si="10"/>
        <v>48000000</v>
      </c>
    </row>
    <row r="22" spans="1:8" s="72" customFormat="1" ht="15" customHeight="1">
      <c r="A22" s="207" t="s">
        <v>139</v>
      </c>
      <c r="B22" s="213">
        <v>3</v>
      </c>
      <c r="C22" s="190">
        <v>1380000</v>
      </c>
      <c r="D22" s="68">
        <f t="shared" si="7"/>
        <v>4140000</v>
      </c>
      <c r="E22" s="68">
        <f t="shared" si="8"/>
        <v>165600</v>
      </c>
      <c r="F22" s="69">
        <f>+D22*16%</f>
        <v>662400</v>
      </c>
      <c r="G22" s="69">
        <f t="shared" si="9"/>
        <v>4968000</v>
      </c>
      <c r="H22" s="68">
        <f t="shared" si="10"/>
        <v>59616000</v>
      </c>
    </row>
    <row r="23" spans="1:8" s="72" customFormat="1" ht="15" customHeight="1">
      <c r="A23" s="202" t="s">
        <v>262</v>
      </c>
      <c r="B23" s="215">
        <v>3</v>
      </c>
      <c r="C23" s="190">
        <v>500000</v>
      </c>
      <c r="D23" s="68">
        <f t="shared" si="7"/>
        <v>1500000</v>
      </c>
      <c r="E23" s="68">
        <v>0</v>
      </c>
      <c r="F23" s="69">
        <v>0</v>
      </c>
      <c r="G23" s="69">
        <f>+F23+E23+D23</f>
        <v>1500000</v>
      </c>
      <c r="H23" s="68">
        <f t="shared" si="10"/>
        <v>18000000</v>
      </c>
    </row>
    <row r="24" spans="1:8" s="72" customFormat="1" ht="15" customHeight="1" thickBot="1">
      <c r="A24" s="206" t="s">
        <v>140</v>
      </c>
      <c r="B24" s="217">
        <v>3</v>
      </c>
      <c r="C24" s="192">
        <v>1700000</v>
      </c>
      <c r="D24" s="71">
        <f t="shared" si="7"/>
        <v>5100000</v>
      </c>
      <c r="E24" s="68">
        <f t="shared" si="8"/>
        <v>204000</v>
      </c>
      <c r="F24" s="69">
        <f>+D24*0.16</f>
        <v>816000</v>
      </c>
      <c r="G24" s="69">
        <f t="shared" si="9"/>
        <v>6120000</v>
      </c>
      <c r="H24" s="68">
        <f t="shared" si="10"/>
        <v>73440000</v>
      </c>
    </row>
    <row r="25" spans="1:8" s="72" customFormat="1" ht="15" customHeight="1" thickBot="1">
      <c r="A25" s="73" t="s">
        <v>141</v>
      </c>
      <c r="B25" s="62">
        <f aca="true" t="shared" si="11" ref="B25:H25">SUM(B26:B38)</f>
        <v>13</v>
      </c>
      <c r="C25" s="199">
        <f t="shared" si="11"/>
        <v>12700000</v>
      </c>
      <c r="D25" s="220">
        <f t="shared" si="11"/>
        <v>12700000</v>
      </c>
      <c r="E25" s="62">
        <f t="shared" si="11"/>
        <v>508000</v>
      </c>
      <c r="F25" s="74">
        <f t="shared" si="11"/>
        <v>2032000</v>
      </c>
      <c r="G25" s="74">
        <f t="shared" si="11"/>
        <v>15240000</v>
      </c>
      <c r="H25" s="62">
        <f t="shared" si="11"/>
        <v>182880000</v>
      </c>
    </row>
    <row r="26" spans="1:8" s="72" customFormat="1" ht="15" customHeight="1" thickBot="1">
      <c r="A26" s="210" t="s">
        <v>122</v>
      </c>
      <c r="B26" s="218">
        <v>1</v>
      </c>
      <c r="C26" s="193">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8" t="s">
        <v>121</v>
      </c>
      <c r="B27" s="214">
        <v>1</v>
      </c>
      <c r="C27" s="191">
        <v>1300000</v>
      </c>
      <c r="D27" s="79">
        <f t="shared" si="12"/>
        <v>1300000</v>
      </c>
      <c r="E27" s="70">
        <f t="shared" si="13"/>
        <v>52000</v>
      </c>
      <c r="F27" s="79">
        <f t="shared" si="14"/>
        <v>208000</v>
      </c>
      <c r="G27" s="80">
        <f t="shared" si="15"/>
        <v>1560000</v>
      </c>
      <c r="H27" s="70">
        <f t="shared" si="16"/>
        <v>18720000</v>
      </c>
    </row>
    <row r="28" spans="1:8" s="72" customFormat="1" ht="15" customHeight="1">
      <c r="A28" s="207" t="s">
        <v>120</v>
      </c>
      <c r="B28" s="213">
        <v>1</v>
      </c>
      <c r="C28" s="190">
        <v>1300000</v>
      </c>
      <c r="D28" s="67">
        <f t="shared" si="12"/>
        <v>1300000</v>
      </c>
      <c r="E28" s="68">
        <f t="shared" si="13"/>
        <v>52000</v>
      </c>
      <c r="F28" s="67">
        <f t="shared" si="14"/>
        <v>208000</v>
      </c>
      <c r="G28" s="69">
        <f t="shared" si="15"/>
        <v>1560000</v>
      </c>
      <c r="H28" s="68">
        <f t="shared" si="16"/>
        <v>18720000</v>
      </c>
    </row>
    <row r="29" spans="1:8" s="72" customFormat="1" ht="15" customHeight="1" thickBot="1">
      <c r="A29" s="206" t="s">
        <v>142</v>
      </c>
      <c r="B29" s="217">
        <v>1</v>
      </c>
      <c r="C29" s="192">
        <v>1300000</v>
      </c>
      <c r="D29" s="67">
        <f t="shared" si="12"/>
        <v>1300000</v>
      </c>
      <c r="E29" s="71">
        <f t="shared" si="13"/>
        <v>52000</v>
      </c>
      <c r="F29" s="81">
        <f t="shared" si="14"/>
        <v>208000</v>
      </c>
      <c r="G29" s="82">
        <f t="shared" si="15"/>
        <v>1560000</v>
      </c>
      <c r="H29" s="71">
        <f t="shared" si="16"/>
        <v>18720000</v>
      </c>
    </row>
    <row r="30" spans="1:8" s="72" customFormat="1" ht="15" customHeight="1">
      <c r="A30" s="208" t="s">
        <v>143</v>
      </c>
      <c r="B30" s="214">
        <v>1</v>
      </c>
      <c r="C30" s="194">
        <v>900000</v>
      </c>
      <c r="D30" s="70">
        <f t="shared" si="12"/>
        <v>900000</v>
      </c>
      <c r="E30" s="70">
        <f t="shared" si="13"/>
        <v>36000</v>
      </c>
      <c r="F30" s="79">
        <f t="shared" si="14"/>
        <v>144000</v>
      </c>
      <c r="G30" s="80">
        <f t="shared" si="15"/>
        <v>1080000</v>
      </c>
      <c r="H30" s="70">
        <f t="shared" si="16"/>
        <v>12960000</v>
      </c>
    </row>
    <row r="31" spans="1:8" s="72" customFormat="1" ht="15" customHeight="1">
      <c r="A31" s="202" t="s">
        <v>144</v>
      </c>
      <c r="B31" s="215">
        <v>1</v>
      </c>
      <c r="C31" s="194">
        <v>900000</v>
      </c>
      <c r="D31" s="68">
        <f t="shared" si="12"/>
        <v>900000</v>
      </c>
      <c r="E31" s="68">
        <f t="shared" si="13"/>
        <v>36000</v>
      </c>
      <c r="F31" s="67">
        <f t="shared" si="14"/>
        <v>144000</v>
      </c>
      <c r="G31" s="69">
        <f t="shared" si="15"/>
        <v>1080000</v>
      </c>
      <c r="H31" s="68">
        <f t="shared" si="16"/>
        <v>12960000</v>
      </c>
    </row>
    <row r="32" spans="1:8" s="72" customFormat="1" ht="15" customHeight="1">
      <c r="A32" s="202" t="s">
        <v>154</v>
      </c>
      <c r="B32" s="215">
        <v>1</v>
      </c>
      <c r="C32" s="194">
        <v>900000</v>
      </c>
      <c r="D32" s="68">
        <f t="shared" si="12"/>
        <v>900000</v>
      </c>
      <c r="E32" s="68">
        <f t="shared" si="13"/>
        <v>36000</v>
      </c>
      <c r="F32" s="67">
        <f t="shared" si="14"/>
        <v>144000</v>
      </c>
      <c r="G32" s="69">
        <f t="shared" si="15"/>
        <v>1080000</v>
      </c>
      <c r="H32" s="68">
        <f t="shared" si="16"/>
        <v>12960000</v>
      </c>
    </row>
    <row r="33" spans="1:8" s="72" customFormat="1" ht="15" customHeight="1">
      <c r="A33" s="202" t="s">
        <v>155</v>
      </c>
      <c r="B33" s="215">
        <v>1</v>
      </c>
      <c r="C33" s="194">
        <v>900000</v>
      </c>
      <c r="D33" s="68">
        <f t="shared" si="12"/>
        <v>900000</v>
      </c>
      <c r="E33" s="68">
        <f t="shared" si="13"/>
        <v>36000</v>
      </c>
      <c r="F33" s="67">
        <f t="shared" si="14"/>
        <v>144000</v>
      </c>
      <c r="G33" s="69">
        <f t="shared" si="15"/>
        <v>1080000</v>
      </c>
      <c r="H33" s="68">
        <f t="shared" si="16"/>
        <v>12960000</v>
      </c>
    </row>
    <row r="34" spans="1:8" s="72" customFormat="1" ht="15" customHeight="1">
      <c r="A34" s="202" t="s">
        <v>145</v>
      </c>
      <c r="B34" s="215">
        <v>1</v>
      </c>
      <c r="C34" s="194">
        <v>700000</v>
      </c>
      <c r="D34" s="68">
        <f t="shared" si="12"/>
        <v>700000</v>
      </c>
      <c r="E34" s="68">
        <f t="shared" si="13"/>
        <v>28000</v>
      </c>
      <c r="F34" s="67">
        <f t="shared" si="14"/>
        <v>112000</v>
      </c>
      <c r="G34" s="69">
        <f t="shared" si="15"/>
        <v>840000</v>
      </c>
      <c r="H34" s="68">
        <f t="shared" si="16"/>
        <v>10080000</v>
      </c>
    </row>
    <row r="35" spans="1:8" s="72" customFormat="1" ht="15" customHeight="1">
      <c r="A35" s="202" t="s">
        <v>146</v>
      </c>
      <c r="B35" s="215">
        <v>1</v>
      </c>
      <c r="C35" s="194">
        <v>700000</v>
      </c>
      <c r="D35" s="68">
        <f t="shared" si="12"/>
        <v>700000</v>
      </c>
      <c r="E35" s="68">
        <f t="shared" si="13"/>
        <v>28000</v>
      </c>
      <c r="F35" s="67">
        <f t="shared" si="14"/>
        <v>112000</v>
      </c>
      <c r="G35" s="69">
        <f t="shared" si="15"/>
        <v>840000</v>
      </c>
      <c r="H35" s="68">
        <f t="shared" si="16"/>
        <v>10080000</v>
      </c>
    </row>
    <row r="36" spans="1:8" s="72" customFormat="1" ht="15" customHeight="1" thickBot="1">
      <c r="A36" s="206" t="s">
        <v>263</v>
      </c>
      <c r="B36" s="217">
        <v>1</v>
      </c>
      <c r="C36" s="187">
        <v>700000</v>
      </c>
      <c r="D36" s="71">
        <f t="shared" si="12"/>
        <v>700000</v>
      </c>
      <c r="E36" s="71">
        <f t="shared" si="13"/>
        <v>28000</v>
      </c>
      <c r="F36" s="81">
        <f t="shared" si="14"/>
        <v>112000</v>
      </c>
      <c r="G36" s="82">
        <f t="shared" si="15"/>
        <v>840000</v>
      </c>
      <c r="H36" s="71">
        <f t="shared" si="16"/>
        <v>10080000</v>
      </c>
    </row>
    <row r="37" spans="1:8" s="72" customFormat="1" ht="15" customHeight="1">
      <c r="A37" s="202" t="s">
        <v>147</v>
      </c>
      <c r="B37" s="200">
        <v>1</v>
      </c>
      <c r="C37" s="194">
        <v>550000</v>
      </c>
      <c r="D37" s="68">
        <f t="shared" si="12"/>
        <v>550000</v>
      </c>
      <c r="E37" s="68">
        <f t="shared" si="13"/>
        <v>22000</v>
      </c>
      <c r="F37" s="69">
        <f t="shared" si="14"/>
        <v>88000</v>
      </c>
      <c r="G37" s="69">
        <f t="shared" si="15"/>
        <v>660000</v>
      </c>
      <c r="H37" s="68">
        <f t="shared" si="16"/>
        <v>7920000</v>
      </c>
    </row>
    <row r="38" spans="1:8" s="72" customFormat="1" ht="15" customHeight="1" thickBot="1">
      <c r="A38" s="186" t="s">
        <v>127</v>
      </c>
      <c r="B38" s="201">
        <v>1</v>
      </c>
      <c r="C38" s="192">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148</v>
      </c>
      <c r="B39" s="84">
        <f aca="true" t="shared" si="17" ref="B39:H39">+B25+B18+B11+B5</f>
        <v>46</v>
      </c>
      <c r="C39" s="195">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2009-08-18T13:37:06Z</cp:lastPrinted>
  <dcterms:created xsi:type="dcterms:W3CDTF">2004-09-15T00:05:45Z</dcterms:created>
  <dcterms:modified xsi:type="dcterms:W3CDTF">2019-11-18T17:05:56Z</dcterms:modified>
  <cp:category/>
  <cp:version/>
  <cp:contentType/>
  <cp:contentStatus/>
</cp:coreProperties>
</file>