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386" windowWidth="6585" windowHeight="5130" activeTab="0"/>
  </bookViews>
  <sheets>
    <sheet name="INGRESOS" sheetId="1" r:id="rId1"/>
    <sheet name="ANEXO INGRESOS" sheetId="2" state="hidden" r:id="rId2"/>
    <sheet name="ANEXO 2" sheetId="3" state="hidden" r:id="rId3"/>
    <sheet name="Anexo II" sheetId="4" state="hidden" r:id="rId4"/>
    <sheet name="Superavit 2012" sheetId="5" state="hidden" r:id="rId5"/>
    <sheet name="SUPERAVIT  2012" sheetId="6" state="hidden" r:id="rId6"/>
    <sheet name="RES" sheetId="7" state="hidden" r:id="rId7"/>
    <sheet name="ECO" sheetId="8" state="hidden" r:id="rId8"/>
    <sheet name="TEC" sheetId="9" state="hidden" r:id="rId9"/>
    <sheet name="PPC" sheetId="10" state="hidden" r:id="rId10"/>
    <sheet name="MER" sheetId="11" state="hidden" r:id="rId11"/>
    <sheet name="FUN" sheetId="12" state="hidden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xlfn.IFERROR" hidden="1">#NAME?</definedName>
    <definedName name="ANEXO" localSheetId="2" hidden="1">'[28]Inversión total en programas'!$50:$50,'[28]Inversión total en programas'!$60:$63</definedName>
    <definedName name="ANEXO" localSheetId="1" hidden="1">'[17]Inversión total en programas'!$50:$50,'[17]Inversión total en programas'!$60:$63</definedName>
    <definedName name="ANEXO" localSheetId="0" hidden="1">'[14]Inversión total en programas'!$50:$50,'[14]Inversión total en programas'!$60:$63</definedName>
    <definedName name="ANEXO" localSheetId="4" hidden="1">'[28]Inversión total en programas'!$50:$50,'[28]Inversión total en programas'!$60:$63</definedName>
    <definedName name="ANEXO" hidden="1">'[10]Inversión total en programas'!$50:$50,'[10]Inversión total en programas'!$60:$63</definedName>
    <definedName name="_xlnm.Print_Area" localSheetId="2">'ANEXO 2'!$A$1:$T$205</definedName>
    <definedName name="_xlnm.Print_Area" localSheetId="3">'Anexo II'!$A$1:$L$195</definedName>
    <definedName name="_xlnm.Print_Area" localSheetId="7">'ECO'!$A$1:$AR$67</definedName>
    <definedName name="_xlnm.Print_Area" localSheetId="11">'FUN'!$A$1:$AR$51</definedName>
    <definedName name="_xlnm.Print_Area" localSheetId="0">'INGRESOS'!$A$2:$AH$37</definedName>
    <definedName name="_xlnm.Print_Area" localSheetId="10">'MER'!$A$1:$AS$75</definedName>
    <definedName name="_xlnm.Print_Area" localSheetId="6">'RES'!$A$1:$V$58</definedName>
    <definedName name="_xlnm.Print_Area" localSheetId="4">'Superavit 2012'!$A$1:$K$22</definedName>
    <definedName name="_xlnm.Print_Area" localSheetId="8">'TEC'!$A$1:$AS$64</definedName>
    <definedName name="ASISCALLCENTER" localSheetId="2">#REF!</definedName>
    <definedName name="ASISCALLCENTER" localSheetId="3">#REF!</definedName>
    <definedName name="ASISCALLCENTER">#REF!</definedName>
    <definedName name="ASISCONTABPPC" localSheetId="2">#REF!</definedName>
    <definedName name="ASISCONTABPPC" localSheetId="3">#REF!</definedName>
    <definedName name="ASISCONTABPPC">#REF!</definedName>
    <definedName name="ASISDESPACHOS" localSheetId="2">#REF!</definedName>
    <definedName name="ASISDESPACHOS" localSheetId="3">#REF!</definedName>
    <definedName name="ASISDESPACHOS">#REF!</definedName>
    <definedName name="ASISICA" localSheetId="2">#REF!</definedName>
    <definedName name="ASISICA" localSheetId="3">#REF!</definedName>
    <definedName name="ASISICA">#REF!</definedName>
    <definedName name="AUXBODEGA" localSheetId="2">#REF!</definedName>
    <definedName name="AUXBODEGA" localSheetId="3">#REF!</definedName>
    <definedName name="AUXBODEGA">#REF!</definedName>
    <definedName name="cabezas" localSheetId="2">'[15]Anexo 1 Minagricultura'!#REF!</definedName>
    <definedName name="cabezas" localSheetId="1">'[15]Anexo 1 Minagricultura'!#REF!</definedName>
    <definedName name="cabezas" localSheetId="0">'[15]Anexo 1 Minagricultura'!#REF!</definedName>
    <definedName name="cabezas" localSheetId="4">'[15]Anexo 1 Minagricultura'!#REF!</definedName>
    <definedName name="cabezas">'[9]Anexo 1 Minagricultura'!#REF!</definedName>
    <definedName name="CABEZAS_PROYEC" localSheetId="2">'[30]Anexo 1 Minagricultura'!$C$46</definedName>
    <definedName name="CABEZAS_PROYEC" localSheetId="3">'[19]Anexo 1 Minagricultura'!$C$46</definedName>
    <definedName name="CABEZAS_PROYEC" localSheetId="1">'[18]Anexo 1 Minagricultura'!#REF!</definedName>
    <definedName name="CABEZAS_PROYEC" localSheetId="0">'INGRESOS'!#REF!</definedName>
    <definedName name="CABEZAS_PROYEC" localSheetId="4">'[33]Anexo 1 Minagricultura'!$C$46</definedName>
    <definedName name="CABEZAS_PROYEC">'[5]Anexo 1 Minagricultura'!#REF!</definedName>
    <definedName name="CUOTAPPC2005" localSheetId="2">'[30]Anexo 1 Minagricultura'!$D$15</definedName>
    <definedName name="CUOTAPPC2005" localSheetId="3">'[19]Anexo 1 Minagricultura'!$D$15</definedName>
    <definedName name="CUOTAPPC2005" localSheetId="1">'[18]Anexo 1 Minagricultura'!#REF!</definedName>
    <definedName name="CUOTAPPC2005" localSheetId="0">'INGRESOS'!$B$13</definedName>
    <definedName name="CUOTAPPC2005" localSheetId="4">'[33]Anexo 1 Minagricultura'!$D$15</definedName>
    <definedName name="CUOTAPPC2005">'[5]Anexo 1 Minagricultura'!#REF!</definedName>
    <definedName name="DIAG_PPC" localSheetId="2">'[30]Inversión total en programas'!$B$86</definedName>
    <definedName name="DIAG_PPC" localSheetId="3">'[19]Inversión total en programas'!$B$86</definedName>
    <definedName name="DIAG_PPC" localSheetId="1">'[17]Inversión total en programas'!$B$86</definedName>
    <definedName name="DIAG_PPC" localSheetId="0">'[14]Inversión total en programas'!$B$86</definedName>
    <definedName name="DIAG_PPC" localSheetId="4">'[33]Inversión total en programas'!$B$86</definedName>
    <definedName name="DIAG_PPC">'[10]Inversión total en programas'!$B$86</definedName>
    <definedName name="DISTRIBUIDOR" localSheetId="2">#REF!</definedName>
    <definedName name="DISTRIBUIDOR" localSheetId="3">#REF!</definedName>
    <definedName name="DISTRIBUIDOR" localSheetId="4">#REF!</definedName>
    <definedName name="DISTRIBUIDOR">#REF!</definedName>
    <definedName name="eeeee" localSheetId="2">'[30]Ejecución ingresos 2011'!#REF!</definedName>
    <definedName name="eeeee" localSheetId="3">'[19]Ejecución ingresos 2011'!#REF!</definedName>
    <definedName name="eeeee" localSheetId="4">'[33]Ejecución ingresos 2012'!#REF!</definedName>
    <definedName name="eeeee">#REF!</definedName>
    <definedName name="EPPC" localSheetId="2">'[30]Anexo 1 Minagricultura'!$C$54</definedName>
    <definedName name="EPPC" localSheetId="3">'[19]Anexo 1 Minagricultura'!$C$54</definedName>
    <definedName name="EPPC" localSheetId="1">'[18]Anexo 1 Minagricultura'!#REF!</definedName>
    <definedName name="EPPC" localSheetId="0">'INGRESOS'!#REF!</definedName>
    <definedName name="EPPC" localSheetId="4">'[33]Anexo 1 Minagricultura'!$C$54</definedName>
    <definedName name="EPPC">'[5]Anexo 1 Minagricultura'!#REF!</definedName>
    <definedName name="FDGFDG" localSheetId="2">#REF!</definedName>
    <definedName name="FDGFDG" localSheetId="3">#REF!</definedName>
    <definedName name="FDGFDG" localSheetId="1">#REF!</definedName>
    <definedName name="FDGFDG" localSheetId="0">#REF!</definedName>
    <definedName name="FDGFDG" localSheetId="4">#REF!</definedName>
    <definedName name="FDGFDG">#REF!</definedName>
    <definedName name="FECHA_DE_RECIBIDO" localSheetId="2">'[31]BASE'!$E$3:$E$177</definedName>
    <definedName name="FECHA_DE_RECIBIDO" localSheetId="4">'[31]BASE'!$E$3:$E$177</definedName>
    <definedName name="FECHA_DE_RECIBIDO">'[22]BASE'!$E$3:$E$177</definedName>
    <definedName name="FOMENTO" localSheetId="2">'[30]Anexo 1 Minagricultura'!$C$53</definedName>
    <definedName name="FOMENTO" localSheetId="3">'[19]Anexo 1 Minagricultura'!$C$53</definedName>
    <definedName name="FOMENTO" localSheetId="1">'[18]Anexo 1 Minagricultura'!#REF!</definedName>
    <definedName name="FOMENTO" localSheetId="0">'INGRESOS'!#REF!</definedName>
    <definedName name="FOMENTO" localSheetId="4">'[33]Anexo 1 Minagricultura'!$C$53</definedName>
    <definedName name="FOMENTO">'[5]Anexo 1 Minagricultura'!#REF!</definedName>
    <definedName name="FOMENTOS" localSheetId="2">'[6]Anexo 1 Minagricultura'!$C$51</definedName>
    <definedName name="FOMENTOS" localSheetId="3">'[24]Anexo 1 Minagricultura'!$C$51</definedName>
    <definedName name="FOMENTOS" localSheetId="4">'[24]Anexo 1 Minagricultura'!$C$51</definedName>
    <definedName name="FOMENTOS">'[6]Anexo 1 Minagricultura'!$C$51</definedName>
    <definedName name="fondo" localSheetId="2">#REF!</definedName>
    <definedName name="fondo">#REF!</definedName>
    <definedName name="GTOSEPPC" localSheetId="2">'[30]Inversión total en programas'!$C$35</definedName>
    <definedName name="GTOSEPPC" localSheetId="3">'[19]Inversión total en programas'!$C$35</definedName>
    <definedName name="GTOSEPPC" localSheetId="1">'[17]Inversión total en programas'!$C$35</definedName>
    <definedName name="GTOSEPPC" localSheetId="0">'[14]Inversión total en programas'!$C$35</definedName>
    <definedName name="GTOSEPPC" localSheetId="4">'[33]Inversión total en programas'!$C$35</definedName>
    <definedName name="GTOSEPPC">'[10]Inversión total en programas'!$C$35</definedName>
    <definedName name="HONORAUDI_JURIDIC" localSheetId="2">#REF!</definedName>
    <definedName name="HONORAUDI_JURIDIC" localSheetId="3">#REF!</definedName>
    <definedName name="HONORAUDI_JURIDIC">#REF!</definedName>
    <definedName name="HONTOTAL" localSheetId="2">#REF!</definedName>
    <definedName name="HONTOTAL" localSheetId="3">#REF!</definedName>
    <definedName name="HONTOTAL">#REF!</definedName>
    <definedName name="LABORATORIOS" localSheetId="2">#REF!</definedName>
    <definedName name="LABORATORIOS" localSheetId="3">#REF!</definedName>
    <definedName name="LABORATORIOS" localSheetId="4">#REF!</definedName>
    <definedName name="LABORATORIOS">#REF!</definedName>
    <definedName name="NOMBDISTRI" localSheetId="2">#REF!</definedName>
    <definedName name="NOMBDISTRI" localSheetId="3">#REF!</definedName>
    <definedName name="NOMBDISTRI" localSheetId="4">#REF!</definedName>
    <definedName name="NOMBDISTRI">#REF!</definedName>
    <definedName name="ojo" localSheetId="2">#REF!</definedName>
    <definedName name="ojo">#REF!</definedName>
    <definedName name="ppc" localSheetId="2">'[32]Inversión total en programas'!$B$86</definedName>
    <definedName name="ppc" localSheetId="4">'[32]Inversión total en programas'!$B$86</definedName>
    <definedName name="ppc">'[25]Inversión total en programas'!$B$86</definedName>
    <definedName name="RESERV_FUTU" localSheetId="2">#REF!</definedName>
    <definedName name="RESERV_FUTU" localSheetId="3">#REF!</definedName>
    <definedName name="RESERV_FUTU">#REF!</definedName>
    <definedName name="saldo" localSheetId="2">'[30]Ejecución ingresos 2011'!#REF!</definedName>
    <definedName name="saldo" localSheetId="3">'[19]Ejecución ingresos 2011'!#REF!</definedName>
    <definedName name="saldo" localSheetId="4">'[33]Ejecución ingresos 2012'!#REF!</definedName>
    <definedName name="saldo">#REF!</definedName>
    <definedName name="saldos" localSheetId="2">'[30]Ejecución ingresos 2011'!#REF!</definedName>
    <definedName name="saldos" localSheetId="3">'[19]Ejecución ingresos 2011'!#REF!</definedName>
    <definedName name="saldos" localSheetId="4">'[33]Ejecución ingresos 2012'!#REF!</definedName>
    <definedName name="saldos">#REF!</definedName>
    <definedName name="SUPERA2004" localSheetId="2">'[30]Anexo 1 Minagricultura'!$B$21</definedName>
    <definedName name="SUPERA2004" localSheetId="3">'[19]Anexo 1 Minagricultura'!$B$21</definedName>
    <definedName name="SUPERA2004" localSheetId="1">'[18]Anexo 1 Minagricultura'!#REF!</definedName>
    <definedName name="SUPERA2004" localSheetId="0">'INGRESOS'!#REF!</definedName>
    <definedName name="SUPERA2004" localSheetId="4">'[33]Anexo 1 Minagricultura'!$B$21</definedName>
    <definedName name="SUPERA2004">'[5]Anexo 1 Minagricultura'!#REF!</definedName>
    <definedName name="SUPERA2005" localSheetId="2">'[30]Anexo 1 Minagricultura'!$C$21</definedName>
    <definedName name="SUPERA2005" localSheetId="3">'[19]Anexo 1 Minagricultura'!$C$21</definedName>
    <definedName name="SUPERA2005" localSheetId="1">'[18]Anexo 1 Minagricultura'!#REF!</definedName>
    <definedName name="SUPERA2005" localSheetId="0">'INGRESOS'!#REF!</definedName>
    <definedName name="SUPERA2005" localSheetId="4">'[33]Anexo 1 Minagricultura'!$C$21</definedName>
    <definedName name="SUPERA2005">'[5]Anexo 1 Minagricultura'!#REF!</definedName>
    <definedName name="SUPERA2010" localSheetId="2">'[32]Anexo 1 Minagricultura'!$C$21</definedName>
    <definedName name="SUPERA2010" localSheetId="4">'[32]Anexo 1 Minagricultura'!$C$21</definedName>
    <definedName name="SUPERA2010">'[25]Anexo 1 Minagricultura'!$C$21</definedName>
    <definedName name="SUPERAVIT" localSheetId="2">#REF!</definedName>
    <definedName name="SUPERAVIT">#REF!</definedName>
    <definedName name="SUPERAVIT2005_FNP" localSheetId="2">#REF!</definedName>
    <definedName name="SUPERAVIT2005_FNP">#REF!</definedName>
    <definedName name="SUPERAVITPPC_2005" localSheetId="2">#REF!</definedName>
    <definedName name="SUPERAVITPPC_2005" localSheetId="3">#REF!</definedName>
    <definedName name="SUPERAVITPPC_2005">#REF!</definedName>
    <definedName name="_xlnm.Print_Titles" localSheetId="2">'ANEXO 2'!$1:$6</definedName>
    <definedName name="_xlnm.Print_Titles" localSheetId="3">'Anexo II'!$1:$6</definedName>
    <definedName name="VTAS2005" localSheetId="2">'[30]Anexo 1 Minagricultura'!$D$32</definedName>
    <definedName name="VTAS2005" localSheetId="3">'[19]Anexo 1 Minagricultura'!$D$32</definedName>
    <definedName name="VTAS2005" localSheetId="1">'[18]Anexo 1 Minagricultura'!#REF!</definedName>
    <definedName name="VTAS2005" localSheetId="0">'INGRESOS'!$B$30</definedName>
    <definedName name="VTAS2005" localSheetId="4">'[33]Anexo 1 Minagricultura'!$D$32</definedName>
    <definedName name="VTAS2005">'[5]Anexo 1 Minagricultura'!#REF!</definedName>
    <definedName name="xx" localSheetId="2">'[7]Ingresos'!$C$19</definedName>
    <definedName name="xx" localSheetId="3">'[26]Ingresos'!$C$19</definedName>
    <definedName name="xx" localSheetId="4">'[26]Ingresos'!$C$19</definedName>
    <definedName name="xx">'[7]Ingresos'!$C$19</definedName>
    <definedName name="Z_4099E833_BB74_4680_85C9_A6CF399D1CE2_.wvu.Cols" localSheetId="2" hidden="1">'[30]Nómina 2004'!$C:$E,'[30]Nómina 2004'!$H:$I,'[30]Nómina 2004'!$L:$P,'[30]Nómina 2004'!$AF:$AH</definedName>
    <definedName name="Z_4099E833_BB74_4680_85C9_A6CF399D1CE2_.wvu.Cols" localSheetId="3" hidden="1">'[19]Nómina 2004'!$C:$E,'[19]Nómina 2004'!$H:$I,'[19]Nómina 2004'!$L:$P,'[19]Nómina 2004'!$AF:$AH</definedName>
    <definedName name="Z_4099E833_BB74_4680_85C9_A6CF399D1CE2_.wvu.Cols" localSheetId="1" hidden="1">'[18]Nómina 2004'!$C:$E,'[18]Nómina 2004'!$H:$I,'[18]Nómina 2004'!$L:$P,'[18]Nómina 2004'!$AF:$AH</definedName>
    <definedName name="Z_4099E833_BB74_4680_85C9_A6CF399D1CE2_.wvu.Cols" localSheetId="0" hidden="1">'[15]Nómina 2004'!$C:$E,'[15]Nómina 2004'!$H:$I,'[15]Nómina 2004'!$L:$P,'[15]Nómina 2004'!$AF:$AH</definedName>
    <definedName name="Z_4099E833_BB74_4680_85C9_A6CF399D1CE2_.wvu.Cols" localSheetId="4" hidden="1">'[33]Nómina 2004'!$C:$E,'[33]Nómina 2004'!$H:$I,'[33]Nómina 2004'!$L:$P,'[33]Nómina 2004'!$AF:$AH</definedName>
    <definedName name="Z_4099E833_BB74_4680_85C9_A6CF399D1CE2_.wvu.Cols" hidden="1">'[5]Nómina 2004'!$C:$E,'[5]Nómina 2004'!$H:$I,'[5]Nómina 2004'!$L:$P,'[5]Nómina 2004'!$AF:$AH</definedName>
    <definedName name="Z_4099E833_BB74_4680_85C9_A6CF399D1CE2_.wvu.FilterData" hidden="1">#REF!</definedName>
    <definedName name="Z_4099E833_BB74_4680_85C9_A6CF399D1CE2_.wvu.PrintArea" localSheetId="2" hidden="1">#REF!</definedName>
    <definedName name="Z_4099E833_BB74_4680_85C9_A6CF399D1CE2_.wvu.PrintArea" localSheetId="0" hidden="1">'INGRESOS'!$A$2:$B$37</definedName>
    <definedName name="Z_4099E833_BB74_4680_85C9_A6CF399D1CE2_.wvu.PrintArea" localSheetId="4" hidden="1">#REF!</definedName>
    <definedName name="Z_4099E833_BB74_4680_85C9_A6CF399D1CE2_.wvu.PrintArea" hidden="1">#REF!</definedName>
    <definedName name="Z_4099E833_BB74_4680_85C9_A6CF399D1CE2_.wvu.PrintTitles" hidden="1">#REF!</definedName>
    <definedName name="Z_4099E833_BB74_4680_85C9_A6CF399D1CE2_.wvu.Rows" localSheetId="2" hidden="1">'[30]Inversión total en programas'!$50:$50,'[30]Inversión total en programas'!$60:$63</definedName>
    <definedName name="Z_4099E833_BB74_4680_85C9_A6CF399D1CE2_.wvu.Rows" localSheetId="3" hidden="1">'[19]Inversión total en programas'!$50:$50,'[19]Inversión total en programas'!$60:$63</definedName>
    <definedName name="Z_4099E833_BB74_4680_85C9_A6CF399D1CE2_.wvu.Rows" localSheetId="1" hidden="1">'[18]Inversión total en programas'!$50:$50,'[18]Inversión total en programas'!$60:$63</definedName>
    <definedName name="Z_4099E833_BB74_4680_85C9_A6CF399D1CE2_.wvu.Rows" localSheetId="0" hidden="1">'[15]Inversión total en programas'!$50:$50,'[15]Inversión total en programas'!$60:$63</definedName>
    <definedName name="Z_4099E833_BB74_4680_85C9_A6CF399D1CE2_.wvu.Rows" localSheetId="4" hidden="1">'[33]Inversión total en programas'!$50:$50,'[33]Inversión total en programas'!$60:$63</definedName>
    <definedName name="Z_4099E833_BB74_4680_85C9_A6CF399D1CE2_.wvu.Rows" hidden="1">'[5]Inversión total en programas'!$50:$50,'[5]Inversión total en programas'!$60:$63</definedName>
  </definedNames>
  <calcPr fullCalcOnLoad="1"/>
</workbook>
</file>

<file path=xl/comments1.xml><?xml version="1.0" encoding="utf-8"?>
<comments xmlns="http://schemas.openxmlformats.org/spreadsheetml/2006/main">
  <authors>
    <author>Oscar Rubio</author>
  </authors>
  <commentList>
    <comment ref="N12" authorId="0">
      <text>
        <r>
          <rPr>
            <b/>
            <sz val="9"/>
            <rFont val="Tahoma"/>
            <family val="2"/>
          </rPr>
          <t>Oscar Rubio:</t>
        </r>
        <r>
          <rPr>
            <sz val="9"/>
            <rFont val="Tahoma"/>
            <family val="2"/>
          </rPr>
          <t xml:space="preserve">
cifra presentada en CHIP</t>
        </r>
      </text>
    </comment>
    <comment ref="N13" authorId="0">
      <text>
        <r>
          <rPr>
            <b/>
            <sz val="9"/>
            <rFont val="Tahoma"/>
            <family val="2"/>
          </rPr>
          <t>Oscar Rubio:</t>
        </r>
        <r>
          <rPr>
            <sz val="9"/>
            <rFont val="Tahoma"/>
            <family val="2"/>
          </rPr>
          <t xml:space="preserve">
cifra presentada en CHIP</t>
        </r>
      </text>
    </comment>
    <comment ref="V33" authorId="0">
      <text>
        <r>
          <rPr>
            <b/>
            <sz val="9"/>
            <rFont val="Tahoma"/>
            <family val="2"/>
          </rPr>
          <t>Oscar Rubio:</t>
        </r>
        <r>
          <rPr>
            <sz val="9"/>
            <rFont val="Tahoma"/>
            <family val="2"/>
          </rPr>
          <t xml:space="preserve">
DEVOLUCION CONVENIO UNIVERSIDAD NACIONAL $ 31.049.209</t>
        </r>
      </text>
    </comment>
    <comment ref="Y33" authorId="0">
      <text>
        <r>
          <rPr>
            <b/>
            <sz val="9"/>
            <rFont val="Tahoma"/>
            <family val="2"/>
          </rPr>
          <t>Oscar Rubio:</t>
        </r>
        <r>
          <rPr>
            <sz val="9"/>
            <rFont val="Tahoma"/>
            <family val="2"/>
          </rPr>
          <t xml:space="preserve">
no se tiene en cuenta los intereses de IAT $ 175.961.865</t>
        </r>
      </text>
    </comment>
    <comment ref="V34" authorId="0">
      <text>
        <r>
          <rPr>
            <b/>
            <sz val="9"/>
            <rFont val="Tahoma"/>
            <family val="2"/>
          </rPr>
          <t>Oscar Rubio:</t>
        </r>
        <r>
          <rPr>
            <sz val="9"/>
            <rFont val="Tahoma"/>
            <family val="2"/>
          </rPr>
          <t xml:space="preserve">
Programa IAT Nomina $ 23.204.291 Gastos Proyecto Madr $ 139.526.841 monitoreo serológico $ 32.370.789 menos convenio técnica $ (1.637169)</t>
        </r>
      </text>
    </comment>
    <comment ref="W37" authorId="0">
      <text>
        <r>
          <rPr>
            <b/>
            <sz val="9"/>
            <rFont val="Tahoma"/>
            <family val="2"/>
          </rPr>
          <t>Oscar Rubio:</t>
        </r>
        <r>
          <rPr>
            <sz val="9"/>
            <rFont val="Tahoma"/>
            <family val="2"/>
          </rPr>
          <t xml:space="preserve">
pendiente ejecutar $ 6.301.501 según contabilidad</t>
        </r>
      </text>
    </comment>
    <comment ref="Y37" authorId="0">
      <text>
        <r>
          <rPr>
            <b/>
            <sz val="9"/>
            <rFont val="Tahoma"/>
            <family val="2"/>
          </rPr>
          <t>Oscar Rubio:</t>
        </r>
        <r>
          <rPr>
            <sz val="9"/>
            <rFont val="Tahoma"/>
            <family val="2"/>
          </rPr>
          <t xml:space="preserve">
Se ejecuta $ 6.301.501 pendientes del mes de Abril-Junio 2012</t>
        </r>
      </text>
    </comment>
  </commentList>
</comments>
</file>

<file path=xl/comments10.xml><?xml version="1.0" encoding="utf-8"?>
<comments xmlns="http://schemas.openxmlformats.org/spreadsheetml/2006/main">
  <authors>
    <author> </author>
    <author>Patricia Martinez</author>
  </authors>
  <commentList>
    <comment ref="AD55" authorId="0">
      <text>
        <r>
          <rPr>
            <b/>
            <sz val="8"/>
            <rFont val="Tahoma"/>
            <family val="2"/>
          </rPr>
          <t xml:space="preserve">Contab. Reg. En julio $46.000.000 al gasto, corresp. A compensaciones ICA, Presupuesto registra de acuerdo a radicaciones recibidas. En julio se reg. $18.100.000 cruza con cta. 29100702 de Ing. Rec. Para terceros - Contabilidad, En Agosto se registro $28.550.000 cruza con cta. 29100702 y en Septiembre se registro $6.500.000
</t>
        </r>
      </text>
    </comment>
    <comment ref="AE46" authorId="0">
      <text>
        <r>
          <rPr>
            <b/>
            <sz val="8"/>
            <rFont val="Tahoma"/>
            <family val="2"/>
          </rPr>
          <t xml:space="preserve"> Gastos generales $ 12.831.850,Gastos Biologico Brigadas $ 69.435.296, Myr Valor Facturado por vecol $ (-21.825)</t>
        </r>
      </text>
    </comment>
    <comment ref="AD46" authorId="0">
      <text>
        <r>
          <rPr>
            <b/>
            <sz val="8"/>
            <rFont val="Tahoma"/>
            <family val="2"/>
          </rPr>
          <t xml:space="preserve"> Gastos generales $ 11.385.120,Gastos Biologico Brigadas $ 40.760.200 Vr Contab $ 47.660.250 compra anticip biologico $ 14.061.450</t>
        </r>
      </text>
    </comment>
    <comment ref="AC46" authorId="0">
      <text>
        <r>
          <rPr>
            <b/>
            <sz val="8"/>
            <rFont val="Tahoma"/>
            <family val="2"/>
          </rPr>
          <t xml:space="preserve"> Gastos generales $ 15.942.332,Gastos Biologico Brigadas $ 33.714.700 Vr Contabilidad $ 49.800.723 compra ant biologico $17.977.023</t>
        </r>
      </text>
    </comment>
    <comment ref="AB46" authorId="0">
      <text>
        <r>
          <rPr>
            <b/>
            <sz val="8"/>
            <rFont val="Tahoma"/>
            <family val="2"/>
          </rPr>
          <t xml:space="preserve"> Gastos generales $ 8.250.641,Gastos Biologico Brigadas $ 14.829.100/Vr contab.$ 50.595.660 compras anticipadas$ 35.766.560</t>
        </r>
      </text>
    </comment>
    <comment ref="AF46" authorId="0">
      <text>
        <r>
          <rPr>
            <b/>
            <sz val="8"/>
            <rFont val="Tahoma"/>
            <family val="2"/>
          </rPr>
          <t xml:space="preserve"> Vr contabilidad $ 343.757.894/ Compra biologico antic $68.149.208 Chapetas $ 68.437.623</t>
        </r>
      </text>
    </comment>
    <comment ref="AC34" authorId="0">
      <text>
        <r>
          <rPr>
            <b/>
            <sz val="8"/>
            <rFont val="Tahoma"/>
            <family val="2"/>
          </rPr>
          <t xml:space="preserve"> Diferencia $ 862 pesos llevada como impuestos asumidos por contabilidad</t>
        </r>
      </text>
    </comment>
    <comment ref="AF34" authorId="0">
      <text>
        <r>
          <rPr>
            <b/>
            <sz val="8"/>
            <rFont val="Tahoma"/>
            <family val="2"/>
          </rPr>
          <t xml:space="preserve"> Diferencia $ 862 pesos llevada como impuestos asumidos por contabilidad en el 2do trimestre</t>
        </r>
      </text>
    </comment>
    <comment ref="AF35" authorId="1">
      <text>
        <r>
          <rPr>
            <b/>
            <sz val="9"/>
            <rFont val="Tahoma"/>
            <family val="2"/>
          </rPr>
          <t>Suma cuentas 51202401, 58023801,580301,58109012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Asoporcicultores</author>
    <author> </author>
  </authors>
  <commentList>
    <comment ref="AC50" authorId="0">
      <text>
        <r>
          <rPr>
            <b/>
            <sz val="8"/>
            <rFont val="Tahoma"/>
            <family val="2"/>
          </rPr>
          <t>REG. X CONTAB. 16650101 - Muebles y Enseres - Myr Vlr. Remodelación cocinas $17.539.200</t>
        </r>
      </text>
    </comment>
    <comment ref="AG50" authorId="0">
      <text>
        <r>
          <rPr>
            <b/>
            <sz val="8"/>
            <rFont val="Tahoma"/>
            <family val="2"/>
          </rPr>
          <t>CTA. 1665 - MUEBLES Y ENSERES $17.539.200</t>
        </r>
      </text>
    </comment>
    <comment ref="AD67" authorId="1">
      <text>
        <r>
          <rPr>
            <b/>
            <sz val="8"/>
            <rFont val="Tahoma"/>
            <family val="2"/>
          </rPr>
          <t>CONTAB. REG. $2.807.227, EN IVA DESCONTABLE</t>
        </r>
      </text>
    </comment>
    <comment ref="AE67" authorId="1">
      <text>
        <r>
          <rPr>
            <b/>
            <sz val="8"/>
            <rFont val="Tahoma"/>
            <family val="2"/>
          </rPr>
          <t>Contab. Reg. IVA JULIO $14.473.818 CTA. 2445, IVA AGOSTO $521.727 CTA. 2445</t>
        </r>
      </text>
    </comment>
    <comment ref="AG40" authorId="1">
      <text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Se efectua provision en el mes de diciembre por valor $ 2.865.896 corres. AC Nielsen,debido a que este gasto se ejecutara el primer trimestre del 2012 </t>
        </r>
      </text>
    </comment>
  </commentList>
</comments>
</file>

<file path=xl/comments12.xml><?xml version="1.0" encoding="utf-8"?>
<comments xmlns="http://schemas.openxmlformats.org/spreadsheetml/2006/main">
  <authors>
    <author> </author>
  </authors>
  <commentList>
    <comment ref="AB41" authorId="0">
      <text>
        <r>
          <rPr>
            <b/>
            <sz val="8"/>
            <rFont val="Tahoma"/>
            <family val="2"/>
          </rPr>
          <t>Fac por $93.226.554, se resta provisión de Dic/10 $89.040.004, REG. X CONTAB. CTA 5815881009-AJUSTE EJERC. AÑOS ANTERIORES $4.186.550 en Enero</t>
        </r>
      </text>
    </comment>
  </commentList>
</comments>
</file>

<file path=xl/comments2.xml><?xml version="1.0" encoding="utf-8"?>
<comments xmlns="http://schemas.openxmlformats.org/spreadsheetml/2006/main">
  <authors>
    <author>Oscar Rubio</author>
  </authors>
  <commentList>
    <comment ref="E44" authorId="0">
      <text>
        <r>
          <rPr>
            <b/>
            <sz val="9"/>
            <rFont val="Tahoma"/>
            <family val="2"/>
          </rPr>
          <t>Oscar Rubio:</t>
        </r>
        <r>
          <rPr>
            <sz val="9"/>
            <rFont val="Tahoma"/>
            <family val="2"/>
          </rPr>
          <t xml:space="preserve">
Este rubro salio inicialmente por extraordinarios </t>
        </r>
      </text>
    </comment>
    <comment ref="C45" authorId="0">
      <text>
        <r>
          <rPr>
            <b/>
            <sz val="9"/>
            <rFont val="Tahoma"/>
            <family val="2"/>
          </rPr>
          <t>Oscar Rubio:</t>
        </r>
        <r>
          <rPr>
            <sz val="9"/>
            <rFont val="Tahoma"/>
            <family val="2"/>
          </rPr>
          <t xml:space="preserve">
Nomina MADR $ 23.204.291 Gastos Proyecto $ 139.526.841</t>
        </r>
      </text>
    </comment>
    <comment ref="D45" authorId="0">
      <text>
        <r>
          <rPr>
            <b/>
            <sz val="9"/>
            <rFont val="Tahoma"/>
            <family val="2"/>
          </rPr>
          <t>Oscar Rubio:</t>
        </r>
        <r>
          <rPr>
            <sz val="9"/>
            <rFont val="Tahoma"/>
            <family val="2"/>
          </rPr>
          <t xml:space="preserve">
Nomina MADR $ 15.461.006 Gastos Proyecto $ 83.350.383</t>
        </r>
      </text>
    </comment>
    <comment ref="G33" authorId="0">
      <text>
        <r>
          <rPr>
            <b/>
            <sz val="9"/>
            <rFont val="Tahoma"/>
            <family val="2"/>
          </rPr>
          <t>Oscar Rubio:</t>
        </r>
        <r>
          <rPr>
            <sz val="9"/>
            <rFont val="Tahoma"/>
            <family val="2"/>
          </rPr>
          <t xml:space="preserve">
recuperacion cartera iat $ 46.610.075,  Recuperacion ints cuota de fomento $ 196.024.683 diferencia entre contabilidad y presupuesto $ 175.961.867 reclasif circular 072 </t>
        </r>
      </text>
    </comment>
    <comment ref="G45" authorId="0">
      <text>
        <r>
          <rPr>
            <b/>
            <sz val="9"/>
            <rFont val="Tahoma"/>
            <family val="2"/>
          </rPr>
          <t>Oscar Rubio:</t>
        </r>
        <r>
          <rPr>
            <sz val="9"/>
            <rFont val="Tahoma"/>
            <family val="2"/>
          </rPr>
          <t xml:space="preserve">
Gastos de nomina e inversión 80 % MADR del 1 enero a 30 mayo 2012</t>
        </r>
      </text>
    </comment>
    <comment ref="G46" authorId="0">
      <text>
        <r>
          <rPr>
            <b/>
            <sz val="9"/>
            <rFont val="Tahoma"/>
            <family val="2"/>
          </rPr>
          <t>Oscar Rubio:</t>
        </r>
        <r>
          <rPr>
            <sz val="9"/>
            <rFont val="Tahoma"/>
            <family val="2"/>
          </rPr>
          <t xml:space="preserve">
ultimo cobro del proyecto de incentivo a la asistencia tecnica y monitoreo $ 235.691.019</t>
        </r>
      </text>
    </comment>
  </commentList>
</comments>
</file>

<file path=xl/comments7.xml><?xml version="1.0" encoding="utf-8"?>
<comments xmlns="http://schemas.openxmlformats.org/spreadsheetml/2006/main">
  <authors>
    <author>Asoporcicultores</author>
  </authors>
  <commentList>
    <comment ref="O50" authorId="0">
      <text>
        <r>
          <rPr>
            <b/>
            <sz val="8"/>
            <rFont val="Tahoma"/>
            <family val="2"/>
          </rPr>
          <t>EXISTE UNA DIF DE $4.186.500 CON RESPECTO AL INGRESO, DEBIDO A UN MENOR VLR. COBRADO POR LA CUOTA DE FOMENTO DE DICIEMBRE YA QUE SE COBRO INICIALMENTE DE ACUERDO A UNA PROVISION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AC46" authorId="0">
      <text>
        <r>
          <rPr>
            <b/>
            <sz val="8"/>
            <rFont val="Tahoma"/>
            <family val="2"/>
          </rPr>
          <t>REG EN CTA. 16700201 - EQUIP COMPUTACIÓN $3.160.672 Y CTA. 19700801 - SOFTWARE $974.400</t>
        </r>
      </text>
    </comment>
    <comment ref="C7" authorId="0">
      <text>
        <r>
          <rPr>
            <b/>
            <sz val="8"/>
            <rFont val="Tahoma"/>
            <family val="2"/>
          </rPr>
          <t>del 24 de marzo 2011</t>
        </r>
      </text>
    </comment>
    <comment ref="D7" authorId="0">
      <text>
        <r>
          <rPr>
            <b/>
            <sz val="8"/>
            <rFont val="Tahoma"/>
            <family val="2"/>
          </rPr>
          <t>Del 24 de marzo de 2011</t>
        </r>
      </text>
    </comment>
    <comment ref="E7" authorId="0">
      <text>
        <r>
          <rPr>
            <b/>
            <sz val="8"/>
            <rFont val="Tahoma"/>
            <family val="2"/>
          </rPr>
          <t>16 junio de 2011</t>
        </r>
      </text>
    </comment>
    <comment ref="F7" authorId="0">
      <text>
        <r>
          <rPr>
            <b/>
            <sz val="8"/>
            <rFont val="Tahoma"/>
            <family val="2"/>
          </rPr>
          <t>Del 15 de Sept/11</t>
        </r>
      </text>
    </comment>
    <comment ref="G7" authorId="0">
      <text>
        <r>
          <rPr>
            <b/>
            <sz val="8"/>
            <rFont val="Tahoma"/>
            <family val="2"/>
          </rPr>
          <t>Del 15 de Sept/11</t>
        </r>
      </text>
    </comment>
    <comment ref="AF45" authorId="0">
      <text>
        <r>
          <rPr>
            <sz val="8"/>
            <rFont val="Tahoma"/>
            <family val="2"/>
          </rPr>
          <t xml:space="preserve"> Compra portatil Toshiba Camilo Barrios $ 3.678.249</t>
        </r>
      </text>
    </comment>
    <comment ref="AF46" authorId="0">
      <text>
        <r>
          <rPr>
            <b/>
            <sz val="8"/>
            <rFont val="Tahoma"/>
            <family val="2"/>
          </rPr>
          <t>REG EN CTA. 16700201 - EQUIP COMPUTACIÓN $3.160.672 Y CTA. 19700801 - SOFTWARE $974.400</t>
        </r>
      </text>
    </comment>
  </commentList>
</comments>
</file>

<file path=xl/comments9.xml><?xml version="1.0" encoding="utf-8"?>
<comments xmlns="http://schemas.openxmlformats.org/spreadsheetml/2006/main">
  <authors>
    <author> </author>
  </authors>
  <commentList>
    <comment ref="C7" authorId="0">
      <text>
        <r>
          <rPr>
            <b/>
            <sz val="8"/>
            <rFont val="Tahoma"/>
            <family val="2"/>
          </rPr>
          <t>del 24 de marzo 2011</t>
        </r>
      </text>
    </comment>
    <comment ref="D7" authorId="0">
      <text>
        <r>
          <rPr>
            <b/>
            <sz val="8"/>
            <rFont val="Tahoma"/>
            <family val="2"/>
          </rPr>
          <t>Del 24 de marzo de 2011</t>
        </r>
      </text>
    </comment>
    <comment ref="E7" authorId="0">
      <text>
        <r>
          <rPr>
            <b/>
            <sz val="8"/>
            <rFont val="Tahoma"/>
            <family val="2"/>
          </rPr>
          <t>16 junio de 2011</t>
        </r>
      </text>
    </comment>
    <comment ref="F7" authorId="0">
      <text>
        <r>
          <rPr>
            <b/>
            <sz val="8"/>
            <rFont val="Tahoma"/>
            <family val="2"/>
          </rPr>
          <t>Del 15 de Sept/11</t>
        </r>
      </text>
    </comment>
    <comment ref="G7" authorId="0">
      <text>
        <r>
          <rPr>
            <b/>
            <sz val="8"/>
            <rFont val="Tahoma"/>
            <family val="2"/>
          </rPr>
          <t>Del 15 de Sept/11</t>
        </r>
      </text>
    </comment>
  </commentList>
</comments>
</file>

<file path=xl/sharedStrings.xml><?xml version="1.0" encoding="utf-8"?>
<sst xmlns="http://schemas.openxmlformats.org/spreadsheetml/2006/main" count="1403" uniqueCount="549">
  <si>
    <t>MINISTERIO DE AGRICULTURA Y DESARROLLO RURAL</t>
  </si>
  <si>
    <t>DIRECCIÒN DE CONTROL PRESUPUESTAL Y SEGUIMIENTO</t>
  </si>
  <si>
    <t>RUBROS</t>
  </si>
  <si>
    <t>PRESUPUESTO</t>
  </si>
  <si>
    <t xml:space="preserve">TOTAL </t>
  </si>
  <si>
    <t>SOLICITADO</t>
  </si>
  <si>
    <t>EJECUTADO</t>
  </si>
  <si>
    <t>TOTAL</t>
  </si>
  <si>
    <t>DIFERENCIA ANUAL</t>
  </si>
  <si>
    <t>PENDIENTE POR</t>
  </si>
  <si>
    <t>DIFERENCIA</t>
  </si>
  <si>
    <t>PRESPTO</t>
  </si>
  <si>
    <t>ENE-MAR</t>
  </si>
  <si>
    <t>ABR-JUN</t>
  </si>
  <si>
    <t>JUL-SEP</t>
  </si>
  <si>
    <t>OCT-DIC</t>
  </si>
  <si>
    <t>ENE-DIC</t>
  </si>
  <si>
    <t>PPTO - SOLICITADO</t>
  </si>
  <si>
    <t xml:space="preserve">EJECUTAR </t>
  </si>
  <si>
    <t xml:space="preserve"> ANUAL</t>
  </si>
  <si>
    <t>SOLICITADO-EJECUTADO</t>
  </si>
  <si>
    <t>ENE -MAR</t>
  </si>
  <si>
    <t>GASTOS DE PERSONAL</t>
  </si>
  <si>
    <t>Servicios de personal</t>
  </si>
  <si>
    <t>Sueldos</t>
  </si>
  <si>
    <t>Cesantías</t>
  </si>
  <si>
    <t>Intereses de cesantías</t>
  </si>
  <si>
    <t>Prima legal</t>
  </si>
  <si>
    <t>Vacaciones</t>
  </si>
  <si>
    <t xml:space="preserve">Capacitación </t>
  </si>
  <si>
    <t>Seguros y/o fondos privados</t>
  </si>
  <si>
    <t>Caja de compensación</t>
  </si>
  <si>
    <t>Aportes ICBF y SENA</t>
  </si>
  <si>
    <t xml:space="preserve">Dotación y suministro </t>
  </si>
  <si>
    <t>Honorarios</t>
  </si>
  <si>
    <t>TOTAL SERVICIOS PERSONALES</t>
  </si>
  <si>
    <t>GASTOS GENERALES</t>
  </si>
  <si>
    <t>Muebles, equipos  de oficina y software</t>
  </si>
  <si>
    <t>Aseo, vigilancia y cafetería</t>
  </si>
  <si>
    <t>Materiales y suministros</t>
  </si>
  <si>
    <t xml:space="preserve">Mantenimiento </t>
  </si>
  <si>
    <t>Servicios públicos</t>
  </si>
  <si>
    <t>Arriendos</t>
  </si>
  <si>
    <t>Gastos de viaje</t>
  </si>
  <si>
    <t>Impresos y publicaciones</t>
  </si>
  <si>
    <t>Correo</t>
  </si>
  <si>
    <t>Transportes, fletes y acarreos</t>
  </si>
  <si>
    <t>Seguros, impuestos y gastos legales</t>
  </si>
  <si>
    <t>Gastos comisión de fomento</t>
  </si>
  <si>
    <t>Comisiones y gastos bancarios</t>
  </si>
  <si>
    <t>Cuota auditaje CGR</t>
  </si>
  <si>
    <t>TOTAL GASTOS GENERALES</t>
  </si>
  <si>
    <t>PROGRAMAS</t>
  </si>
  <si>
    <t>Área Económica</t>
  </si>
  <si>
    <t>Área Técnica</t>
  </si>
  <si>
    <t>Área PPC</t>
  </si>
  <si>
    <t>Área de Mercadeo</t>
  </si>
  <si>
    <t>TOTAL PROGRAMAS</t>
  </si>
  <si>
    <t>CUOTA DE ADMINISTRACIÓN</t>
  </si>
  <si>
    <t>RESERVAS FUTUROS INV Y GASTOS</t>
  </si>
  <si>
    <t>CUOTA DE FOMENTO</t>
  </si>
  <si>
    <t>ERRADICACIÓN PESTE PORCINA CLÁSICA</t>
  </si>
  <si>
    <t>TOTAL INVERSIÓN Y FUNCIONAMIENTO</t>
  </si>
  <si>
    <t>no afecta ppto.</t>
  </si>
  <si>
    <t>MENOS IVA PRIMER TRIMESTRE</t>
  </si>
  <si>
    <t>MENOS no afecta</t>
  </si>
  <si>
    <t>menos cta. Gto. Notaria importa</t>
  </si>
  <si>
    <t>DIF. PPTO. Vs CONTABILIDAD</t>
  </si>
  <si>
    <t>REGISTRO SICE</t>
  </si>
  <si>
    <t>P</t>
  </si>
  <si>
    <t>AUDITORIA DE CIFRAS</t>
  </si>
  <si>
    <t>Total gastos personal</t>
  </si>
  <si>
    <t>Total gastos generales</t>
  </si>
  <si>
    <t>Total programas</t>
  </si>
  <si>
    <t>GRAN TOTAL</t>
  </si>
  <si>
    <t>Diferencias = reserva</t>
  </si>
  <si>
    <t>Diferencia real</t>
  </si>
  <si>
    <t>TOTAL ANUAL</t>
  </si>
  <si>
    <t>SALDO PPTO</t>
  </si>
  <si>
    <t>DIFERENCIA SOLICITADO-</t>
  </si>
  <si>
    <t>% EJECUTADO</t>
  </si>
  <si>
    <t>% EJECUCIÓN</t>
  </si>
  <si>
    <t>ECONÓMICA</t>
  </si>
  <si>
    <t>DEFINITIVO</t>
  </si>
  <si>
    <t>POR SOLICITAR</t>
  </si>
  <si>
    <t>ANUAL</t>
  </si>
  <si>
    <t>FORMALIDAD E INTEGRACIÓN</t>
  </si>
  <si>
    <t>Centro de servicios técnicos y financieros</t>
  </si>
  <si>
    <t>Fortalecimiento institucional</t>
  </si>
  <si>
    <t>COMSAC</t>
  </si>
  <si>
    <t>Participación en negociaciones</t>
  </si>
  <si>
    <t>Sistemas de información de mercados</t>
  </si>
  <si>
    <t xml:space="preserve">Monitoreo información de precios </t>
  </si>
  <si>
    <t>Actualización de información</t>
  </si>
  <si>
    <t>Fortalecimiento al recaudo</t>
  </si>
  <si>
    <t>Auxilios de movilización de los coordinadores de recaudo</t>
  </si>
  <si>
    <t>TOTAL ÁREA ECONÓMICA</t>
  </si>
  <si>
    <t>TÉCNICA</t>
  </si>
  <si>
    <t>PRODUCTIVIDAD DE EMPRESA</t>
  </si>
  <si>
    <t>Investigación</t>
  </si>
  <si>
    <t>Eficiencia sanitaria</t>
  </si>
  <si>
    <t>Servicios de diagnóstico</t>
  </si>
  <si>
    <t>Gestión de transferencia de tecnología</t>
  </si>
  <si>
    <t>Gestión Ambiental</t>
  </si>
  <si>
    <t>TOTAL ÁREA TÉCNICA</t>
  </si>
  <si>
    <t>Muebles, equipos de oficina y software</t>
  </si>
  <si>
    <t>COMERCIALIZACIÓN</t>
  </si>
  <si>
    <t>Eventos investigativos</t>
  </si>
  <si>
    <t>TOTAL PROGRAMA</t>
  </si>
  <si>
    <t>TOTAL ÁREA MERCADEO</t>
  </si>
  <si>
    <t>FINAN. AUDIT.</t>
  </si>
  <si>
    <t>EJECUTADO (ANUAL)</t>
  </si>
  <si>
    <t>Seguros, Impuestos y gastos legales</t>
  </si>
  <si>
    <t>CUOTA ERRADICACIÓN PESTE PORCINA CLÁSICA</t>
  </si>
  <si>
    <t>Herramientas del Centro de servicios</t>
  </si>
  <si>
    <t>Asesorías a pequeños productores</t>
  </si>
  <si>
    <t>Asesorías a medianos y grandes productores y grupos</t>
  </si>
  <si>
    <t>Programa nacional de mejoramiento del estatus sanitario</t>
  </si>
  <si>
    <t xml:space="preserve">Convenios CAR´s </t>
  </si>
  <si>
    <t>Campaña de fomento al consumo</t>
  </si>
  <si>
    <t>Divulgación sectorial</t>
  </si>
  <si>
    <t xml:space="preserve">       Contrapartida MADR</t>
  </si>
  <si>
    <t xml:space="preserve">SOLICITADO  ENE-MAR  </t>
  </si>
  <si>
    <t xml:space="preserve">SOLICITADO ABR-JUN </t>
  </si>
  <si>
    <t xml:space="preserve">SOLICITADO ENE-MAR  </t>
  </si>
  <si>
    <t xml:space="preserve">       Contrapartida FNP-Productores</t>
  </si>
  <si>
    <t>ppto año</t>
  </si>
  <si>
    <t>ajustado hasta junio</t>
  </si>
  <si>
    <t>aprobado real - solictado</t>
  </si>
  <si>
    <t xml:space="preserve">SOLICITADO JUL-SEP </t>
  </si>
  <si>
    <t xml:space="preserve"> </t>
  </si>
  <si>
    <t>SOLICITADO OCT-DIC</t>
  </si>
  <si>
    <t xml:space="preserve">SOLICITADO OCT-DIC </t>
  </si>
  <si>
    <t>DIRECCIÓN DE CONTROL PRESUPUESTAL Y SEGUIMIENTO</t>
  </si>
  <si>
    <t>PROGRAMA DE SEGUIMIENTO Y EVALUACIÓN FONDOS PARAFISCALES</t>
  </si>
  <si>
    <t xml:space="preserve">% EJECUCIÓN </t>
  </si>
  <si>
    <t>Cuota admón..</t>
  </si>
  <si>
    <t xml:space="preserve"> Programa IAT BPP (1)</t>
  </si>
  <si>
    <t xml:space="preserve"> Programa IAT BPP (2)</t>
  </si>
  <si>
    <t>Jornada de capacitación coordinadores</t>
  </si>
  <si>
    <t>Seguimiento recaudo regional</t>
  </si>
  <si>
    <t>Evaluación periódica de bioseguridad y sanidad</t>
  </si>
  <si>
    <t>Diagnóstico de laboratorio PNMES</t>
  </si>
  <si>
    <t>Reportes One Click y Benchmarking</t>
  </si>
  <si>
    <t>Consultorias sanitarias</t>
  </si>
  <si>
    <t>Proyectos aprobados 2007</t>
  </si>
  <si>
    <t>Proyectos aprobados 2008</t>
  </si>
  <si>
    <t>Planes de Acción CAR´s</t>
  </si>
  <si>
    <t xml:space="preserve">  Otras asesorias en BPM - Sello de Respaldo</t>
  </si>
  <si>
    <t xml:space="preserve">  Eventos entrega Sello de respaldo</t>
  </si>
  <si>
    <t xml:space="preserve">  Material de apoyo</t>
  </si>
  <si>
    <t xml:space="preserve">  Asesorias Nutricionistas</t>
  </si>
  <si>
    <t xml:space="preserve">  Asesorías Chef</t>
  </si>
  <si>
    <t xml:space="preserve">  Organizar y patrocinar eventos de salud</t>
  </si>
  <si>
    <t>Canales de comercialización</t>
  </si>
  <si>
    <t>SOLICITADO AÑO</t>
  </si>
  <si>
    <t>SALDO PPTO POR SOLICITAR AÑO</t>
  </si>
  <si>
    <t>DIFERENCIA SOLICITADO-EJECUTADO AÑO</t>
  </si>
  <si>
    <t>ERRADICACIÓN PPC</t>
  </si>
  <si>
    <t>Regionalización</t>
  </si>
  <si>
    <t xml:space="preserve">     Compra de biológico, chapetas, agujas y tenazas</t>
  </si>
  <si>
    <t xml:space="preserve">     Compra de materiales y dotaciones</t>
  </si>
  <si>
    <t xml:space="preserve">     Pago de auxilios de frío, flete y movilizaciones</t>
  </si>
  <si>
    <t xml:space="preserve">     Brigadas</t>
  </si>
  <si>
    <t>Capacitación y divulgación</t>
  </si>
  <si>
    <t xml:space="preserve">   Capacitación</t>
  </si>
  <si>
    <t>Vigilancia epidemiológica - Carta de entendimiento 1</t>
  </si>
  <si>
    <t>Diagnóstico rutinario</t>
  </si>
  <si>
    <t>Aislamiento y caracterización del virus de la PPC</t>
  </si>
  <si>
    <t>Administración del programa</t>
  </si>
  <si>
    <t>Administración de la base de datos</t>
  </si>
  <si>
    <t>Contratación de personal</t>
  </si>
  <si>
    <t>PPC</t>
  </si>
  <si>
    <t xml:space="preserve">     Talleres de formación PPC</t>
  </si>
  <si>
    <t xml:space="preserve">     Asesoría internacional</t>
  </si>
  <si>
    <t xml:space="preserve">   Divulgación</t>
  </si>
  <si>
    <t xml:space="preserve">     Publicidad</t>
  </si>
  <si>
    <t>Detección de anticuerpos contra el virus de la PPC</t>
  </si>
  <si>
    <t>Ciclos de vacunación</t>
  </si>
  <si>
    <t>Recolección de desechos biológicos</t>
  </si>
  <si>
    <t>TOTAL ÁREA PPC</t>
  </si>
  <si>
    <t>.</t>
  </si>
  <si>
    <t>PERIODO DE ENERO - DICIEMBRE 2011</t>
  </si>
  <si>
    <t>INICIAL 2011</t>
  </si>
  <si>
    <t>Programa Estratégico Iberoeka-Colciencias</t>
  </si>
  <si>
    <t>Convenio SENA -Seminario internacional de reproducción</t>
  </si>
  <si>
    <t>Jornadas de costos y analisis en la produccion porcina</t>
  </si>
  <si>
    <t>Ecuación de magro 2011</t>
  </si>
  <si>
    <t xml:space="preserve">Cadena porcícola </t>
  </si>
  <si>
    <t xml:space="preserve">Laboratorios Privados </t>
  </si>
  <si>
    <t>Carta de entendimiento No.3</t>
  </si>
  <si>
    <t xml:space="preserve">     Reunión anual</t>
  </si>
  <si>
    <t>Determinación de factores de riesgo</t>
  </si>
  <si>
    <t xml:space="preserve">Auxilios de comités de ganaderos </t>
  </si>
  <si>
    <t>Logistica barridos</t>
  </si>
  <si>
    <t xml:space="preserve">  Home panel</t>
  </si>
  <si>
    <t xml:space="preserve">  Brand tracking - Brand equity</t>
  </si>
  <si>
    <t xml:space="preserve">  Post test de campaña</t>
  </si>
  <si>
    <t xml:space="preserve">  Monitoreo de Medios</t>
  </si>
  <si>
    <t>Comercialización y calidad</t>
  </si>
  <si>
    <t xml:space="preserve">  Asesores técnicos en calidad</t>
  </si>
  <si>
    <t xml:space="preserve">  Divulgación sello</t>
  </si>
  <si>
    <t xml:space="preserve">  Asesorías HACCP y BPM</t>
  </si>
  <si>
    <t xml:space="preserve">Sensibilización a profesionales </t>
  </si>
  <si>
    <t xml:space="preserve">  Día Saludable con carne de cerdo</t>
  </si>
  <si>
    <t xml:space="preserve">   Feria de la carne de cerdo</t>
  </si>
  <si>
    <t xml:space="preserve">   Pauta Publicitaria</t>
  </si>
  <si>
    <t xml:space="preserve">   Producción de comerciales</t>
  </si>
  <si>
    <t xml:space="preserve">   Desarrollo nuevas recetas</t>
  </si>
  <si>
    <t xml:space="preserve">   Material POP</t>
  </si>
  <si>
    <t xml:space="preserve">   CRM - página web</t>
  </si>
  <si>
    <t xml:space="preserve">   Club Gourmet de la Carne de Cerdo</t>
  </si>
  <si>
    <t xml:space="preserve">   Consultoría MESA</t>
  </si>
  <si>
    <t xml:space="preserve">   Concurso sabor innovador</t>
  </si>
  <si>
    <t xml:space="preserve">   Pauta institucional</t>
  </si>
  <si>
    <t xml:space="preserve">   Kit publicitario</t>
  </si>
  <si>
    <t xml:space="preserve">   Agroexpo - Porcinino 2011 </t>
  </si>
  <si>
    <t>ACUERDO 16/10</t>
  </si>
  <si>
    <t>Comisión de Sacrificio - Trabajo con autoridades</t>
  </si>
  <si>
    <t>Carta de entendimiento No. 4 ICA</t>
  </si>
  <si>
    <t>Estudios Prevalencia</t>
  </si>
  <si>
    <t xml:space="preserve">  Investigación impacto salud humana</t>
  </si>
  <si>
    <t xml:space="preserve">  Como vender mas carne de cerdo</t>
  </si>
  <si>
    <t>ACUERDO 6/11</t>
  </si>
  <si>
    <t>ACUERDO 7/11</t>
  </si>
  <si>
    <t>Convenio Secretaria de Desarrollo Económico</t>
  </si>
  <si>
    <t>ACUERDO No. 5</t>
  </si>
  <si>
    <t>ACUERDO No. 5/11</t>
  </si>
  <si>
    <t>TRASLADO 1/11</t>
  </si>
  <si>
    <t>TRASLADO 01/11</t>
  </si>
  <si>
    <t>GASTOS FONDO</t>
  </si>
  <si>
    <t>GASTOS PPC</t>
  </si>
  <si>
    <t>ACUERDO No. 4/11</t>
  </si>
  <si>
    <t>Fondo Emergencia Ola Invernal</t>
  </si>
  <si>
    <t>ACUERDO No. 4</t>
  </si>
  <si>
    <t>CUENTAS</t>
  </si>
  <si>
    <t>EJECUCIÒN</t>
  </si>
  <si>
    <t>% EJECUCIÓN ENERO-MARZO</t>
  </si>
  <si>
    <t>% EJECUCIÓN ABRIL - JUNIO</t>
  </si>
  <si>
    <t>% EJECUCIÓN OCTUBRE-DICIEMBRE</t>
  </si>
  <si>
    <t>INICIAL</t>
  </si>
  <si>
    <t>ENERO-MARZO</t>
  </si>
  <si>
    <t>ABRIL-JUNIO</t>
  </si>
  <si>
    <t>JULIO-SEPTIEMBRE</t>
  </si>
  <si>
    <t>OCTUBRE-DICIEMBRE</t>
  </si>
  <si>
    <t>JUL.-SEPT.</t>
  </si>
  <si>
    <t>OCT.-DIC.</t>
  </si>
  <si>
    <t>INGRESOS OPERACIONALES</t>
  </si>
  <si>
    <t xml:space="preserve">CUOTA DE FOMENTO PORCÍCOLA </t>
  </si>
  <si>
    <t>Cuota de Fomento</t>
  </si>
  <si>
    <t>Cuota de Erradicación Peste Porcina Clásica</t>
  </si>
  <si>
    <t>CUOTA VIGENCIAS ANTERIORES</t>
  </si>
  <si>
    <t>SUPERÁVIT VIGENCIAS ANTERIORES</t>
  </si>
  <si>
    <t>INGRESOS NO OPERACIONALES</t>
  </si>
  <si>
    <t>INGRESOS FINANCIEROS</t>
  </si>
  <si>
    <t>Rendimientos Financieros FNP</t>
  </si>
  <si>
    <t>Rendimientos Financieros PPC</t>
  </si>
  <si>
    <t>OTROS INGRESOS</t>
  </si>
  <si>
    <t>Ventas Programa PPC</t>
  </si>
  <si>
    <t>Financieros FNP</t>
  </si>
  <si>
    <t>Financieros PPC</t>
  </si>
  <si>
    <t>Extraordinarios FNP</t>
  </si>
  <si>
    <t>Programas y proyectos FNP</t>
  </si>
  <si>
    <t>TOTAL INGRESOS</t>
  </si>
  <si>
    <t>INGRESOS FONDO</t>
  </si>
  <si>
    <t>INGRESOS PPC</t>
  </si>
  <si>
    <t>Material de apoyo y Logística Capacitaciones</t>
  </si>
  <si>
    <t>ACUERDO No. 7/11</t>
  </si>
  <si>
    <t>ACUERDO No. 8</t>
  </si>
  <si>
    <t>ACUERDO No. 8/11</t>
  </si>
  <si>
    <t>ACUERDO 9/11</t>
  </si>
  <si>
    <t>TRASLADO 2/11</t>
  </si>
  <si>
    <t>ACUERDO No. 10/11</t>
  </si>
  <si>
    <t xml:space="preserve">  Estudio de Nielsen (LDSA)</t>
  </si>
  <si>
    <t>ACUERDO No. 11/11</t>
  </si>
  <si>
    <t>Programas y proyectos PPC</t>
  </si>
  <si>
    <t>25% PPC</t>
  </si>
  <si>
    <t>ACUERDO No. 12/11</t>
  </si>
  <si>
    <t>ACUERDO No. 11</t>
  </si>
  <si>
    <t>ACUERDO 12/11</t>
  </si>
  <si>
    <t>ACUERDO 10/11</t>
  </si>
  <si>
    <t>ACUERDO No. 13/11</t>
  </si>
  <si>
    <t>ACUERDO No. 14/11</t>
  </si>
  <si>
    <t>Carta de entendimiento No. 5 ICA</t>
  </si>
  <si>
    <t>ACUERDONo. 13/11</t>
  </si>
  <si>
    <t>FONDO DE EMERGENCIA OLA INVERNAL</t>
  </si>
  <si>
    <t>ACUERDO 13/11</t>
  </si>
  <si>
    <t>TRASLADO No. 3</t>
  </si>
  <si>
    <t>INTERNOS</t>
  </si>
  <si>
    <t>EJECUCIONES GASTO INVERSION</t>
  </si>
  <si>
    <t>ACUERDO No. 15/11</t>
  </si>
  <si>
    <t>Admisibilidad sanitaria a Corea</t>
  </si>
  <si>
    <t>ACUERDO No. 15</t>
  </si>
  <si>
    <t xml:space="preserve">PRESUPUESTO </t>
  </si>
  <si>
    <t>TRASLADO 4</t>
  </si>
  <si>
    <t xml:space="preserve">MOVIMIENTOS </t>
  </si>
  <si>
    <t xml:space="preserve"> INTERNOS</t>
  </si>
  <si>
    <t>MOVIMIENTOS</t>
  </si>
  <si>
    <t>DIRECCIÓN DE PLANEACIÓN Y SEGUIMIENTO PRESUPUESTAL</t>
  </si>
  <si>
    <t>INGRESOS FINANCIEROS FNP</t>
  </si>
  <si>
    <t>Intereses de mora</t>
  </si>
  <si>
    <t>Sobrantes</t>
  </si>
  <si>
    <t>ajuste por diferencia en cambio</t>
  </si>
  <si>
    <t>TOTAL FINANCIEROS FNP</t>
  </si>
  <si>
    <t>INGRESOS EXTRAORDINARIOS FNP</t>
  </si>
  <si>
    <t>Intereses de Deudores</t>
  </si>
  <si>
    <t>Ingresos tarifas Centro de Servicios Técnicos y Financieros</t>
  </si>
  <si>
    <t>Seminarios</t>
  </si>
  <si>
    <t>Venta de publicaciones y videos de capacitación</t>
  </si>
  <si>
    <t>Venta de productos agrícolas pecuarios</t>
  </si>
  <si>
    <t>Aprovechamientos</t>
  </si>
  <si>
    <t>TOTAL EXTRAORDINARIOS FNP</t>
  </si>
  <si>
    <t>INGRESOS PROGRAMAS Y PROYECTOS FNP</t>
  </si>
  <si>
    <t>Convenios CAR</t>
  </si>
  <si>
    <t>Feria de la carne - Arrendamientos</t>
  </si>
  <si>
    <t>Proyecto IAT 1 - Productores</t>
  </si>
  <si>
    <t>Taller SENA - Actualización buenas prácticas</t>
  </si>
  <si>
    <t>TOTAL  PROGRAMAS Y PROYECTOS FNP</t>
  </si>
  <si>
    <t>INGRESOS FINANCIEROS PPC</t>
  </si>
  <si>
    <t>AJUSTE PAGO IMPUESTOS</t>
  </si>
  <si>
    <t>TOTAL  FINANCIEROS PPC</t>
  </si>
  <si>
    <t>Otros ingresos extraordinarios</t>
  </si>
  <si>
    <t>Seminario medio ambiente</t>
  </si>
  <si>
    <t>Indemnizaciones</t>
  </si>
  <si>
    <t>Sanción devolución cheque</t>
  </si>
  <si>
    <t>INGRESOS PROGRAMAS Y PROYECTOS PPC</t>
  </si>
  <si>
    <t>Convenio 099 Secretaria de Agricultura</t>
  </si>
  <si>
    <t>ICA</t>
  </si>
  <si>
    <t>MINISTERIO DE AGRICULTURA  Y DESARROLLO RURAL</t>
  </si>
  <si>
    <t>ANEXO 2</t>
  </si>
  <si>
    <t>PROGRAMAS ECONÓMICA</t>
  </si>
  <si>
    <t>PROGRAMAS TÉCNICA</t>
  </si>
  <si>
    <t>PROGRAMA PPC</t>
  </si>
  <si>
    <t>PROGRAMAS MERCADEO</t>
  </si>
  <si>
    <t>TOTAL INVERSIÓN</t>
  </si>
  <si>
    <t>GASTOS DE FUNCIONAMIENTO</t>
  </si>
  <si>
    <t>SUBTOTAL GASTOS PERSONAL</t>
  </si>
  <si>
    <t>SUBTOTAL GASTOS GENERALES</t>
  </si>
  <si>
    <t>TOTAL FUNCIONAMIENTO</t>
  </si>
  <si>
    <t>TOTAL PROGRAMAS Y PROYECTOS</t>
  </si>
  <si>
    <t xml:space="preserve">   Programa IAT (1)</t>
  </si>
  <si>
    <t xml:space="preserve">     Compra de biológico, chapetas y tenazas</t>
  </si>
  <si>
    <t xml:space="preserve">RESERVA FUTURAS INVERSIONES Y GASTOS </t>
  </si>
  <si>
    <t>Cuota de fomento porcícola</t>
  </si>
  <si>
    <t>Cuota de erradicación Peste Porcina Clásica</t>
  </si>
  <si>
    <t xml:space="preserve">TOTAL GASTOS </t>
  </si>
  <si>
    <t>GASTOS</t>
  </si>
  <si>
    <t>INGRESOS</t>
  </si>
  <si>
    <t>EJECUCIÓN PROGRAMAS ECONÓMICA</t>
  </si>
  <si>
    <t>EJECUCIÓN PROGRAMAS TÉCNICA</t>
  </si>
  <si>
    <t>EJECUCIÓN PROGRAMA PPC</t>
  </si>
  <si>
    <t>EJECUCIÓN PROGRAMAS MERCADEO</t>
  </si>
  <si>
    <t>EJECUCIÓN DE GASTOS E INVERSIONES CONSOLIDADOS</t>
  </si>
  <si>
    <t>PTO INICIAL</t>
  </si>
  <si>
    <t>EJECUCIÓN GASTOS ÁREA ECONÓMICA</t>
  </si>
  <si>
    <t>EJECUCIÓN GASTOS ÁREA TÉCNICA</t>
  </si>
  <si>
    <t>EJECUCIÓN GASTOS ÁREA PPC</t>
  </si>
  <si>
    <t xml:space="preserve"> MERCADEO</t>
  </si>
  <si>
    <t>EJECUCIÓN GASTOS ÁREA MERCADEO</t>
  </si>
  <si>
    <t>EJECUCIÓN GASTOS ÁREA FINANCIERA Y AUDITORIA</t>
  </si>
  <si>
    <t>DETALLE</t>
  </si>
  <si>
    <t>TOTALES</t>
  </si>
  <si>
    <t>Cuota de Fomento Porcícola</t>
  </si>
  <si>
    <t>Cuota erradicación Peste Porcína</t>
  </si>
  <si>
    <t>Cuota de Fomento (vigencias anteriores)</t>
  </si>
  <si>
    <t>Cuota de Erradicación Peste Porcina Clásica (vigencias anteriores)</t>
  </si>
  <si>
    <t>Superavit vigencias anteriores</t>
  </si>
  <si>
    <t>Programa y proyectos PPC</t>
  </si>
  <si>
    <t>GASTOS TOTALES</t>
  </si>
  <si>
    <t>Servicios personales</t>
  </si>
  <si>
    <t>Gastos generales</t>
  </si>
  <si>
    <t>Cuota de administración</t>
  </si>
  <si>
    <t>Programas</t>
  </si>
  <si>
    <t>Programa</t>
  </si>
  <si>
    <t>DEFINITIVA</t>
  </si>
  <si>
    <t>ACUERDO 5/12</t>
  </si>
  <si>
    <t>ACUERDO 8/12</t>
  </si>
  <si>
    <t>ACUERDO11/12</t>
  </si>
  <si>
    <t>ACUERDO</t>
  </si>
  <si>
    <t>ACUERDO 6/12</t>
  </si>
  <si>
    <t>SOLICITADO DEFINITIVO</t>
  </si>
  <si>
    <t>ACUERDO 9/12</t>
  </si>
  <si>
    <t>ACUERDO 12/12</t>
  </si>
  <si>
    <t>ACUERDO 1/13</t>
  </si>
  <si>
    <t>PENDIENTE POR EJECUTAR</t>
  </si>
  <si>
    <t>% EJECUCIÓN JULIO-SEPTIEMBRE</t>
  </si>
  <si>
    <t>AÑO 2012</t>
  </si>
  <si>
    <t>OTROS INGRESOS VIGENCIA  2.012</t>
  </si>
  <si>
    <t>Ajuste pago de impuestos</t>
  </si>
  <si>
    <t>Taller Sena actualizacion Buenas practicas</t>
  </si>
  <si>
    <t>43900506</t>
  </si>
  <si>
    <t>Seminario producción porcina</t>
  </si>
  <si>
    <t>Diplomados</t>
  </si>
  <si>
    <t>Seminario actualización Porcicultura SENA.</t>
  </si>
  <si>
    <t>Seminario internacional porcicultores medio ambiente</t>
  </si>
  <si>
    <t>Intereses sobre depósitos</t>
  </si>
  <si>
    <t>Recuperaciones</t>
  </si>
  <si>
    <t>Reembolsos gastos de envío</t>
  </si>
  <si>
    <t>Monitoreo serológico carta entendimiento No.3</t>
  </si>
  <si>
    <t>43900501/48155601</t>
  </si>
  <si>
    <t>4810902601</t>
  </si>
  <si>
    <t>CONVENIOS SAC-ASOPORCICULTORES-FNC</t>
  </si>
  <si>
    <t>4810901901</t>
  </si>
  <si>
    <t>CONVENIO GOBERNACION DE CUNDINAMARCA</t>
  </si>
  <si>
    <t>4810901903</t>
  </si>
  <si>
    <t>CONV. MUNICIP. SAN ANTONIO TEQUENDAMA</t>
  </si>
  <si>
    <t>4810901904</t>
  </si>
  <si>
    <t>Deudores</t>
  </si>
  <si>
    <t>RECUPERACIONES</t>
  </si>
  <si>
    <t>PROGRAMAS INVESTIGACIÓN Y TRANSFERENCIA DE TÉCNOLOGÍA</t>
  </si>
  <si>
    <t>FORTALECER LA INSTITUCIONALIDAD SECTORIAL</t>
  </si>
  <si>
    <t>Asesorías normatividad</t>
  </si>
  <si>
    <t>Gira tecnica</t>
  </si>
  <si>
    <t>PROMOVER EL CONSUMO DE CARNE DE CERDO COLOMBIANA</t>
  </si>
  <si>
    <t>Investigación de mercados</t>
  </si>
  <si>
    <t xml:space="preserve">  Home Panel Nielsen</t>
  </si>
  <si>
    <t xml:space="preserve">  Brand Equity and Tracking</t>
  </si>
  <si>
    <t xml:space="preserve">  Eye Tracking</t>
  </si>
  <si>
    <t xml:space="preserve">  Impacto en Salud Humana II (Alergenos)</t>
  </si>
  <si>
    <t xml:space="preserve">  Factibilidad Porcinino express</t>
  </si>
  <si>
    <t xml:space="preserve">  Percepción de medios hacia el sector</t>
  </si>
  <si>
    <t>Sensibilización de las bondades gastronómicas</t>
  </si>
  <si>
    <t xml:space="preserve">  Nutricionistas</t>
  </si>
  <si>
    <t xml:space="preserve">  Asesores Gastronomicos</t>
  </si>
  <si>
    <t xml:space="preserve">  Actividades Dia saludable</t>
  </si>
  <si>
    <t xml:space="preserve">  Eventos Feriales</t>
  </si>
  <si>
    <t xml:space="preserve">  Capacitación anual contratistas</t>
  </si>
  <si>
    <t xml:space="preserve">  Viajes regionales equipo dia saludable</t>
  </si>
  <si>
    <t xml:space="preserve">  Campaña de publicidad</t>
  </si>
  <si>
    <t xml:space="preserve">  Recetarios</t>
  </si>
  <si>
    <t xml:space="preserve">  CRM</t>
  </si>
  <si>
    <t xml:space="preserve">  Club Gourmet</t>
  </si>
  <si>
    <t xml:space="preserve">  Ferias de la Carne de Cerdo</t>
  </si>
  <si>
    <t xml:space="preserve">  Asesoria Invermesas SAS</t>
  </si>
  <si>
    <t xml:space="preserve">  Concurso sabor innovador</t>
  </si>
  <si>
    <t xml:space="preserve">  Pauta institucional</t>
  </si>
  <si>
    <t xml:space="preserve">  Eventos institucionales</t>
  </si>
  <si>
    <t xml:space="preserve">  Kit publicitario</t>
  </si>
  <si>
    <t>FORTALECER EL ESTATUS SANITARIO Y LA PRODUCCIÓN SOSTENIBLE DEL SECTOR PORCICOLA</t>
  </si>
  <si>
    <t>ERRADICACIÓN DE PPC</t>
  </si>
  <si>
    <t>Vigilancia epidemiológica</t>
  </si>
  <si>
    <t>Diagnóstico Rutinario</t>
  </si>
  <si>
    <t>Vigilancia de campo</t>
  </si>
  <si>
    <t>Control de puertos, aeropuertos y pasos</t>
  </si>
  <si>
    <t>Fondo de emergencia</t>
  </si>
  <si>
    <t>Equipos comunicación puestos control</t>
  </si>
  <si>
    <t>Depuración, verificación y codificación de predios</t>
  </si>
  <si>
    <t>MEJORAMIENTO DEL ESTATUS SANITARIO</t>
  </si>
  <si>
    <t>Evaluación condición  de Aujeszky en el país</t>
  </si>
  <si>
    <t>Control y monitoreo para la enfermedad de PRRS en granjas de Colombia</t>
  </si>
  <si>
    <t xml:space="preserve">Convenios con laboratorios privados  y oficiales registrados ante el ICA </t>
  </si>
  <si>
    <t>Carta 3 -Seguimiento y acompañamiento aplicación de protocolos</t>
  </si>
  <si>
    <t>Programa Nacional de Mejoramiento del Estatus Sanitario</t>
  </si>
  <si>
    <t>FORTALECER LA GESTIÓN EMPRESARIAL E INTEGRACIÓN DE LA CADENA CARNICA PORCICOLA</t>
  </si>
  <si>
    <t xml:space="preserve">       Contrapartida FNP </t>
  </si>
  <si>
    <t>Asociatividad</t>
  </si>
  <si>
    <t>Convenio Gobernación de Cundinamarca</t>
  </si>
  <si>
    <t>PROMOVER EL ASEGURAMIENTO DE LA CALIDAD DE LA CADENA CÁRNICA PORCINA</t>
  </si>
  <si>
    <t>Aseguramiento de la calidad en gestión primaria</t>
  </si>
  <si>
    <t xml:space="preserve">  Gestión ambiental en producción primaria</t>
  </si>
  <si>
    <t xml:space="preserve">    Acompañamiento ambiental</t>
  </si>
  <si>
    <t xml:space="preserve">    Planes operativos convenios CAR`s</t>
  </si>
  <si>
    <t xml:space="preserve">  Diseño Sistema de Certificación BPP</t>
  </si>
  <si>
    <t xml:space="preserve">  Divulgación Resolución 2640</t>
  </si>
  <si>
    <t>Sello de respaldo</t>
  </si>
  <si>
    <t xml:space="preserve">  Otras asesorias BPM Sello de Respaldo</t>
  </si>
  <si>
    <t xml:space="preserve">  Material publicitario (POP, Divulgación Sello y Ambiental)</t>
  </si>
  <si>
    <t>HACCP y BPM en cadena de transformación</t>
  </si>
  <si>
    <t xml:space="preserve">  Asesorias BPM y HACCP</t>
  </si>
  <si>
    <t xml:space="preserve">  Afiliación ICONTEC</t>
  </si>
  <si>
    <t xml:space="preserve">  Asesoría internacional en calidad</t>
  </si>
  <si>
    <t>Sistema de medición y pago por calidad</t>
  </si>
  <si>
    <t xml:space="preserve">  Seminario pago por calidad</t>
  </si>
  <si>
    <t xml:space="preserve">  Asesor técnico</t>
  </si>
  <si>
    <t xml:space="preserve">  Toma mediciones grasa dorsal pilotos</t>
  </si>
  <si>
    <t>FORTALECER LOS SISTEMAS DE INFORMACIÓN Y GESTIONAR INTELIGENCIA DE MERCADOS</t>
  </si>
  <si>
    <t xml:space="preserve">Monitoreo Precios de la Carne al Consumidor </t>
  </si>
  <si>
    <t>Promoción de exportaciones</t>
  </si>
  <si>
    <t>Consultoria sobre el mercado coreano</t>
  </si>
  <si>
    <t>Visita porcicultores a Corea</t>
  </si>
  <si>
    <t>Admisibilidad. Etapa I</t>
  </si>
  <si>
    <t>Admisibilidad. Etapa II</t>
  </si>
  <si>
    <t>FORTALECER EL BENEFICIO FORMAL</t>
  </si>
  <si>
    <t>Jornadas de trabajo coordinadores</t>
  </si>
  <si>
    <t>Fortalecimiento de la infraestructura de beneficio</t>
  </si>
  <si>
    <t>GESTIONAR LA INVESTIGACIÓN Y DESARROLLO DE LA CADENA</t>
  </si>
  <si>
    <t>INVESTIGACIÓN Y DESARROLLO</t>
  </si>
  <si>
    <t xml:space="preserve">    Convenios Interinstitucionales</t>
  </si>
  <si>
    <t xml:space="preserve">    Desarrollo Sistema Unificado y Estandarizado de Desposte, Cortes y Empaques </t>
  </si>
  <si>
    <t>TRANSFERENCIA DE TECNOLOGÍA</t>
  </si>
  <si>
    <t xml:space="preserve">Convenio SENA </t>
  </si>
  <si>
    <t xml:space="preserve">    Programa Piloto para la Medición de Grasa Dorsal</t>
  </si>
  <si>
    <t xml:space="preserve">    Diplomado en alta gerencia de empresas porcícolas</t>
  </si>
  <si>
    <t xml:space="preserve">    Talleres para Chefs e instructores SENA</t>
  </si>
  <si>
    <t xml:space="preserve">    Diseño plan de negocios granja demostrativa SENA</t>
  </si>
  <si>
    <t>Talleres y seminarios</t>
  </si>
  <si>
    <t xml:space="preserve">    Seminario Internacional</t>
  </si>
  <si>
    <t xml:space="preserve">    Talleres "Cómo vender más carne de cerdo"</t>
  </si>
  <si>
    <t xml:space="preserve">    Jornadas técnicas a porcicultores</t>
  </si>
  <si>
    <t xml:space="preserve">    Jornadas socialización SIPO</t>
  </si>
  <si>
    <t xml:space="preserve">   Talleres IVA, Costos</t>
  </si>
  <si>
    <t xml:space="preserve">    Material de Apoyo</t>
  </si>
  <si>
    <t xml:space="preserve">    Coordinación transferencia de técnología</t>
  </si>
  <si>
    <t xml:space="preserve">  Cuota de administración FNP</t>
  </si>
  <si>
    <t xml:space="preserve">  Cuota de administración PPC</t>
  </si>
  <si>
    <t>EJECUCIÓN</t>
  </si>
  <si>
    <t>DIRECCION DE PLANEACIÓN Y SEGUIMIENTO PRESUPUESTAL</t>
  </si>
  <si>
    <t>EJECUCIÓN DE GASTOS DE FUNCIONAMIENTO E INVERSIÓN 2.012</t>
  </si>
  <si>
    <t xml:space="preserve"> PRESUPUESTO INICIAL 2012</t>
  </si>
  <si>
    <t>TRASLADO 2/13</t>
  </si>
  <si>
    <t>ACUERDO 11/12</t>
  </si>
  <si>
    <t xml:space="preserve"> PRESUPUESTO DEFINITIVO 2012</t>
  </si>
  <si>
    <t>EJECUCION ENE-MAR 2012</t>
  </si>
  <si>
    <t>EJECUCION ABR - JUN  2012</t>
  </si>
  <si>
    <t>EJECUCIÓN  JUL-SEP 2012</t>
  </si>
  <si>
    <t>EJECUCIÓN  OCT-DIC 2012</t>
  </si>
  <si>
    <t>JUL-SEPT</t>
  </si>
  <si>
    <t>Gira Técnica</t>
  </si>
  <si>
    <t xml:space="preserve">No se ha ejecutado nada </t>
  </si>
  <si>
    <t>Inteligencia de mercados internacionales</t>
  </si>
  <si>
    <t>EJECUCIÓN GASTOS FONDO NACIONAL DE LA PORCICULTURA</t>
  </si>
  <si>
    <t>EJECUCIÓN GASTOS PESTE PORCINA CLÁSICA</t>
  </si>
  <si>
    <t>PRESUPUESTO TOTAL DEFINITIVO</t>
  </si>
  <si>
    <t>EJECUCIÓN PROGRAMAS INVESTIGACIÓN Y TRANSFERENCIA DE TÉCNOLOGÍA</t>
  </si>
  <si>
    <t>TOTAL EJECUCIÓN DE INVERSIÓN</t>
  </si>
  <si>
    <t>EJECUCIÓN GASTOS DE FUNCIONAMIENTO</t>
  </si>
  <si>
    <t>TOTAL EJECUCIÓN DEFINITIVA 2012</t>
  </si>
  <si>
    <t>*El porcentaje de ejecución corresponde al total del presupuesto menos la Reserva, lo que da un total de $20.813.576</t>
  </si>
  <si>
    <t>Ingresos Fondo Nacional de la Porcicultura</t>
  </si>
  <si>
    <t>Gastos Fondo Nacional de la Porcicultura</t>
  </si>
  <si>
    <t>Superavit FNP</t>
  </si>
  <si>
    <t>Ingresos Peste Porcina Clásica</t>
  </si>
  <si>
    <t>Gastos Peste Porcina Clásica</t>
  </si>
  <si>
    <t>Superavit PPC</t>
  </si>
  <si>
    <t>TOTAL SUPERAVIT 2012</t>
  </si>
  <si>
    <t>SUPERAVIT AÑO 2012</t>
  </si>
  <si>
    <t>ACUERDO 2/13</t>
  </si>
  <si>
    <t>CALCULO SUPERAVIT 2012</t>
  </si>
  <si>
    <t>EJECUCION 2012</t>
  </si>
  <si>
    <t>CALCULO SUPERAVIT PPC 2012</t>
  </si>
  <si>
    <t>TOTAL SUPERAVIT PRESUPUESTAL A DIC 31 DE 2012</t>
  </si>
  <si>
    <t>TOTAL PRESUPUESTO EJECUTADO 2012</t>
  </si>
  <si>
    <t>CALCULO SUPERAVIT FNP 2012</t>
  </si>
  <si>
    <t>Proyecto IAT 1 MADR</t>
  </si>
  <si>
    <t>NOTA</t>
  </si>
  <si>
    <t>NOTA $100 millones gob C/marca…</t>
  </si>
  <si>
    <t>EJECUCIÓN PRESUPUESTO DE INGRESOS ENERO-DICIEMBRE DE 2.012</t>
  </si>
  <si>
    <t>% EJECUCIÓN ENE-DIC 2012</t>
  </si>
  <si>
    <t>EJECUCIÓN PRESUPUESTO ENERO - DICIEMBRE DE 2.012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</si>
</sst>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\ _$_-;\-* #,##0\ _$_-;_-* &quot;-&quot;\ _$_-;_-@_-"/>
    <numFmt numFmtId="181" formatCode="0.0%"/>
    <numFmt numFmtId="182" formatCode="_(* #,##0_);_(* \(#,##0\);_(* &quot;-&quot;??_);_(@_)"/>
    <numFmt numFmtId="183" formatCode="#,##0;[Red]#,##0"/>
    <numFmt numFmtId="184" formatCode="_ * #,##0_ ;_ * \-#,##0_ ;_ * &quot;-&quot;??_ ;_ @_ "/>
    <numFmt numFmtId="185" formatCode="_-* #,##0_-;\-* #,##0_-;_-* &quot;-&quot;??_-;_-@_-"/>
    <numFmt numFmtId="186" formatCode="_([$€]* #,##0.00_);_([$€]* \(#,##0.00\);_([$€]* &quot;-&quot;??_);_(@_)"/>
    <numFmt numFmtId="187" formatCode="_(* #,##0.000_);_(* \(#,##0.000\);_(* &quot;-&quot;??_);_(@_)"/>
    <numFmt numFmtId="188" formatCode="_ &quot;$&quot;\ * #,##0_ ;_ &quot;$&quot;\ * \-#,##0_ ;_ &quot;$&quot;\ * &quot;-&quot;??_ ;_ @_ "/>
    <numFmt numFmtId="189" formatCode="[$-240A]d&quot; de &quot;mmmm&quot; de &quot;yyyy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-* #,##0\ _€_-;\-* #,##0\ _€_-;_-* &quot;-&quot;??\ _€_-;_-@_-"/>
    <numFmt numFmtId="195" formatCode="_ * #,##0.0_ ;_ * \-#,##0.0_ ;_ * &quot;-&quot;??_ ;_ @_ "/>
    <numFmt numFmtId="196" formatCode="_-* #,##0.00\ _€_-;\-* #,##0.00\ _€_-;_-* &quot;-&quot;??\ _€_-;_-@_-"/>
    <numFmt numFmtId="197" formatCode="0.000%"/>
    <numFmt numFmtId="198" formatCode="&quot;$&quot;\ #,##0"/>
    <numFmt numFmtId="199" formatCode="_-* #,##0.0\ _$_-;\-* #,##0.0\ _$_-;_-* &quot;-&quot;\ _$_-;_-@_-"/>
    <numFmt numFmtId="200" formatCode="_-* #,##0.00\ _$_-;\-* #,##0.00\ _$_-;_-* &quot;-&quot;\ _$_-;_-@_-"/>
    <numFmt numFmtId="201" formatCode="_-* #,##0.000\ _$_-;\-* #,##0.000\ _$_-;_-* &quot;-&quot;\ _$_-;_-@_-"/>
  </numFmts>
  <fonts count="93">
    <font>
      <sz val="10"/>
      <name val="Arial"/>
      <family val="0"/>
    </font>
    <font>
      <b/>
      <sz val="10"/>
      <name val="Comic Sans MS"/>
      <family val="4"/>
    </font>
    <font>
      <sz val="10"/>
      <name val="Comic Sans MS"/>
      <family val="4"/>
    </font>
    <font>
      <sz val="10"/>
      <name val="Times New Roman"/>
      <family val="1"/>
    </font>
    <font>
      <b/>
      <sz val="10"/>
      <color indexed="10"/>
      <name val="Comic Sans MS"/>
      <family val="4"/>
    </font>
    <font>
      <b/>
      <sz val="10"/>
      <color indexed="12"/>
      <name val="Comic Sans MS"/>
      <family val="4"/>
    </font>
    <font>
      <sz val="10"/>
      <color indexed="8"/>
      <name val="Comic Sans MS"/>
      <family val="4"/>
    </font>
    <font>
      <b/>
      <sz val="10"/>
      <name val="Times New Roman"/>
      <family val="1"/>
    </font>
    <font>
      <b/>
      <sz val="10"/>
      <name val="Arial"/>
      <family val="2"/>
    </font>
    <font>
      <sz val="7"/>
      <name val="Comic Sans MS"/>
      <family val="4"/>
    </font>
    <font>
      <sz val="8"/>
      <name val="Comic Sans MS"/>
      <family val="4"/>
    </font>
    <font>
      <sz val="10"/>
      <color indexed="10"/>
      <name val="Comic Sans MS"/>
      <family val="4"/>
    </font>
    <font>
      <b/>
      <sz val="10"/>
      <color indexed="8"/>
      <name val="Comic Sans MS"/>
      <family val="4"/>
    </font>
    <font>
      <b/>
      <sz val="10"/>
      <color indexed="6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0"/>
      <color indexed="9"/>
      <name val="Comic Sans MS"/>
      <family val="4"/>
    </font>
    <font>
      <sz val="10"/>
      <color indexed="9"/>
      <name val="Comic Sans MS"/>
      <family val="4"/>
    </font>
    <font>
      <sz val="8"/>
      <color indexed="9"/>
      <name val="Comic Sans MS"/>
      <family val="4"/>
    </font>
    <font>
      <sz val="9"/>
      <name val="Comic Sans MS"/>
      <family val="4"/>
    </font>
    <font>
      <b/>
      <sz val="14"/>
      <name val="Comic Sans MS"/>
      <family val="4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name val="Tahoma"/>
      <family val="2"/>
    </font>
    <font>
      <b/>
      <sz val="11"/>
      <name val="Arial"/>
      <family val="2"/>
    </font>
    <font>
      <sz val="12"/>
      <name val="Comic Sans MS"/>
      <family val="4"/>
    </font>
    <font>
      <sz val="8"/>
      <name val="Tahoma"/>
      <family val="2"/>
    </font>
    <font>
      <sz val="11"/>
      <name val="Comic Sans MS"/>
      <family val="4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name val="Times New Roman"/>
      <family val="1"/>
    </font>
    <font>
      <sz val="11"/>
      <color indexed="14"/>
      <name val="Arial"/>
      <family val="2"/>
    </font>
    <font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omic Sans MS"/>
      <family val="4"/>
    </font>
    <font>
      <sz val="10"/>
      <color theme="1"/>
      <name val="Comic Sans MS"/>
      <family val="4"/>
    </font>
    <font>
      <sz val="10"/>
      <color rgb="FFFF0000"/>
      <name val="Comic Sans MS"/>
      <family val="4"/>
    </font>
    <font>
      <sz val="11"/>
      <color theme="1"/>
      <name val="Arial"/>
      <family val="2"/>
    </font>
    <font>
      <sz val="12"/>
      <color theme="0"/>
      <name val="Times New Roman"/>
      <family val="1"/>
    </font>
    <font>
      <b/>
      <sz val="8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double"/>
      <bottom style="hair"/>
    </border>
    <border>
      <left>
        <color indexed="63"/>
      </left>
      <right style="double"/>
      <top style="double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 style="medium"/>
      <top>
        <color indexed="63"/>
      </top>
      <bottom style="thin">
        <color indexed="55"/>
      </bottom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 style="medium"/>
      <right style="medium"/>
      <top style="thin">
        <color indexed="55"/>
      </top>
      <bottom>
        <color indexed="63"/>
      </bottom>
    </border>
    <border>
      <left>
        <color indexed="63"/>
      </left>
      <right style="medium"/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hair"/>
      <top style="double"/>
      <bottom style="hair"/>
    </border>
    <border>
      <left>
        <color indexed="63"/>
      </left>
      <right style="double"/>
      <top style="hair"/>
      <bottom style="hair"/>
    </border>
    <border>
      <left style="double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/>
      <right style="hair"/>
      <top style="double"/>
      <bottom style="hair"/>
    </border>
    <border>
      <left/>
      <right style="hair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/>
      <right style="hair"/>
      <top style="hair"/>
      <bottom style="double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43" fillId="2" borderId="0" applyNumberFormat="0" applyBorder="0" applyAlignment="0" applyProtection="0"/>
    <xf numFmtId="0" fontId="70" fillId="3" borderId="0" applyNumberFormat="0" applyBorder="0" applyAlignment="0" applyProtection="0"/>
    <xf numFmtId="0" fontId="43" fillId="3" borderId="0" applyNumberFormat="0" applyBorder="0" applyAlignment="0" applyProtection="0"/>
    <xf numFmtId="0" fontId="70" fillId="4" borderId="0" applyNumberFormat="0" applyBorder="0" applyAlignment="0" applyProtection="0"/>
    <xf numFmtId="0" fontId="43" fillId="4" borderId="0" applyNumberFormat="0" applyBorder="0" applyAlignment="0" applyProtection="0"/>
    <xf numFmtId="0" fontId="70" fillId="5" borderId="0" applyNumberFormat="0" applyBorder="0" applyAlignment="0" applyProtection="0"/>
    <xf numFmtId="0" fontId="43" fillId="5" borderId="0" applyNumberFormat="0" applyBorder="0" applyAlignment="0" applyProtection="0"/>
    <xf numFmtId="0" fontId="70" fillId="6" borderId="0" applyNumberFormat="0" applyBorder="0" applyAlignment="0" applyProtection="0"/>
    <xf numFmtId="0" fontId="43" fillId="7" borderId="0" applyNumberFormat="0" applyBorder="0" applyAlignment="0" applyProtection="0"/>
    <xf numFmtId="0" fontId="70" fillId="8" borderId="0" applyNumberFormat="0" applyBorder="0" applyAlignment="0" applyProtection="0"/>
    <xf numFmtId="0" fontId="43" fillId="9" borderId="0" applyNumberFormat="0" applyBorder="0" applyAlignment="0" applyProtection="0"/>
    <xf numFmtId="0" fontId="70" fillId="10" borderId="0" applyNumberFormat="0" applyBorder="0" applyAlignment="0" applyProtection="0"/>
    <xf numFmtId="0" fontId="43" fillId="11" borderId="0" applyNumberFormat="0" applyBorder="0" applyAlignment="0" applyProtection="0"/>
    <xf numFmtId="0" fontId="70" fillId="12" borderId="0" applyNumberFormat="0" applyBorder="0" applyAlignment="0" applyProtection="0"/>
    <xf numFmtId="0" fontId="43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70" fillId="15" borderId="0" applyNumberFormat="0" applyBorder="0" applyAlignment="0" applyProtection="0"/>
    <xf numFmtId="0" fontId="43" fillId="5" borderId="0" applyNumberFormat="0" applyBorder="0" applyAlignment="0" applyProtection="0"/>
    <xf numFmtId="0" fontId="70" fillId="16" borderId="0" applyNumberFormat="0" applyBorder="0" applyAlignment="0" applyProtection="0"/>
    <xf numFmtId="0" fontId="43" fillId="11" borderId="0" applyNumberFormat="0" applyBorder="0" applyAlignment="0" applyProtection="0"/>
    <xf numFmtId="0" fontId="70" fillId="17" borderId="0" applyNumberFormat="0" applyBorder="0" applyAlignment="0" applyProtection="0"/>
    <xf numFmtId="0" fontId="43" fillId="18" borderId="0" applyNumberFormat="0" applyBorder="0" applyAlignment="0" applyProtection="0"/>
    <xf numFmtId="0" fontId="16" fillId="14" borderId="0" applyNumberFormat="0" applyBorder="0" applyAlignment="0" applyProtection="0"/>
    <xf numFmtId="0" fontId="71" fillId="19" borderId="0" applyNumberFormat="0" applyBorder="0" applyAlignment="0" applyProtection="0"/>
    <xf numFmtId="0" fontId="44" fillId="20" borderId="0" applyNumberFormat="0" applyBorder="0" applyAlignment="0" applyProtection="0"/>
    <xf numFmtId="0" fontId="71" fillId="21" borderId="0" applyNumberFormat="0" applyBorder="0" applyAlignment="0" applyProtection="0"/>
    <xf numFmtId="0" fontId="44" fillId="13" borderId="0" applyNumberFormat="0" applyBorder="0" applyAlignment="0" applyProtection="0"/>
    <xf numFmtId="0" fontId="71" fillId="14" borderId="0" applyNumberFormat="0" applyBorder="0" applyAlignment="0" applyProtection="0"/>
    <xf numFmtId="0" fontId="44" fillId="14" borderId="0" applyNumberFormat="0" applyBorder="0" applyAlignment="0" applyProtection="0"/>
    <xf numFmtId="0" fontId="71" fillId="22" borderId="0" applyNumberFormat="0" applyBorder="0" applyAlignment="0" applyProtection="0"/>
    <xf numFmtId="0" fontId="44" fillId="22" borderId="0" applyNumberFormat="0" applyBorder="0" applyAlignment="0" applyProtection="0"/>
    <xf numFmtId="0" fontId="71" fillId="23" borderId="0" applyNumberFormat="0" applyBorder="0" applyAlignment="0" applyProtection="0"/>
    <xf numFmtId="0" fontId="44" fillId="24" borderId="0" applyNumberFormat="0" applyBorder="0" applyAlignment="0" applyProtection="0"/>
    <xf numFmtId="0" fontId="71" fillId="25" borderId="0" applyNumberFormat="0" applyBorder="0" applyAlignment="0" applyProtection="0"/>
    <xf numFmtId="0" fontId="44" fillId="25" borderId="0" applyNumberFormat="0" applyBorder="0" applyAlignment="0" applyProtection="0"/>
    <xf numFmtId="0" fontId="72" fillId="26" borderId="0" applyNumberFormat="0" applyBorder="0" applyAlignment="0" applyProtection="0"/>
    <xf numFmtId="0" fontId="45" fillId="4" borderId="0" applyNumberFormat="0" applyBorder="0" applyAlignment="0" applyProtection="0"/>
    <xf numFmtId="0" fontId="73" fillId="27" borderId="1" applyNumberFormat="0" applyAlignment="0" applyProtection="0"/>
    <xf numFmtId="0" fontId="46" fillId="28" borderId="2" applyNumberFormat="0" applyAlignment="0" applyProtection="0"/>
    <xf numFmtId="0" fontId="74" fillId="29" borderId="3" applyNumberFormat="0" applyAlignment="0" applyProtection="0"/>
    <xf numFmtId="0" fontId="47" fillId="30" borderId="4" applyNumberFormat="0" applyAlignment="0" applyProtection="0"/>
    <xf numFmtId="0" fontId="75" fillId="0" borderId="5" applyNumberFormat="0" applyFill="0" applyAlignment="0" applyProtection="0"/>
    <xf numFmtId="0" fontId="48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1" fillId="31" borderId="0" applyNumberFormat="0" applyBorder="0" applyAlignment="0" applyProtection="0"/>
    <xf numFmtId="0" fontId="44" fillId="32" borderId="0" applyNumberFormat="0" applyBorder="0" applyAlignment="0" applyProtection="0"/>
    <xf numFmtId="0" fontId="71" fillId="33" borderId="0" applyNumberFormat="0" applyBorder="0" applyAlignment="0" applyProtection="0"/>
    <xf numFmtId="0" fontId="44" fillId="34" borderId="0" applyNumberFormat="0" applyBorder="0" applyAlignment="0" applyProtection="0"/>
    <xf numFmtId="0" fontId="71" fillId="35" borderId="0" applyNumberFormat="0" applyBorder="0" applyAlignment="0" applyProtection="0"/>
    <xf numFmtId="0" fontId="44" fillId="36" borderId="0" applyNumberFormat="0" applyBorder="0" applyAlignment="0" applyProtection="0"/>
    <xf numFmtId="0" fontId="71" fillId="37" borderId="0" applyNumberFormat="0" applyBorder="0" applyAlignment="0" applyProtection="0"/>
    <xf numFmtId="0" fontId="44" fillId="22" borderId="0" applyNumberFormat="0" applyBorder="0" applyAlignment="0" applyProtection="0"/>
    <xf numFmtId="0" fontId="71" fillId="38" borderId="0" applyNumberFormat="0" applyBorder="0" applyAlignment="0" applyProtection="0"/>
    <xf numFmtId="0" fontId="44" fillId="24" borderId="0" applyNumberFormat="0" applyBorder="0" applyAlignment="0" applyProtection="0"/>
    <xf numFmtId="0" fontId="71" fillId="39" borderId="0" applyNumberFormat="0" applyBorder="0" applyAlignment="0" applyProtection="0"/>
    <xf numFmtId="0" fontId="44" fillId="40" borderId="0" applyNumberFormat="0" applyBorder="0" applyAlignment="0" applyProtection="0"/>
    <xf numFmtId="0" fontId="78" fillId="41" borderId="1" applyNumberFormat="0" applyAlignment="0" applyProtection="0"/>
    <xf numFmtId="0" fontId="49" fillId="9" borderId="2" applyNumberFormat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9" fillId="42" borderId="0" applyNumberFormat="0" applyBorder="0" applyAlignment="0" applyProtection="0"/>
    <xf numFmtId="0" fontId="5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0" fillId="43" borderId="0" applyNumberFormat="0" applyBorder="0" applyAlignment="0" applyProtection="0"/>
    <xf numFmtId="0" fontId="51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5" borderId="8" applyNumberFormat="0" applyFont="0" applyAlignment="0" applyProtection="0"/>
    <xf numFmtId="0" fontId="0" fillId="46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1" fillId="27" borderId="10" applyNumberFormat="0" applyAlignment="0" applyProtection="0"/>
    <xf numFmtId="0" fontId="52" fillId="28" borderId="11" applyNumberFormat="0" applyAlignment="0" applyProtection="0"/>
    <xf numFmtId="0" fontId="8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85" fillId="0" borderId="13" applyNumberFormat="0" applyFill="0" applyAlignment="0" applyProtection="0"/>
    <xf numFmtId="0" fontId="39" fillId="0" borderId="14" applyNumberFormat="0" applyFill="0" applyAlignment="0" applyProtection="0"/>
    <xf numFmtId="0" fontId="77" fillId="0" borderId="15" applyNumberFormat="0" applyFill="0" applyAlignment="0" applyProtection="0"/>
    <xf numFmtId="0" fontId="36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86" fillId="0" borderId="17" applyNumberFormat="0" applyFill="0" applyAlignment="0" applyProtection="0"/>
    <xf numFmtId="0" fontId="55" fillId="0" borderId="18" applyNumberFormat="0" applyFill="0" applyAlignment="0" applyProtection="0"/>
  </cellStyleXfs>
  <cellXfs count="815">
    <xf numFmtId="0" fontId="0" fillId="0" borderId="0" xfId="0" applyAlignment="1">
      <alignment/>
    </xf>
    <xf numFmtId="177" fontId="12" fillId="0" borderId="19" xfId="0" applyNumberFormat="1" applyFont="1" applyFill="1" applyBorder="1" applyAlignment="1">
      <alignment/>
    </xf>
    <xf numFmtId="177" fontId="1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7" fontId="4" fillId="0" borderId="0" xfId="0" applyNumberFormat="1" applyFont="1" applyFill="1" applyBorder="1" applyAlignment="1">
      <alignment horizontal="left"/>
    </xf>
    <xf numFmtId="177" fontId="2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77" fontId="2" fillId="0" borderId="19" xfId="0" applyNumberFormat="1" applyFont="1" applyFill="1" applyBorder="1" applyAlignment="1">
      <alignment/>
    </xf>
    <xf numFmtId="177" fontId="2" fillId="0" borderId="20" xfId="0" applyNumberFormat="1" applyFont="1" applyFill="1" applyBorder="1" applyAlignment="1">
      <alignment/>
    </xf>
    <xf numFmtId="177" fontId="2" fillId="0" borderId="21" xfId="0" applyNumberFormat="1" applyFont="1" applyFill="1" applyBorder="1" applyAlignment="1">
      <alignment/>
    </xf>
    <xf numFmtId="177" fontId="2" fillId="0" borderId="22" xfId="0" applyNumberFormat="1" applyFont="1" applyFill="1" applyBorder="1" applyAlignment="1">
      <alignment/>
    </xf>
    <xf numFmtId="177" fontId="2" fillId="0" borderId="23" xfId="0" applyNumberFormat="1" applyFont="1" applyFill="1" applyBorder="1" applyAlignment="1">
      <alignment/>
    </xf>
    <xf numFmtId="177" fontId="2" fillId="0" borderId="19" xfId="83" applyNumberFormat="1" applyFont="1" applyFill="1" applyBorder="1" applyAlignment="1">
      <alignment/>
    </xf>
    <xf numFmtId="177" fontId="2" fillId="0" borderId="24" xfId="0" applyNumberFormat="1" applyFont="1" applyFill="1" applyBorder="1" applyAlignment="1">
      <alignment/>
    </xf>
    <xf numFmtId="177" fontId="2" fillId="0" borderId="25" xfId="0" applyNumberFormat="1" applyFont="1" applyFill="1" applyBorder="1" applyAlignment="1">
      <alignment/>
    </xf>
    <xf numFmtId="177" fontId="1" fillId="0" borderId="26" xfId="83" applyNumberFormat="1" applyFont="1" applyFill="1" applyBorder="1" applyAlignment="1">
      <alignment/>
    </xf>
    <xf numFmtId="177" fontId="1" fillId="0" borderId="27" xfId="83" applyNumberFormat="1" applyFont="1" applyFill="1" applyBorder="1" applyAlignment="1">
      <alignment/>
    </xf>
    <xf numFmtId="177" fontId="1" fillId="0" borderId="28" xfId="83" applyNumberFormat="1" applyFont="1" applyFill="1" applyBorder="1" applyAlignment="1">
      <alignment/>
    </xf>
    <xf numFmtId="177" fontId="2" fillId="0" borderId="26" xfId="83" applyNumberFormat="1" applyFont="1" applyFill="1" applyBorder="1" applyAlignment="1">
      <alignment/>
    </xf>
    <xf numFmtId="177" fontId="1" fillId="0" borderId="19" xfId="83" applyNumberFormat="1" applyFont="1" applyFill="1" applyBorder="1" applyAlignment="1">
      <alignment/>
    </xf>
    <xf numFmtId="177" fontId="1" fillId="0" borderId="20" xfId="83" applyNumberFormat="1" applyFont="1" applyFill="1" applyBorder="1" applyAlignment="1">
      <alignment/>
    </xf>
    <xf numFmtId="177" fontId="1" fillId="0" borderId="22" xfId="83" applyNumberFormat="1" applyFont="1" applyFill="1" applyBorder="1" applyAlignment="1">
      <alignment/>
    </xf>
    <xf numFmtId="177" fontId="2" fillId="0" borderId="22" xfId="83" applyNumberFormat="1" applyFont="1" applyFill="1" applyBorder="1" applyAlignment="1">
      <alignment/>
    </xf>
    <xf numFmtId="177" fontId="2" fillId="0" borderId="20" xfId="83" applyNumberFormat="1" applyFont="1" applyFill="1" applyBorder="1" applyAlignment="1">
      <alignment/>
    </xf>
    <xf numFmtId="177" fontId="1" fillId="0" borderId="23" xfId="83" applyNumberFormat="1" applyFont="1" applyFill="1" applyBorder="1" applyAlignment="1">
      <alignment/>
    </xf>
    <xf numFmtId="177" fontId="1" fillId="0" borderId="24" xfId="83" applyNumberFormat="1" applyFont="1" applyFill="1" applyBorder="1" applyAlignment="1">
      <alignment/>
    </xf>
    <xf numFmtId="177" fontId="2" fillId="0" borderId="29" xfId="83" applyNumberFormat="1" applyFont="1" applyFill="1" applyBorder="1" applyAlignment="1">
      <alignment/>
    </xf>
    <xf numFmtId="177" fontId="2" fillId="0" borderId="23" xfId="83" applyNumberFormat="1" applyFont="1" applyFill="1" applyBorder="1" applyAlignment="1">
      <alignment/>
    </xf>
    <xf numFmtId="177" fontId="2" fillId="0" borderId="25" xfId="83" applyNumberFormat="1" applyFont="1" applyFill="1" applyBorder="1" applyAlignment="1">
      <alignment/>
    </xf>
    <xf numFmtId="177" fontId="2" fillId="0" borderId="27" xfId="83" applyNumberFormat="1" applyFont="1" applyFill="1" applyBorder="1" applyAlignment="1">
      <alignment/>
    </xf>
    <xf numFmtId="177" fontId="2" fillId="0" borderId="28" xfId="83" applyNumberFormat="1" applyFont="1" applyFill="1" applyBorder="1" applyAlignment="1">
      <alignment/>
    </xf>
    <xf numFmtId="177" fontId="2" fillId="0" borderId="24" xfId="83" applyNumberFormat="1" applyFont="1" applyFill="1" applyBorder="1" applyAlignment="1">
      <alignment/>
    </xf>
    <xf numFmtId="177" fontId="2" fillId="0" borderId="21" xfId="83" applyNumberFormat="1" applyFont="1" applyFill="1" applyBorder="1" applyAlignment="1">
      <alignment/>
    </xf>
    <xf numFmtId="177" fontId="1" fillId="0" borderId="19" xfId="83" applyNumberFormat="1" applyFont="1" applyFill="1" applyBorder="1" applyAlignment="1">
      <alignment horizontal="right"/>
    </xf>
    <xf numFmtId="177" fontId="6" fillId="0" borderId="19" xfId="0" applyNumberFormat="1" applyFont="1" applyFill="1" applyBorder="1" applyAlignment="1">
      <alignment/>
    </xf>
    <xf numFmtId="177" fontId="2" fillId="47" borderId="22" xfId="83" applyNumberFormat="1" applyFont="1" applyFill="1" applyBorder="1" applyAlignment="1">
      <alignment/>
    </xf>
    <xf numFmtId="177" fontId="1" fillId="0" borderId="19" xfId="0" applyNumberFormat="1" applyFont="1" applyFill="1" applyBorder="1" applyAlignment="1">
      <alignment/>
    </xf>
    <xf numFmtId="177" fontId="2" fillId="0" borderId="26" xfId="0" applyNumberFormat="1" applyFont="1" applyFill="1" applyBorder="1" applyAlignment="1">
      <alignment/>
    </xf>
    <xf numFmtId="177" fontId="2" fillId="0" borderId="30" xfId="83" applyNumberFormat="1" applyFont="1" applyFill="1" applyBorder="1" applyAlignment="1">
      <alignment/>
    </xf>
    <xf numFmtId="177" fontId="2" fillId="0" borderId="28" xfId="0" applyNumberFormat="1" applyFont="1" applyFill="1" applyBorder="1" applyAlignment="1">
      <alignment/>
    </xf>
    <xf numFmtId="177" fontId="11" fillId="0" borderId="19" xfId="83" applyNumberFormat="1" applyFont="1" applyFill="1" applyBorder="1" applyAlignment="1">
      <alignment/>
    </xf>
    <xf numFmtId="177" fontId="4" fillId="0" borderId="28" xfId="83" applyNumberFormat="1" applyFont="1" applyFill="1" applyBorder="1" applyAlignment="1">
      <alignment/>
    </xf>
    <xf numFmtId="177" fontId="11" fillId="0" borderId="22" xfId="0" applyNumberFormat="1" applyFont="1" applyFill="1" applyBorder="1" applyAlignment="1">
      <alignment/>
    </xf>
    <xf numFmtId="177" fontId="11" fillId="0" borderId="0" xfId="0" applyNumberFormat="1" applyFont="1" applyFill="1" applyAlignment="1">
      <alignment/>
    </xf>
    <xf numFmtId="177" fontId="1" fillId="0" borderId="26" xfId="0" applyNumberFormat="1" applyFont="1" applyFill="1" applyBorder="1" applyAlignment="1">
      <alignment/>
    </xf>
    <xf numFmtId="177" fontId="1" fillId="0" borderId="20" xfId="0" applyNumberFormat="1" applyFont="1" applyFill="1" applyBorder="1" applyAlignment="1">
      <alignment/>
    </xf>
    <xf numFmtId="177" fontId="1" fillId="0" borderId="21" xfId="83" applyNumberFormat="1" applyFont="1" applyFill="1" applyBorder="1" applyAlignment="1">
      <alignment/>
    </xf>
    <xf numFmtId="177" fontId="2" fillId="0" borderId="31" xfId="0" applyNumberFormat="1" applyFont="1" applyFill="1" applyBorder="1" applyAlignment="1">
      <alignment/>
    </xf>
    <xf numFmtId="177" fontId="2" fillId="0" borderId="32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1" fillId="28" borderId="33" xfId="0" applyNumberFormat="1" applyFont="1" applyFill="1" applyBorder="1" applyAlignment="1">
      <alignment/>
    </xf>
    <xf numFmtId="177" fontId="2" fillId="0" borderId="0" xfId="0" applyNumberFormat="1" applyFont="1" applyAlignment="1">
      <alignment/>
    </xf>
    <xf numFmtId="177" fontId="2" fillId="0" borderId="34" xfId="0" applyNumberFormat="1" applyFont="1" applyFill="1" applyBorder="1" applyAlignment="1">
      <alignment/>
    </xf>
    <xf numFmtId="177" fontId="2" fillId="0" borderId="29" xfId="0" applyNumberFormat="1" applyFont="1" applyFill="1" applyBorder="1" applyAlignment="1">
      <alignment/>
    </xf>
    <xf numFmtId="177" fontId="1" fillId="0" borderId="35" xfId="83" applyNumberFormat="1" applyFont="1" applyFill="1" applyBorder="1" applyAlignment="1">
      <alignment/>
    </xf>
    <xf numFmtId="177" fontId="1" fillId="0" borderId="35" xfId="0" applyNumberFormat="1" applyFont="1" applyFill="1" applyBorder="1" applyAlignment="1">
      <alignment/>
    </xf>
    <xf numFmtId="177" fontId="1" fillId="0" borderId="29" xfId="83" applyNumberFormat="1" applyFont="1" applyFill="1" applyBorder="1" applyAlignment="1">
      <alignment/>
    </xf>
    <xf numFmtId="177" fontId="1" fillId="0" borderId="21" xfId="0" applyNumberFormat="1" applyFont="1" applyFill="1" applyBorder="1" applyAlignment="1">
      <alignment/>
    </xf>
    <xf numFmtId="177" fontId="1" fillId="0" borderId="22" xfId="0" applyNumberFormat="1" applyFont="1" applyFill="1" applyBorder="1" applyAlignment="1">
      <alignment/>
    </xf>
    <xf numFmtId="177" fontId="2" fillId="0" borderId="36" xfId="0" applyNumberFormat="1" applyFont="1" applyFill="1" applyBorder="1" applyAlignment="1">
      <alignment/>
    </xf>
    <xf numFmtId="177" fontId="2" fillId="0" borderId="0" xfId="0" applyNumberFormat="1" applyFont="1" applyAlignment="1">
      <alignment horizontal="center"/>
    </xf>
    <xf numFmtId="177" fontId="1" fillId="0" borderId="0" xfId="0" applyNumberFormat="1" applyFont="1" applyAlignment="1">
      <alignment/>
    </xf>
    <xf numFmtId="177" fontId="4" fillId="0" borderId="0" xfId="83" applyNumberFormat="1" applyFont="1" applyAlignment="1">
      <alignment horizontal="left"/>
    </xf>
    <xf numFmtId="177" fontId="2" fillId="0" borderId="21" xfId="128" applyNumberFormat="1" applyFont="1" applyFill="1" applyBorder="1" applyAlignment="1">
      <alignment/>
    </xf>
    <xf numFmtId="177" fontId="2" fillId="0" borderId="19" xfId="128" applyNumberFormat="1" applyFont="1" applyFill="1" applyBorder="1" applyAlignment="1">
      <alignment/>
    </xf>
    <xf numFmtId="177" fontId="2" fillId="0" borderId="0" xfId="0" applyNumberFormat="1" applyFont="1" applyFill="1" applyAlignment="1">
      <alignment horizontal="center"/>
    </xf>
    <xf numFmtId="177" fontId="3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7" fontId="2" fillId="0" borderId="25" xfId="128" applyNumberFormat="1" applyFont="1" applyFill="1" applyBorder="1" applyAlignment="1">
      <alignment/>
    </xf>
    <xf numFmtId="177" fontId="2" fillId="0" borderId="0" xfId="128" applyNumberFormat="1" applyFont="1" applyAlignment="1">
      <alignment horizontal="center"/>
    </xf>
    <xf numFmtId="177" fontId="2" fillId="0" borderId="31" xfId="128" applyNumberFormat="1" applyFont="1" applyFill="1" applyBorder="1" applyAlignment="1">
      <alignment/>
    </xf>
    <xf numFmtId="177" fontId="2" fillId="0" borderId="0" xfId="83" applyNumberFormat="1" applyFont="1" applyFill="1" applyBorder="1" applyAlignment="1">
      <alignment/>
    </xf>
    <xf numFmtId="177" fontId="2" fillId="0" borderId="31" xfId="83" applyNumberFormat="1" applyFont="1" applyFill="1" applyBorder="1" applyAlignment="1">
      <alignment/>
    </xf>
    <xf numFmtId="177" fontId="2" fillId="0" borderId="0" xfId="128" applyNumberFormat="1" applyFont="1" applyFill="1" applyAlignment="1">
      <alignment horizontal="center"/>
    </xf>
    <xf numFmtId="177" fontId="1" fillId="0" borderId="19" xfId="128" applyNumberFormat="1" applyFont="1" applyFill="1" applyBorder="1" applyAlignment="1">
      <alignment/>
    </xf>
    <xf numFmtId="177" fontId="1" fillId="0" borderId="0" xfId="0" applyNumberFormat="1" applyFont="1" applyFill="1" applyAlignment="1">
      <alignment horizontal="center"/>
    </xf>
    <xf numFmtId="177" fontId="7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177" fontId="2" fillId="0" borderId="31" xfId="0" applyNumberFormat="1" applyFont="1" applyBorder="1" applyAlignment="1">
      <alignment/>
    </xf>
    <xf numFmtId="177" fontId="4" fillId="0" borderId="0" xfId="0" applyNumberFormat="1" applyFont="1" applyFill="1" applyAlignment="1">
      <alignment/>
    </xf>
    <xf numFmtId="177" fontId="2" fillId="0" borderId="0" xfId="83" applyNumberFormat="1" applyFont="1" applyFill="1" applyAlignment="1">
      <alignment/>
    </xf>
    <xf numFmtId="177" fontId="2" fillId="0" borderId="0" xfId="128" applyNumberFormat="1" applyFont="1" applyAlignment="1">
      <alignment/>
    </xf>
    <xf numFmtId="177" fontId="9" fillId="0" borderId="0" xfId="0" applyNumberFormat="1" applyFont="1" applyFill="1" applyBorder="1" applyAlignment="1">
      <alignment/>
    </xf>
    <xf numFmtId="177" fontId="2" fillId="0" borderId="0" xfId="128" applyNumberFormat="1" applyFont="1" applyFill="1" applyAlignment="1">
      <alignment/>
    </xf>
    <xf numFmtId="177" fontId="9" fillId="0" borderId="0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177" fontId="1" fillId="0" borderId="37" xfId="0" applyNumberFormat="1" applyFont="1" applyBorder="1" applyAlignment="1">
      <alignment/>
    </xf>
    <xf numFmtId="177" fontId="1" fillId="0" borderId="37" xfId="0" applyNumberFormat="1" applyFont="1" applyFill="1" applyBorder="1" applyAlignment="1">
      <alignment/>
    </xf>
    <xf numFmtId="177" fontId="1" fillId="0" borderId="38" xfId="0" applyNumberFormat="1" applyFont="1" applyBorder="1" applyAlignment="1">
      <alignment/>
    </xf>
    <xf numFmtId="177" fontId="1" fillId="0" borderId="39" xfId="0" applyNumberFormat="1" applyFont="1" applyFill="1" applyBorder="1" applyAlignment="1">
      <alignment/>
    </xf>
    <xf numFmtId="177" fontId="5" fillId="11" borderId="0" xfId="0" applyNumberFormat="1" applyFont="1" applyFill="1" applyAlignment="1">
      <alignment/>
    </xf>
    <xf numFmtId="177" fontId="5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177" fontId="20" fillId="0" borderId="0" xfId="83" applyNumberFormat="1" applyFont="1" applyBorder="1" applyAlignment="1">
      <alignment horizontal="left"/>
    </xf>
    <xf numFmtId="177" fontId="1" fillId="0" borderId="40" xfId="0" applyNumberFormat="1" applyFont="1" applyBorder="1" applyAlignment="1">
      <alignment/>
    </xf>
    <xf numFmtId="177" fontId="21" fillId="0" borderId="40" xfId="0" applyNumberFormat="1" applyFont="1" applyFill="1" applyBorder="1" applyAlignment="1">
      <alignment horizontal="center"/>
    </xf>
    <xf numFmtId="177" fontId="2" fillId="0" borderId="27" xfId="0" applyNumberFormat="1" applyFont="1" applyFill="1" applyBorder="1" applyAlignment="1">
      <alignment/>
    </xf>
    <xf numFmtId="177" fontId="1" fillId="0" borderId="23" xfId="0" applyNumberFormat="1" applyFont="1" applyFill="1" applyBorder="1" applyAlignment="1">
      <alignment/>
    </xf>
    <xf numFmtId="177" fontId="2" fillId="0" borderId="30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177" fontId="2" fillId="0" borderId="35" xfId="0" applyNumberFormat="1" applyFont="1" applyFill="1" applyBorder="1" applyAlignment="1">
      <alignment/>
    </xf>
    <xf numFmtId="177" fontId="2" fillId="0" borderId="41" xfId="0" applyNumberFormat="1" applyFont="1" applyFill="1" applyBorder="1" applyAlignment="1">
      <alignment/>
    </xf>
    <xf numFmtId="177" fontId="2" fillId="0" borderId="42" xfId="0" applyNumberFormat="1" applyFont="1" applyFill="1" applyBorder="1" applyAlignment="1">
      <alignment/>
    </xf>
    <xf numFmtId="177" fontId="2" fillId="0" borderId="43" xfId="0" applyNumberFormat="1" applyFont="1" applyFill="1" applyBorder="1" applyAlignment="1">
      <alignment/>
    </xf>
    <xf numFmtId="177" fontId="1" fillId="28" borderId="44" xfId="0" applyNumberFormat="1" applyFont="1" applyFill="1" applyBorder="1" applyAlignment="1">
      <alignment/>
    </xf>
    <xf numFmtId="177" fontId="1" fillId="0" borderId="45" xfId="0" applyNumberFormat="1" applyFont="1" applyFill="1" applyBorder="1" applyAlignment="1">
      <alignment/>
    </xf>
    <xf numFmtId="177" fontId="1" fillId="0" borderId="35" xfId="128" applyNumberFormat="1" applyFont="1" applyFill="1" applyBorder="1" applyAlignment="1">
      <alignment/>
    </xf>
    <xf numFmtId="177" fontId="1" fillId="0" borderId="46" xfId="128" applyNumberFormat="1" applyFont="1" applyFill="1" applyBorder="1" applyAlignment="1">
      <alignment/>
    </xf>
    <xf numFmtId="177" fontId="1" fillId="0" borderId="41" xfId="0" applyNumberFormat="1" applyFont="1" applyFill="1" applyBorder="1" applyAlignment="1">
      <alignment/>
    </xf>
    <xf numFmtId="177" fontId="1" fillId="0" borderId="42" xfId="128" applyNumberFormat="1" applyFont="1" applyFill="1" applyBorder="1" applyAlignment="1">
      <alignment/>
    </xf>
    <xf numFmtId="177" fontId="2" fillId="0" borderId="47" xfId="0" applyNumberFormat="1" applyFont="1" applyFill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35" xfId="128" applyNumberFormat="1" applyFont="1" applyFill="1" applyBorder="1" applyAlignment="1">
      <alignment/>
    </xf>
    <xf numFmtId="177" fontId="2" fillId="0" borderId="46" xfId="128" applyNumberFormat="1" applyFont="1" applyFill="1" applyBorder="1" applyAlignment="1">
      <alignment/>
    </xf>
    <xf numFmtId="177" fontId="1" fillId="0" borderId="43" xfId="0" applyNumberFormat="1" applyFont="1" applyFill="1" applyBorder="1" applyAlignment="1">
      <alignment/>
    </xf>
    <xf numFmtId="177" fontId="2" fillId="0" borderId="48" xfId="128" applyNumberFormat="1" applyFont="1" applyFill="1" applyBorder="1" applyAlignment="1">
      <alignment/>
    </xf>
    <xf numFmtId="177" fontId="1" fillId="0" borderId="45" xfId="0" applyNumberFormat="1" applyFont="1" applyFill="1" applyBorder="1" applyAlignment="1">
      <alignment/>
    </xf>
    <xf numFmtId="177" fontId="1" fillId="0" borderId="41" xfId="0" applyNumberFormat="1" applyFont="1" applyFill="1" applyBorder="1" applyAlignment="1">
      <alignment/>
    </xf>
    <xf numFmtId="177" fontId="13" fillId="0" borderId="49" xfId="0" applyNumberFormat="1" applyFont="1" applyFill="1" applyBorder="1" applyAlignment="1">
      <alignment wrapText="1"/>
    </xf>
    <xf numFmtId="177" fontId="1" fillId="0" borderId="50" xfId="83" applyNumberFormat="1" applyFont="1" applyFill="1" applyBorder="1" applyAlignment="1">
      <alignment/>
    </xf>
    <xf numFmtId="177" fontId="1" fillId="0" borderId="51" xfId="83" applyNumberFormat="1" applyFont="1" applyFill="1" applyBorder="1" applyAlignment="1">
      <alignment/>
    </xf>
    <xf numFmtId="177" fontId="1" fillId="28" borderId="33" xfId="83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7" fontId="2" fillId="0" borderId="0" xfId="83" applyNumberFormat="1" applyFont="1" applyFill="1" applyBorder="1" applyAlignment="1">
      <alignment/>
    </xf>
    <xf numFmtId="177" fontId="2" fillId="47" borderId="26" xfId="0" applyNumberFormat="1" applyFont="1" applyFill="1" applyBorder="1" applyAlignment="1">
      <alignment/>
    </xf>
    <xf numFmtId="177" fontId="2" fillId="47" borderId="19" xfId="0" applyNumberFormat="1" applyFont="1" applyFill="1" applyBorder="1" applyAlignment="1">
      <alignment/>
    </xf>
    <xf numFmtId="177" fontId="6" fillId="0" borderId="31" xfId="0" applyNumberFormat="1" applyFont="1" applyFill="1" applyBorder="1" applyAlignment="1">
      <alignment/>
    </xf>
    <xf numFmtId="177" fontId="2" fillId="0" borderId="52" xfId="0" applyNumberFormat="1" applyFont="1" applyFill="1" applyBorder="1" applyAlignment="1">
      <alignment/>
    </xf>
    <xf numFmtId="9" fontId="2" fillId="0" borderId="19" xfId="128" applyNumberFormat="1" applyFont="1" applyFill="1" applyBorder="1" applyAlignment="1">
      <alignment/>
    </xf>
    <xf numFmtId="9" fontId="2" fillId="0" borderId="21" xfId="128" applyNumberFormat="1" applyFont="1" applyFill="1" applyBorder="1" applyAlignment="1">
      <alignment/>
    </xf>
    <xf numFmtId="9" fontId="2" fillId="0" borderId="25" xfId="128" applyNumberFormat="1" applyFont="1" applyFill="1" applyBorder="1" applyAlignment="1">
      <alignment/>
    </xf>
    <xf numFmtId="9" fontId="1" fillId="0" borderId="19" xfId="128" applyNumberFormat="1" applyFont="1" applyFill="1" applyBorder="1" applyAlignment="1">
      <alignment/>
    </xf>
    <xf numFmtId="9" fontId="1" fillId="0" borderId="21" xfId="128" applyNumberFormat="1" applyFont="1" applyFill="1" applyBorder="1" applyAlignment="1">
      <alignment/>
    </xf>
    <xf numFmtId="9" fontId="2" fillId="0" borderId="42" xfId="128" applyNumberFormat="1" applyFont="1" applyFill="1" applyBorder="1" applyAlignment="1">
      <alignment/>
    </xf>
    <xf numFmtId="9" fontId="1" fillId="0" borderId="42" xfId="128" applyNumberFormat="1" applyFont="1" applyFill="1" applyBorder="1" applyAlignment="1">
      <alignment/>
    </xf>
    <xf numFmtId="9" fontId="2" fillId="0" borderId="50" xfId="128" applyNumberFormat="1" applyFont="1" applyFill="1" applyBorder="1" applyAlignment="1">
      <alignment/>
    </xf>
    <xf numFmtId="9" fontId="2" fillId="0" borderId="53" xfId="128" applyNumberFormat="1" applyFont="1" applyFill="1" applyBorder="1" applyAlignment="1">
      <alignment/>
    </xf>
    <xf numFmtId="180" fontId="2" fillId="0" borderId="19" xfId="83" applyNumberFormat="1" applyFont="1" applyFill="1" applyBorder="1" applyAlignment="1">
      <alignment horizontal="right"/>
    </xf>
    <xf numFmtId="185" fontId="2" fillId="0" borderId="19" xfId="83" applyNumberFormat="1" applyFont="1" applyFill="1" applyBorder="1" applyAlignment="1">
      <alignment/>
    </xf>
    <xf numFmtId="180" fontId="2" fillId="0" borderId="19" xfId="0" applyNumberFormat="1" applyFont="1" applyFill="1" applyBorder="1" applyAlignment="1">
      <alignment/>
    </xf>
    <xf numFmtId="180" fontId="1" fillId="0" borderId="19" xfId="0" applyNumberFormat="1" applyFont="1" applyFill="1" applyBorder="1" applyAlignment="1">
      <alignment/>
    </xf>
    <xf numFmtId="177" fontId="1" fillId="0" borderId="54" xfId="0" applyNumberFormat="1" applyFont="1" applyBorder="1" applyAlignment="1">
      <alignment/>
    </xf>
    <xf numFmtId="0" fontId="2" fillId="0" borderId="19" xfId="128" applyNumberFormat="1" applyFont="1" applyFill="1" applyBorder="1" applyAlignment="1">
      <alignment/>
    </xf>
    <xf numFmtId="9" fontId="11" fillId="0" borderId="19" xfId="128" applyNumberFormat="1" applyFont="1" applyFill="1" applyBorder="1" applyAlignment="1">
      <alignment/>
    </xf>
    <xf numFmtId="9" fontId="2" fillId="0" borderId="23" xfId="128" applyNumberFormat="1" applyFont="1" applyFill="1" applyBorder="1" applyAlignment="1">
      <alignment/>
    </xf>
    <xf numFmtId="177" fontId="2" fillId="0" borderId="26" xfId="128" applyNumberFormat="1" applyFont="1" applyFill="1" applyBorder="1" applyAlignment="1">
      <alignment/>
    </xf>
    <xf numFmtId="9" fontId="1" fillId="28" borderId="33" xfId="128" applyNumberFormat="1" applyFont="1" applyFill="1" applyBorder="1" applyAlignment="1">
      <alignment/>
    </xf>
    <xf numFmtId="177" fontId="2" fillId="0" borderId="23" xfId="128" applyNumberFormat="1" applyFont="1" applyFill="1" applyBorder="1" applyAlignment="1">
      <alignment/>
    </xf>
    <xf numFmtId="177" fontId="1" fillId="0" borderId="24" xfId="0" applyNumberFormat="1" applyFont="1" applyFill="1" applyBorder="1" applyAlignment="1">
      <alignment/>
    </xf>
    <xf numFmtId="177" fontId="2" fillId="0" borderId="36" xfId="128" applyNumberFormat="1" applyFont="1" applyFill="1" applyBorder="1" applyAlignment="1">
      <alignment/>
    </xf>
    <xf numFmtId="177" fontId="1" fillId="0" borderId="31" xfId="0" applyNumberFormat="1" applyFont="1" applyFill="1" applyBorder="1" applyAlignment="1">
      <alignment/>
    </xf>
    <xf numFmtId="177" fontId="12" fillId="28" borderId="33" xfId="0" applyNumberFormat="1" applyFont="1" applyFill="1" applyBorder="1" applyAlignment="1">
      <alignment/>
    </xf>
    <xf numFmtId="177" fontId="2" fillId="0" borderId="52" xfId="128" applyNumberFormat="1" applyFont="1" applyFill="1" applyBorder="1" applyAlignment="1">
      <alignment/>
    </xf>
    <xf numFmtId="177" fontId="1" fillId="0" borderId="33" xfId="0" applyNumberFormat="1" applyFont="1" applyBorder="1" applyAlignment="1">
      <alignment/>
    </xf>
    <xf numFmtId="9" fontId="1" fillId="0" borderId="33" xfId="128" applyNumberFormat="1" applyFont="1" applyFill="1" applyBorder="1" applyAlignment="1">
      <alignment/>
    </xf>
    <xf numFmtId="9" fontId="2" fillId="0" borderId="52" xfId="128" applyNumberFormat="1" applyFont="1" applyFill="1" applyBorder="1" applyAlignment="1">
      <alignment/>
    </xf>
    <xf numFmtId="177" fontId="1" fillId="0" borderId="33" xfId="0" applyNumberFormat="1" applyFont="1" applyFill="1" applyBorder="1" applyAlignment="1">
      <alignment/>
    </xf>
    <xf numFmtId="9" fontId="1" fillId="0" borderId="33" xfId="0" applyNumberFormat="1" applyFont="1" applyFill="1" applyBorder="1" applyAlignment="1">
      <alignment/>
    </xf>
    <xf numFmtId="177" fontId="2" fillId="0" borderId="52" xfId="83" applyNumberFormat="1" applyFont="1" applyFill="1" applyBorder="1" applyAlignment="1">
      <alignment/>
    </xf>
    <xf numFmtId="9" fontId="2" fillId="0" borderId="26" xfId="128" applyNumberFormat="1" applyFont="1" applyFill="1" applyBorder="1" applyAlignment="1">
      <alignment/>
    </xf>
    <xf numFmtId="9" fontId="2" fillId="0" borderId="23" xfId="83" applyNumberFormat="1" applyFont="1" applyFill="1" applyBorder="1" applyAlignment="1">
      <alignment/>
    </xf>
    <xf numFmtId="9" fontId="2" fillId="0" borderId="52" xfId="83" applyNumberFormat="1" applyFont="1" applyFill="1" applyBorder="1" applyAlignment="1">
      <alignment/>
    </xf>
    <xf numFmtId="177" fontId="1" fillId="0" borderId="26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30" xfId="128" applyNumberFormat="1" applyFont="1" applyFill="1" applyBorder="1" applyAlignment="1">
      <alignment/>
    </xf>
    <xf numFmtId="177" fontId="1" fillId="0" borderId="55" xfId="0" applyNumberFormat="1" applyFont="1" applyBorder="1" applyAlignment="1">
      <alignment/>
    </xf>
    <xf numFmtId="177" fontId="2" fillId="0" borderId="56" xfId="0" applyNumberFormat="1" applyFont="1" applyFill="1" applyBorder="1" applyAlignment="1">
      <alignment/>
    </xf>
    <xf numFmtId="9" fontId="2" fillId="0" borderId="57" xfId="128" applyNumberFormat="1" applyFont="1" applyFill="1" applyBorder="1" applyAlignment="1">
      <alignment/>
    </xf>
    <xf numFmtId="177" fontId="2" fillId="0" borderId="58" xfId="0" applyNumberFormat="1" applyFont="1" applyFill="1" applyBorder="1" applyAlignment="1">
      <alignment/>
    </xf>
    <xf numFmtId="177" fontId="2" fillId="0" borderId="55" xfId="0" applyNumberFormat="1" applyFont="1" applyFill="1" applyBorder="1" applyAlignment="1">
      <alignment/>
    </xf>
    <xf numFmtId="177" fontId="2" fillId="0" borderId="59" xfId="128" applyNumberFormat="1" applyFont="1" applyFill="1" applyBorder="1" applyAlignment="1">
      <alignment/>
    </xf>
    <xf numFmtId="177" fontId="1" fillId="0" borderId="58" xfId="0" applyNumberFormat="1" applyFont="1" applyFill="1" applyBorder="1" applyAlignment="1">
      <alignment/>
    </xf>
    <xf numFmtId="9" fontId="2" fillId="0" borderId="59" xfId="128" applyNumberFormat="1" applyFont="1" applyFill="1" applyBorder="1" applyAlignment="1">
      <alignment/>
    </xf>
    <xf numFmtId="177" fontId="1" fillId="0" borderId="55" xfId="0" applyNumberFormat="1" applyFont="1" applyFill="1" applyBorder="1" applyAlignment="1">
      <alignment/>
    </xf>
    <xf numFmtId="9" fontId="1" fillId="0" borderId="57" xfId="128" applyNumberFormat="1" applyFont="1" applyFill="1" applyBorder="1" applyAlignment="1">
      <alignment/>
    </xf>
    <xf numFmtId="177" fontId="2" fillId="0" borderId="55" xfId="0" applyNumberFormat="1" applyFont="1" applyBorder="1" applyAlignment="1">
      <alignment/>
    </xf>
    <xf numFmtId="177" fontId="1" fillId="0" borderId="60" xfId="0" applyNumberFormat="1" applyFont="1" applyBorder="1" applyAlignment="1">
      <alignment/>
    </xf>
    <xf numFmtId="177" fontId="2" fillId="0" borderId="61" xfId="0" applyNumberFormat="1" applyFont="1" applyFill="1" applyBorder="1" applyAlignment="1">
      <alignment/>
    </xf>
    <xf numFmtId="9" fontId="2" fillId="0" borderId="62" xfId="128" applyNumberFormat="1" applyFont="1" applyFill="1" applyBorder="1" applyAlignment="1">
      <alignment/>
    </xf>
    <xf numFmtId="177" fontId="1" fillId="0" borderId="60" xfId="0" applyNumberFormat="1" applyFont="1" applyFill="1" applyBorder="1" applyAlignment="1">
      <alignment/>
    </xf>
    <xf numFmtId="177" fontId="2" fillId="0" borderId="63" xfId="128" applyNumberFormat="1" applyFont="1" applyFill="1" applyBorder="1" applyAlignment="1">
      <alignment/>
    </xf>
    <xf numFmtId="177" fontId="2" fillId="0" borderId="42" xfId="128" applyNumberFormat="1" applyFont="1" applyFill="1" applyBorder="1" applyAlignment="1">
      <alignment/>
    </xf>
    <xf numFmtId="177" fontId="2" fillId="0" borderId="62" xfId="128" applyNumberFormat="1" applyFont="1" applyFill="1" applyBorder="1" applyAlignment="1">
      <alignment/>
    </xf>
    <xf numFmtId="177" fontId="1" fillId="0" borderId="56" xfId="0" applyNumberFormat="1" applyFont="1" applyFill="1" applyBorder="1" applyAlignment="1">
      <alignment/>
    </xf>
    <xf numFmtId="177" fontId="1" fillId="0" borderId="60" xfId="0" applyNumberFormat="1" applyFont="1" applyFill="1" applyBorder="1" applyAlignment="1">
      <alignment horizontal="left" indent="1"/>
    </xf>
    <xf numFmtId="177" fontId="2" fillId="0" borderId="58" xfId="0" applyNumberFormat="1" applyFont="1" applyFill="1" applyBorder="1" applyAlignment="1">
      <alignment horizontal="left" indent="1"/>
    </xf>
    <xf numFmtId="9" fontId="11" fillId="0" borderId="42" xfId="128" applyNumberFormat="1" applyFont="1" applyFill="1" applyBorder="1" applyAlignment="1">
      <alignment/>
    </xf>
    <xf numFmtId="177" fontId="2" fillId="0" borderId="56" xfId="0" applyNumberFormat="1" applyFont="1" applyFill="1" applyBorder="1" applyAlignment="1">
      <alignment horizontal="left" indent="1"/>
    </xf>
    <xf numFmtId="177" fontId="2" fillId="0" borderId="64" xfId="128" applyNumberFormat="1" applyFont="1" applyFill="1" applyBorder="1" applyAlignment="1">
      <alignment/>
    </xf>
    <xf numFmtId="177" fontId="2" fillId="0" borderId="63" xfId="0" applyNumberFormat="1" applyFont="1" applyFill="1" applyBorder="1" applyAlignment="1">
      <alignment/>
    </xf>
    <xf numFmtId="177" fontId="1" fillId="0" borderId="23" xfId="128" applyNumberFormat="1" applyFont="1" applyFill="1" applyBorder="1" applyAlignment="1">
      <alignment/>
    </xf>
    <xf numFmtId="177" fontId="1" fillId="0" borderId="62" xfId="128" applyNumberFormat="1" applyFont="1" applyFill="1" applyBorder="1" applyAlignment="1">
      <alignment/>
    </xf>
    <xf numFmtId="180" fontId="1" fillId="28" borderId="33" xfId="0" applyNumberFormat="1" applyFont="1" applyFill="1" applyBorder="1" applyAlignment="1">
      <alignment/>
    </xf>
    <xf numFmtId="177" fontId="1" fillId="0" borderId="46" xfId="0" applyNumberFormat="1" applyFont="1" applyFill="1" applyBorder="1" applyAlignment="1">
      <alignment/>
    </xf>
    <xf numFmtId="177" fontId="1" fillId="0" borderId="63" xfId="0" applyNumberFormat="1" applyFont="1" applyFill="1" applyBorder="1" applyAlignment="1">
      <alignment/>
    </xf>
    <xf numFmtId="9" fontId="2" fillId="0" borderId="48" xfId="128" applyNumberFormat="1" applyFont="1" applyFill="1" applyBorder="1" applyAlignment="1">
      <alignment/>
    </xf>
    <xf numFmtId="9" fontId="2" fillId="0" borderId="35" xfId="128" applyNumberFormat="1" applyFont="1" applyFill="1" applyBorder="1" applyAlignment="1">
      <alignment/>
    </xf>
    <xf numFmtId="9" fontId="2" fillId="0" borderId="46" xfId="128" applyNumberFormat="1" applyFont="1" applyFill="1" applyBorder="1" applyAlignment="1">
      <alignment/>
    </xf>
    <xf numFmtId="177" fontId="1" fillId="0" borderId="56" xfId="0" applyNumberFormat="1" applyFont="1" applyBorder="1" applyAlignment="1">
      <alignment/>
    </xf>
    <xf numFmtId="0" fontId="2" fillId="0" borderId="58" xfId="0" applyNumberFormat="1" applyFont="1" applyFill="1" applyBorder="1" applyAlignment="1">
      <alignment horizontal="left" indent="2"/>
    </xf>
    <xf numFmtId="177" fontId="1" fillId="0" borderId="65" xfId="0" applyNumberFormat="1" applyFont="1" applyFill="1" applyBorder="1" applyAlignment="1">
      <alignment/>
    </xf>
    <xf numFmtId="177" fontId="2" fillId="0" borderId="54" xfId="0" applyNumberFormat="1" applyFont="1" applyFill="1" applyBorder="1" applyAlignment="1">
      <alignment/>
    </xf>
    <xf numFmtId="177" fontId="2" fillId="0" borderId="57" xfId="0" applyNumberFormat="1" applyFont="1" applyFill="1" applyBorder="1" applyAlignment="1">
      <alignment/>
    </xf>
    <xf numFmtId="177" fontId="2" fillId="0" borderId="66" xfId="0" applyNumberFormat="1" applyFont="1" applyFill="1" applyBorder="1" applyAlignment="1">
      <alignment/>
    </xf>
    <xf numFmtId="177" fontId="2" fillId="0" borderId="67" xfId="0" applyNumberFormat="1" applyFont="1" applyFill="1" applyBorder="1" applyAlignment="1">
      <alignment/>
    </xf>
    <xf numFmtId="177" fontId="1" fillId="0" borderId="54" xfId="83" applyNumberFormat="1" applyFont="1" applyFill="1" applyBorder="1" applyAlignment="1">
      <alignment/>
    </xf>
    <xf numFmtId="177" fontId="1" fillId="0" borderId="41" xfId="83" applyNumberFormat="1" applyFont="1" applyFill="1" applyBorder="1" applyAlignment="1">
      <alignment/>
    </xf>
    <xf numFmtId="177" fontId="2" fillId="0" borderId="41" xfId="83" applyNumberFormat="1" applyFont="1" applyFill="1" applyBorder="1" applyAlignment="1">
      <alignment/>
    </xf>
    <xf numFmtId="177" fontId="2" fillId="0" borderId="47" xfId="83" applyNumberFormat="1" applyFont="1" applyFill="1" applyBorder="1" applyAlignment="1">
      <alignment/>
    </xf>
    <xf numFmtId="177" fontId="2" fillId="0" borderId="54" xfId="83" applyNumberFormat="1" applyFont="1" applyFill="1" applyBorder="1" applyAlignment="1">
      <alignment/>
    </xf>
    <xf numFmtId="177" fontId="2" fillId="0" borderId="68" xfId="128" applyNumberFormat="1" applyFont="1" applyFill="1" applyBorder="1" applyAlignment="1">
      <alignment/>
    </xf>
    <xf numFmtId="177" fontId="13" fillId="28" borderId="33" xfId="0" applyNumberFormat="1" applyFont="1" applyFill="1" applyBorder="1" applyAlignment="1">
      <alignment/>
    </xf>
    <xf numFmtId="177" fontId="1" fillId="0" borderId="55" xfId="0" applyNumberFormat="1" applyFont="1" applyFill="1" applyBorder="1" applyAlignment="1">
      <alignment/>
    </xf>
    <xf numFmtId="177" fontId="1" fillId="0" borderId="26" xfId="128" applyNumberFormat="1" applyFont="1" applyFill="1" applyBorder="1" applyAlignment="1">
      <alignment/>
    </xf>
    <xf numFmtId="177" fontId="1" fillId="0" borderId="61" xfId="128" applyNumberFormat="1" applyFont="1" applyFill="1" applyBorder="1" applyAlignment="1">
      <alignment/>
    </xf>
    <xf numFmtId="177" fontId="1" fillId="0" borderId="58" xfId="0" applyNumberFormat="1" applyFont="1" applyFill="1" applyBorder="1" applyAlignment="1">
      <alignment/>
    </xf>
    <xf numFmtId="177" fontId="1" fillId="0" borderId="34" xfId="0" applyNumberFormat="1" applyFont="1" applyFill="1" applyBorder="1" applyAlignment="1">
      <alignment/>
    </xf>
    <xf numFmtId="177" fontId="2" fillId="0" borderId="34" xfId="0" applyNumberFormat="1" applyFont="1" applyFill="1" applyBorder="1" applyAlignment="1">
      <alignment horizontal="left" indent="1"/>
    </xf>
    <xf numFmtId="177" fontId="2" fillId="0" borderId="67" xfId="0" applyNumberFormat="1" applyFont="1" applyFill="1" applyBorder="1" applyAlignment="1">
      <alignment horizontal="left" indent="1"/>
    </xf>
    <xf numFmtId="177" fontId="1" fillId="0" borderId="69" xfId="0" applyNumberFormat="1" applyFont="1" applyFill="1" applyBorder="1" applyAlignment="1">
      <alignment/>
    </xf>
    <xf numFmtId="177" fontId="1" fillId="0" borderId="69" xfId="83" applyNumberFormat="1" applyFont="1" applyFill="1" applyBorder="1" applyAlignment="1">
      <alignment/>
    </xf>
    <xf numFmtId="177" fontId="2" fillId="0" borderId="55" xfId="0" applyNumberFormat="1" applyFont="1" applyFill="1" applyBorder="1" applyAlignment="1">
      <alignment horizontal="left" indent="1"/>
    </xf>
    <xf numFmtId="177" fontId="2" fillId="0" borderId="0" xfId="128" applyNumberFormat="1" applyFont="1" applyFill="1" applyBorder="1" applyAlignment="1">
      <alignment/>
    </xf>
    <xf numFmtId="177" fontId="2" fillId="0" borderId="70" xfId="0" applyNumberFormat="1" applyFont="1" applyFill="1" applyBorder="1" applyAlignment="1">
      <alignment/>
    </xf>
    <xf numFmtId="177" fontId="2" fillId="0" borderId="32" xfId="0" applyNumberFormat="1" applyFont="1" applyBorder="1" applyAlignment="1">
      <alignment horizontal="center"/>
    </xf>
    <xf numFmtId="177" fontId="2" fillId="0" borderId="32" xfId="0" applyNumberFormat="1" applyFont="1" applyFill="1" applyBorder="1" applyAlignment="1">
      <alignment horizontal="center"/>
    </xf>
    <xf numFmtId="177" fontId="1" fillId="0" borderId="32" xfId="0" applyNumberFormat="1" applyFont="1" applyFill="1" applyBorder="1" applyAlignment="1">
      <alignment horizontal="center"/>
    </xf>
    <xf numFmtId="177" fontId="1" fillId="0" borderId="71" xfId="0" applyNumberFormat="1" applyFont="1" applyFill="1" applyBorder="1" applyAlignment="1">
      <alignment horizontal="center"/>
    </xf>
    <xf numFmtId="177" fontId="1" fillId="0" borderId="72" xfId="0" applyNumberFormat="1" applyFont="1" applyFill="1" applyBorder="1" applyAlignment="1">
      <alignment horizontal="center"/>
    </xf>
    <xf numFmtId="177" fontId="1" fillId="0" borderId="73" xfId="0" applyNumberFormat="1" applyFont="1" applyFill="1" applyBorder="1" applyAlignment="1">
      <alignment horizontal="center"/>
    </xf>
    <xf numFmtId="177" fontId="1" fillId="0" borderId="74" xfId="0" applyNumberFormat="1" applyFont="1" applyFill="1" applyBorder="1" applyAlignment="1">
      <alignment horizontal="center"/>
    </xf>
    <xf numFmtId="3" fontId="22" fillId="0" borderId="75" xfId="0" applyNumberFormat="1" applyFont="1" applyFill="1" applyBorder="1" applyAlignment="1">
      <alignment/>
    </xf>
    <xf numFmtId="37" fontId="22" fillId="0" borderId="76" xfId="0" applyNumberFormat="1" applyFont="1" applyFill="1" applyBorder="1" applyAlignment="1">
      <alignment horizontal="left"/>
    </xf>
    <xf numFmtId="184" fontId="22" fillId="0" borderId="75" xfId="83" applyNumberFormat="1" applyFont="1" applyFill="1" applyBorder="1" applyAlignment="1">
      <alignment/>
    </xf>
    <xf numFmtId="3" fontId="22" fillId="0" borderId="77" xfId="0" applyNumberFormat="1" applyFont="1" applyFill="1" applyBorder="1" applyAlignment="1">
      <alignment/>
    </xf>
    <xf numFmtId="184" fontId="22" fillId="0" borderId="77" xfId="108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5" fillId="0" borderId="0" xfId="0" applyFont="1" applyFill="1" applyBorder="1" applyAlignment="1">
      <alignment horizontal="center"/>
    </xf>
    <xf numFmtId="0" fontId="25" fillId="47" borderId="71" xfId="0" applyFont="1" applyFill="1" applyBorder="1" applyAlignment="1">
      <alignment horizontal="center"/>
    </xf>
    <xf numFmtId="0" fontId="25" fillId="47" borderId="78" xfId="0" applyFont="1" applyFill="1" applyBorder="1" applyAlignment="1">
      <alignment horizontal="center"/>
    </xf>
    <xf numFmtId="0" fontId="25" fillId="47" borderId="73" xfId="0" applyFont="1" applyFill="1" applyBorder="1" applyAlignment="1">
      <alignment horizontal="center"/>
    </xf>
    <xf numFmtId="0" fontId="25" fillId="0" borderId="79" xfId="0" applyFont="1" applyFill="1" applyBorder="1" applyAlignment="1">
      <alignment horizontal="left"/>
    </xf>
    <xf numFmtId="0" fontId="22" fillId="0" borderId="80" xfId="0" applyFont="1" applyFill="1" applyBorder="1" applyAlignment="1">
      <alignment/>
    </xf>
    <xf numFmtId="0" fontId="25" fillId="0" borderId="81" xfId="0" applyFont="1" applyFill="1" applyBorder="1" applyAlignment="1">
      <alignment/>
    </xf>
    <xf numFmtId="43" fontId="2" fillId="0" borderId="0" xfId="0" applyNumberFormat="1" applyFont="1" applyFill="1" applyAlignment="1">
      <alignment/>
    </xf>
    <xf numFmtId="180" fontId="2" fillId="0" borderId="0" xfId="0" applyNumberFormat="1" applyFont="1" applyFill="1" applyAlignment="1">
      <alignment/>
    </xf>
    <xf numFmtId="0" fontId="25" fillId="0" borderId="80" xfId="0" applyFont="1" applyFill="1" applyBorder="1" applyAlignment="1">
      <alignment/>
    </xf>
    <xf numFmtId="0" fontId="22" fillId="0" borderId="82" xfId="0" applyFont="1" applyFill="1" applyBorder="1" applyAlignment="1">
      <alignment/>
    </xf>
    <xf numFmtId="0" fontId="25" fillId="0" borderId="49" xfId="0" applyFont="1" applyFill="1" applyBorder="1" applyAlignment="1">
      <alignment/>
    </xf>
    <xf numFmtId="180" fontId="25" fillId="0" borderId="33" xfId="0" applyNumberFormat="1" applyFont="1" applyFill="1" applyBorder="1" applyAlignment="1">
      <alignment/>
    </xf>
    <xf numFmtId="184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 horizontal="right"/>
    </xf>
    <xf numFmtId="177" fontId="1" fillId="0" borderId="0" xfId="0" applyNumberFormat="1" applyFont="1" applyFill="1" applyAlignment="1">
      <alignment horizontal="right"/>
    </xf>
    <xf numFmtId="177" fontId="1" fillId="0" borderId="0" xfId="121" applyNumberFormat="1" applyFont="1" applyFill="1">
      <alignment/>
      <protection/>
    </xf>
    <xf numFmtId="177" fontId="2" fillId="0" borderId="0" xfId="121" applyNumberFormat="1" applyFont="1" applyFill="1">
      <alignment/>
      <protection/>
    </xf>
    <xf numFmtId="177" fontId="10" fillId="0" borderId="0" xfId="121" applyNumberFormat="1" applyFont="1" applyFill="1">
      <alignment/>
      <protection/>
    </xf>
    <xf numFmtId="177" fontId="10" fillId="0" borderId="71" xfId="121" applyNumberFormat="1" applyFont="1" applyFill="1" applyBorder="1" applyAlignment="1">
      <alignment horizontal="center"/>
      <protection/>
    </xf>
    <xf numFmtId="177" fontId="10" fillId="0" borderId="73" xfId="121" applyNumberFormat="1" applyFont="1" applyFill="1" applyBorder="1" applyAlignment="1">
      <alignment horizontal="center"/>
      <protection/>
    </xf>
    <xf numFmtId="177" fontId="17" fillId="0" borderId="0" xfId="121" applyNumberFormat="1" applyFont="1" applyFill="1">
      <alignment/>
      <protection/>
    </xf>
    <xf numFmtId="177" fontId="18" fillId="0" borderId="0" xfId="121" applyNumberFormat="1" applyFont="1" applyFill="1">
      <alignment/>
      <protection/>
    </xf>
    <xf numFmtId="177" fontId="19" fillId="0" borderId="0" xfId="121" applyNumberFormat="1" applyFont="1" applyFill="1">
      <alignment/>
      <protection/>
    </xf>
    <xf numFmtId="177" fontId="1" fillId="0" borderId="32" xfId="121" applyNumberFormat="1" applyFont="1" applyFill="1" applyBorder="1">
      <alignment/>
      <protection/>
    </xf>
    <xf numFmtId="177" fontId="1" fillId="0" borderId="26" xfId="121" applyNumberFormat="1" applyFont="1" applyFill="1" applyBorder="1">
      <alignment/>
      <protection/>
    </xf>
    <xf numFmtId="177" fontId="2" fillId="0" borderId="28" xfId="121" applyNumberFormat="1" applyFont="1" applyFill="1" applyBorder="1">
      <alignment/>
      <protection/>
    </xf>
    <xf numFmtId="177" fontId="2" fillId="0" borderId="26" xfId="121" applyNumberFormat="1" applyFont="1" applyFill="1" applyBorder="1">
      <alignment/>
      <protection/>
    </xf>
    <xf numFmtId="177" fontId="2" fillId="0" borderId="27" xfId="121" applyNumberFormat="1" applyFont="1" applyFill="1" applyBorder="1">
      <alignment/>
      <protection/>
    </xf>
    <xf numFmtId="177" fontId="6" fillId="0" borderId="26" xfId="121" applyNumberFormat="1" applyFont="1" applyFill="1" applyBorder="1">
      <alignment/>
      <protection/>
    </xf>
    <xf numFmtId="177" fontId="6" fillId="0" borderId="26" xfId="130" applyNumberFormat="1" applyFont="1" applyFill="1" applyBorder="1" applyAlignment="1">
      <alignment/>
    </xf>
    <xf numFmtId="177" fontId="2" fillId="0" borderId="24" xfId="121" applyNumberFormat="1" applyFont="1" applyFill="1" applyBorder="1">
      <alignment/>
      <protection/>
    </xf>
    <xf numFmtId="177" fontId="1" fillId="0" borderId="19" xfId="121" applyNumberFormat="1" applyFont="1" applyFill="1" applyBorder="1">
      <alignment/>
      <protection/>
    </xf>
    <xf numFmtId="177" fontId="2" fillId="0" borderId="22" xfId="121" applyNumberFormat="1" applyFont="1" applyFill="1" applyBorder="1">
      <alignment/>
      <protection/>
    </xf>
    <xf numFmtId="177" fontId="2" fillId="0" borderId="19" xfId="121" applyNumberFormat="1" applyFont="1" applyFill="1" applyBorder="1">
      <alignment/>
      <protection/>
    </xf>
    <xf numFmtId="177" fontId="2" fillId="0" borderId="20" xfId="121" applyNumberFormat="1" applyFont="1" applyFill="1" applyBorder="1">
      <alignment/>
      <protection/>
    </xf>
    <xf numFmtId="177" fontId="6" fillId="0" borderId="19" xfId="121" applyNumberFormat="1" applyFont="1" applyFill="1" applyBorder="1">
      <alignment/>
      <protection/>
    </xf>
    <xf numFmtId="177" fontId="6" fillId="0" borderId="19" xfId="130" applyNumberFormat="1" applyFont="1" applyFill="1" applyBorder="1" applyAlignment="1">
      <alignment/>
    </xf>
    <xf numFmtId="9" fontId="6" fillId="0" borderId="19" xfId="130" applyNumberFormat="1" applyFont="1" applyFill="1" applyBorder="1" applyAlignment="1">
      <alignment/>
    </xf>
    <xf numFmtId="177" fontId="2" fillId="0" borderId="36" xfId="121" applyNumberFormat="1" applyFont="1" applyFill="1" applyBorder="1">
      <alignment/>
      <protection/>
    </xf>
    <xf numFmtId="177" fontId="2" fillId="0" borderId="31" xfId="121" applyNumberFormat="1" applyFont="1" applyFill="1" applyBorder="1">
      <alignment/>
      <protection/>
    </xf>
    <xf numFmtId="177" fontId="2" fillId="0" borderId="32" xfId="121" applyNumberFormat="1" applyFont="1" applyFill="1" applyBorder="1">
      <alignment/>
      <protection/>
    </xf>
    <xf numFmtId="177" fontId="2" fillId="0" borderId="23" xfId="121" applyNumberFormat="1" applyFont="1" applyFill="1" applyBorder="1">
      <alignment/>
      <protection/>
    </xf>
    <xf numFmtId="177" fontId="6" fillId="0" borderId="23" xfId="121" applyNumberFormat="1" applyFont="1" applyFill="1" applyBorder="1">
      <alignment/>
      <protection/>
    </xf>
    <xf numFmtId="9" fontId="6" fillId="0" borderId="23" xfId="130" applyNumberFormat="1" applyFont="1" applyFill="1" applyBorder="1" applyAlignment="1">
      <alignment/>
    </xf>
    <xf numFmtId="9" fontId="6" fillId="0" borderId="25" xfId="130" applyNumberFormat="1" applyFont="1" applyFill="1" applyBorder="1" applyAlignment="1">
      <alignment/>
    </xf>
    <xf numFmtId="177" fontId="1" fillId="28" borderId="53" xfId="121" applyNumberFormat="1" applyFont="1" applyFill="1" applyBorder="1">
      <alignment/>
      <protection/>
    </xf>
    <xf numFmtId="177" fontId="1" fillId="28" borderId="33" xfId="121" applyNumberFormat="1" applyFont="1" applyFill="1" applyBorder="1">
      <alignment/>
      <protection/>
    </xf>
    <xf numFmtId="9" fontId="12" fillId="28" borderId="33" xfId="130" applyNumberFormat="1" applyFont="1" applyFill="1" applyBorder="1" applyAlignment="1">
      <alignment/>
    </xf>
    <xf numFmtId="177" fontId="1" fillId="0" borderId="31" xfId="121" applyNumberFormat="1" applyFont="1" applyFill="1" applyBorder="1">
      <alignment/>
      <protection/>
    </xf>
    <xf numFmtId="177" fontId="1" fillId="0" borderId="28" xfId="121" applyNumberFormat="1" applyFont="1" applyFill="1" applyBorder="1">
      <alignment/>
      <protection/>
    </xf>
    <xf numFmtId="177" fontId="1" fillId="0" borderId="27" xfId="121" applyNumberFormat="1" applyFont="1" applyFill="1" applyBorder="1">
      <alignment/>
      <protection/>
    </xf>
    <xf numFmtId="177" fontId="1" fillId="0" borderId="20" xfId="121" applyNumberFormat="1" applyFont="1" applyFill="1" applyBorder="1">
      <alignment/>
      <protection/>
    </xf>
    <xf numFmtId="177" fontId="1" fillId="0" borderId="22" xfId="121" applyNumberFormat="1" applyFont="1" applyFill="1" applyBorder="1">
      <alignment/>
      <protection/>
    </xf>
    <xf numFmtId="177" fontId="11" fillId="0" borderId="19" xfId="121" applyNumberFormat="1" applyFont="1" applyFill="1" applyBorder="1">
      <alignment/>
      <protection/>
    </xf>
    <xf numFmtId="177" fontId="2" fillId="0" borderId="29" xfId="121" applyNumberFormat="1" applyFont="1" applyFill="1" applyBorder="1">
      <alignment/>
      <protection/>
    </xf>
    <xf numFmtId="177" fontId="1" fillId="0" borderId="36" xfId="121" applyNumberFormat="1" applyFont="1" applyFill="1" applyBorder="1">
      <alignment/>
      <protection/>
    </xf>
    <xf numFmtId="177" fontId="1" fillId="0" borderId="0" xfId="121" applyNumberFormat="1" applyFont="1" applyFill="1" applyBorder="1">
      <alignment/>
      <protection/>
    </xf>
    <xf numFmtId="177" fontId="2" fillId="0" borderId="30" xfId="121" applyNumberFormat="1" applyFont="1" applyFill="1" applyBorder="1">
      <alignment/>
      <protection/>
    </xf>
    <xf numFmtId="177" fontId="6" fillId="0" borderId="31" xfId="130" applyNumberFormat="1" applyFont="1" applyFill="1" applyBorder="1" applyAlignment="1">
      <alignment/>
    </xf>
    <xf numFmtId="177" fontId="1" fillId="0" borderId="24" xfId="121" applyNumberFormat="1" applyFont="1" applyFill="1" applyBorder="1">
      <alignment/>
      <protection/>
    </xf>
    <xf numFmtId="177" fontId="1" fillId="0" borderId="23" xfId="121" applyNumberFormat="1" applyFont="1" applyFill="1" applyBorder="1">
      <alignment/>
      <protection/>
    </xf>
    <xf numFmtId="177" fontId="1" fillId="0" borderId="52" xfId="121" applyNumberFormat="1" applyFont="1" applyFill="1" applyBorder="1">
      <alignment/>
      <protection/>
    </xf>
    <xf numFmtId="177" fontId="6" fillId="0" borderId="23" xfId="130" applyNumberFormat="1" applyFont="1" applyFill="1" applyBorder="1" applyAlignment="1">
      <alignment/>
    </xf>
    <xf numFmtId="177" fontId="6" fillId="0" borderId="25" xfId="130" applyNumberFormat="1" applyFont="1" applyFill="1" applyBorder="1" applyAlignment="1">
      <alignment/>
    </xf>
    <xf numFmtId="177" fontId="1" fillId="0" borderId="27" xfId="121" applyNumberFormat="1" applyFont="1" applyFill="1" applyBorder="1" applyAlignment="1">
      <alignment/>
      <protection/>
    </xf>
    <xf numFmtId="177" fontId="6" fillId="0" borderId="31" xfId="121" applyNumberFormat="1" applyFont="1" applyFill="1" applyBorder="1">
      <alignment/>
      <protection/>
    </xf>
    <xf numFmtId="9" fontId="6" fillId="0" borderId="31" xfId="130" applyNumberFormat="1" applyFont="1" applyFill="1" applyBorder="1" applyAlignment="1">
      <alignment/>
    </xf>
    <xf numFmtId="9" fontId="6" fillId="0" borderId="26" xfId="130" applyNumberFormat="1" applyFont="1" applyFill="1" applyBorder="1" applyAlignment="1">
      <alignment/>
    </xf>
    <xf numFmtId="177" fontId="1" fillId="0" borderId="20" xfId="121" applyNumberFormat="1" applyFont="1" applyFill="1" applyBorder="1" applyAlignment="1">
      <alignment/>
      <protection/>
    </xf>
    <xf numFmtId="9" fontId="12" fillId="0" borderId="19" xfId="130" applyNumberFormat="1" applyFont="1" applyFill="1" applyBorder="1" applyAlignment="1">
      <alignment/>
    </xf>
    <xf numFmtId="177" fontId="2" fillId="0" borderId="0" xfId="130" applyNumberFormat="1" applyFont="1" applyFill="1" applyAlignment="1">
      <alignment/>
    </xf>
    <xf numFmtId="177" fontId="2" fillId="0" borderId="20" xfId="121" applyNumberFormat="1" applyFont="1" applyFill="1" applyBorder="1" applyAlignment="1">
      <alignment horizontal="left" indent="1"/>
      <protection/>
    </xf>
    <xf numFmtId="177" fontId="6" fillId="0" borderId="24" xfId="121" applyNumberFormat="1" applyFont="1" applyFill="1" applyBorder="1">
      <alignment/>
      <protection/>
    </xf>
    <xf numFmtId="177" fontId="1" fillId="0" borderId="29" xfId="121" applyNumberFormat="1" applyFont="1" applyFill="1" applyBorder="1">
      <alignment/>
      <protection/>
    </xf>
    <xf numFmtId="177" fontId="6" fillId="47" borderId="19" xfId="121" applyNumberFormat="1" applyFont="1" applyFill="1" applyBorder="1">
      <alignment/>
      <protection/>
    </xf>
    <xf numFmtId="177" fontId="2" fillId="0" borderId="24" xfId="121" applyNumberFormat="1" applyFont="1" applyFill="1" applyBorder="1" applyAlignment="1">
      <alignment horizontal="left" indent="1"/>
      <protection/>
    </xf>
    <xf numFmtId="177" fontId="12" fillId="28" borderId="53" xfId="121" applyNumberFormat="1" applyFont="1" applyFill="1" applyBorder="1">
      <alignment/>
      <protection/>
    </xf>
    <xf numFmtId="177" fontId="12" fillId="28" borderId="33" xfId="121" applyNumberFormat="1" applyFont="1" applyFill="1" applyBorder="1">
      <alignment/>
      <protection/>
    </xf>
    <xf numFmtId="177" fontId="12" fillId="28" borderId="33" xfId="85" applyNumberFormat="1" applyFont="1" applyFill="1" applyBorder="1" applyAlignment="1">
      <alignment/>
    </xf>
    <xf numFmtId="177" fontId="12" fillId="0" borderId="32" xfId="121" applyNumberFormat="1" applyFont="1" applyFill="1" applyBorder="1">
      <alignment/>
      <protection/>
    </xf>
    <xf numFmtId="177" fontId="12" fillId="0" borderId="31" xfId="121" applyNumberFormat="1" applyFont="1" applyFill="1" applyBorder="1">
      <alignment/>
      <protection/>
    </xf>
    <xf numFmtId="177" fontId="12" fillId="0" borderId="0" xfId="121" applyNumberFormat="1" applyFont="1" applyFill="1" applyBorder="1">
      <alignment/>
      <protection/>
    </xf>
    <xf numFmtId="177" fontId="12" fillId="0" borderId="36" xfId="121" applyNumberFormat="1" applyFont="1" applyFill="1" applyBorder="1">
      <alignment/>
      <protection/>
    </xf>
    <xf numFmtId="177" fontId="6" fillId="0" borderId="32" xfId="130" applyNumberFormat="1" applyFont="1" applyFill="1" applyBorder="1" applyAlignment="1">
      <alignment/>
    </xf>
    <xf numFmtId="3" fontId="22" fillId="48" borderId="75" xfId="0" applyNumberFormat="1" applyFont="1" applyFill="1" applyBorder="1" applyAlignment="1">
      <alignment/>
    </xf>
    <xf numFmtId="3" fontId="22" fillId="48" borderId="77" xfId="0" applyNumberFormat="1" applyFont="1" applyFill="1" applyBorder="1" applyAlignment="1">
      <alignment/>
    </xf>
    <xf numFmtId="184" fontId="22" fillId="48" borderId="77" xfId="108" applyNumberFormat="1" applyFont="1" applyFill="1" applyBorder="1" applyAlignment="1">
      <alignment/>
    </xf>
    <xf numFmtId="177" fontId="1" fillId="0" borderId="36" xfId="0" applyNumberFormat="1" applyFont="1" applyFill="1" applyBorder="1" applyAlignment="1">
      <alignment/>
    </xf>
    <xf numFmtId="9" fontId="2" fillId="0" borderId="31" xfId="128" applyFont="1" applyFill="1" applyBorder="1" applyAlignment="1">
      <alignment/>
    </xf>
    <xf numFmtId="9" fontId="2" fillId="0" borderId="0" xfId="128" applyFont="1" applyAlignment="1">
      <alignment/>
    </xf>
    <xf numFmtId="9" fontId="2" fillId="0" borderId="0" xfId="128" applyFont="1" applyFill="1" applyAlignment="1">
      <alignment/>
    </xf>
    <xf numFmtId="9" fontId="2" fillId="0" borderId="0" xfId="128" applyFont="1" applyFill="1" applyBorder="1" applyAlignment="1">
      <alignment/>
    </xf>
    <xf numFmtId="181" fontId="2" fillId="0" borderId="29" xfId="128" applyNumberFormat="1" applyFont="1" applyFill="1" applyBorder="1" applyAlignment="1">
      <alignment/>
    </xf>
    <xf numFmtId="177" fontId="2" fillId="17" borderId="0" xfId="121" applyNumberFormat="1" applyFont="1" applyFill="1">
      <alignment/>
      <protection/>
    </xf>
    <xf numFmtId="177" fontId="87" fillId="49" borderId="71" xfId="0" applyNumberFormat="1" applyFont="1" applyFill="1" applyBorder="1" applyAlignment="1">
      <alignment horizontal="center"/>
    </xf>
    <xf numFmtId="177" fontId="87" fillId="49" borderId="73" xfId="0" applyNumberFormat="1" applyFont="1" applyFill="1" applyBorder="1" applyAlignment="1">
      <alignment horizontal="center"/>
    </xf>
    <xf numFmtId="177" fontId="12" fillId="28" borderId="73" xfId="121" applyNumberFormat="1" applyFont="1" applyFill="1" applyBorder="1">
      <alignment/>
      <protection/>
    </xf>
    <xf numFmtId="9" fontId="12" fillId="28" borderId="73" xfId="130" applyNumberFormat="1" applyFont="1" applyFill="1" applyBorder="1" applyAlignment="1">
      <alignment/>
    </xf>
    <xf numFmtId="177" fontId="6" fillId="0" borderId="83" xfId="121" applyNumberFormat="1" applyFont="1" applyFill="1" applyBorder="1">
      <alignment/>
      <protection/>
    </xf>
    <xf numFmtId="177" fontId="6" fillId="0" borderId="83" xfId="130" applyNumberFormat="1" applyFont="1" applyFill="1" applyBorder="1" applyAlignment="1">
      <alignment/>
    </xf>
    <xf numFmtId="9" fontId="1" fillId="28" borderId="33" xfId="128" applyFont="1" applyFill="1" applyBorder="1" applyAlignment="1">
      <alignment/>
    </xf>
    <xf numFmtId="177" fontId="87" fillId="49" borderId="33" xfId="0" applyNumberFormat="1" applyFont="1" applyFill="1" applyBorder="1" applyAlignment="1">
      <alignment horizontal="center"/>
    </xf>
    <xf numFmtId="177" fontId="87" fillId="49" borderId="0" xfId="0" applyNumberFormat="1" applyFont="1" applyFill="1" applyAlignment="1">
      <alignment/>
    </xf>
    <xf numFmtId="177" fontId="87" fillId="49" borderId="71" xfId="0" applyNumberFormat="1" applyFont="1" applyFill="1" applyBorder="1" applyAlignment="1">
      <alignment horizontal="center"/>
    </xf>
    <xf numFmtId="177" fontId="87" fillId="49" borderId="73" xfId="0" applyNumberFormat="1" applyFont="1" applyFill="1" applyBorder="1" applyAlignment="1">
      <alignment horizontal="center"/>
    </xf>
    <xf numFmtId="177" fontId="87" fillId="49" borderId="33" xfId="0" applyNumberFormat="1" applyFont="1" applyFill="1" applyBorder="1" applyAlignment="1">
      <alignment horizontal="center"/>
    </xf>
    <xf numFmtId="177" fontId="88" fillId="0" borderId="71" xfId="0" applyNumberFormat="1" applyFont="1" applyFill="1" applyBorder="1" applyAlignment="1">
      <alignment horizontal="center"/>
    </xf>
    <xf numFmtId="177" fontId="88" fillId="0" borderId="0" xfId="0" applyNumberFormat="1" applyFont="1" applyFill="1" applyAlignment="1">
      <alignment/>
    </xf>
    <xf numFmtId="177" fontId="88" fillId="0" borderId="0" xfId="0" applyNumberFormat="1" applyFont="1" applyAlignment="1">
      <alignment/>
    </xf>
    <xf numFmtId="177" fontId="88" fillId="0" borderId="73" xfId="0" applyNumberFormat="1" applyFont="1" applyFill="1" applyBorder="1" applyAlignment="1">
      <alignment horizontal="center"/>
    </xf>
    <xf numFmtId="177" fontId="87" fillId="0" borderId="71" xfId="0" applyNumberFormat="1" applyFont="1" applyFill="1" applyBorder="1" applyAlignment="1">
      <alignment horizontal="center"/>
    </xf>
    <xf numFmtId="177" fontId="87" fillId="0" borderId="0" xfId="0" applyNumberFormat="1" applyFont="1" applyFill="1" applyAlignment="1">
      <alignment/>
    </xf>
    <xf numFmtId="177" fontId="87" fillId="0" borderId="73" xfId="0" applyNumberFormat="1" applyFont="1" applyFill="1" applyBorder="1" applyAlignment="1">
      <alignment horizontal="center"/>
    </xf>
    <xf numFmtId="177" fontId="87" fillId="49" borderId="33" xfId="0" applyNumberFormat="1" applyFont="1" applyFill="1" applyBorder="1" applyAlignment="1">
      <alignment horizontal="center"/>
    </xf>
    <xf numFmtId="177" fontId="87" fillId="49" borderId="71" xfId="0" applyNumberFormat="1" applyFont="1" applyFill="1" applyBorder="1" applyAlignment="1">
      <alignment horizontal="center"/>
    </xf>
    <xf numFmtId="177" fontId="87" fillId="49" borderId="73" xfId="0" applyNumberFormat="1" applyFont="1" applyFill="1" applyBorder="1" applyAlignment="1">
      <alignment horizontal="center"/>
    </xf>
    <xf numFmtId="177" fontId="2" fillId="48" borderId="19" xfId="0" applyNumberFormat="1" applyFont="1" applyFill="1" applyBorder="1" applyAlignment="1">
      <alignment/>
    </xf>
    <xf numFmtId="177" fontId="1" fillId="48" borderId="19" xfId="83" applyNumberFormat="1" applyFont="1" applyFill="1" applyBorder="1" applyAlignment="1">
      <alignment/>
    </xf>
    <xf numFmtId="177" fontId="2" fillId="48" borderId="23" xfId="83" applyNumberFormat="1" applyFont="1" applyFill="1" applyBorder="1" applyAlignment="1">
      <alignment/>
    </xf>
    <xf numFmtId="177" fontId="2" fillId="48" borderId="19" xfId="83" applyNumberFormat="1" applyFont="1" applyFill="1" applyBorder="1" applyAlignment="1">
      <alignment/>
    </xf>
    <xf numFmtId="177" fontId="1" fillId="48" borderId="20" xfId="83" applyNumberFormat="1" applyFont="1" applyFill="1" applyBorder="1" applyAlignment="1">
      <alignment/>
    </xf>
    <xf numFmtId="177" fontId="2" fillId="48" borderId="22" xfId="83" applyNumberFormat="1" applyFont="1" applyFill="1" applyBorder="1" applyAlignment="1">
      <alignment/>
    </xf>
    <xf numFmtId="9" fontId="2" fillId="0" borderId="19" xfId="128" applyFont="1" applyFill="1" applyBorder="1" applyAlignment="1">
      <alignment/>
    </xf>
    <xf numFmtId="177" fontId="87" fillId="49" borderId="73" xfId="0" applyNumberFormat="1" applyFont="1" applyFill="1" applyBorder="1" applyAlignment="1">
      <alignment horizontal="center"/>
    </xf>
    <xf numFmtId="177" fontId="87" fillId="49" borderId="71" xfId="0" applyNumberFormat="1" applyFont="1" applyFill="1" applyBorder="1" applyAlignment="1">
      <alignment horizontal="center"/>
    </xf>
    <xf numFmtId="177" fontId="87" fillId="49" borderId="73" xfId="0" applyNumberFormat="1" applyFont="1" applyFill="1" applyBorder="1" applyAlignment="1">
      <alignment horizontal="center"/>
    </xf>
    <xf numFmtId="177" fontId="2" fillId="48" borderId="26" xfId="83" applyNumberFormat="1" applyFont="1" applyFill="1" applyBorder="1" applyAlignment="1">
      <alignment/>
    </xf>
    <xf numFmtId="177" fontId="2" fillId="48" borderId="28" xfId="83" applyNumberFormat="1" applyFont="1" applyFill="1" applyBorder="1" applyAlignment="1">
      <alignment/>
    </xf>
    <xf numFmtId="177" fontId="2" fillId="48" borderId="20" xfId="83" applyNumberFormat="1" applyFont="1" applyFill="1" applyBorder="1" applyAlignment="1">
      <alignment/>
    </xf>
    <xf numFmtId="177" fontId="2" fillId="48" borderId="20" xfId="0" applyNumberFormat="1" applyFont="1" applyFill="1" applyBorder="1" applyAlignment="1">
      <alignment/>
    </xf>
    <xf numFmtId="177" fontId="2" fillId="48" borderId="24" xfId="83" applyNumberFormat="1" applyFont="1" applyFill="1" applyBorder="1" applyAlignment="1">
      <alignment/>
    </xf>
    <xf numFmtId="177" fontId="2" fillId="48" borderId="27" xfId="83" applyNumberFormat="1" applyFont="1" applyFill="1" applyBorder="1" applyAlignment="1">
      <alignment/>
    </xf>
    <xf numFmtId="177" fontId="1" fillId="48" borderId="19" xfId="0" applyNumberFormat="1" applyFont="1" applyFill="1" applyBorder="1" applyAlignment="1">
      <alignment/>
    </xf>
    <xf numFmtId="9" fontId="6" fillId="0" borderId="19" xfId="128" applyFont="1" applyFill="1" applyBorder="1" applyAlignment="1">
      <alignment/>
    </xf>
    <xf numFmtId="0" fontId="25" fillId="28" borderId="40" xfId="121" applyFont="1" applyFill="1" applyBorder="1" applyAlignment="1">
      <alignment horizontal="center"/>
      <protection/>
    </xf>
    <xf numFmtId="0" fontId="25" fillId="47" borderId="0" xfId="121" applyFont="1" applyFill="1" applyBorder="1" applyAlignment="1">
      <alignment horizontal="right"/>
      <protection/>
    </xf>
    <xf numFmtId="0" fontId="25" fillId="0" borderId="0" xfId="121" applyFont="1" applyFill="1" applyBorder="1" applyAlignment="1">
      <alignment horizontal="center"/>
      <protection/>
    </xf>
    <xf numFmtId="0" fontId="0" fillId="0" borderId="0" xfId="121" applyFill="1">
      <alignment/>
      <protection/>
    </xf>
    <xf numFmtId="0" fontId="28" fillId="0" borderId="0" xfId="121" applyFont="1">
      <alignment/>
      <protection/>
    </xf>
    <xf numFmtId="177" fontId="2" fillId="48" borderId="22" xfId="0" applyNumberFormat="1" applyFont="1" applyFill="1" applyBorder="1" applyAlignment="1">
      <alignment/>
    </xf>
    <xf numFmtId="177" fontId="2" fillId="48" borderId="31" xfId="0" applyNumberFormat="1" applyFont="1" applyFill="1" applyBorder="1" applyAlignment="1">
      <alignment/>
    </xf>
    <xf numFmtId="177" fontId="1" fillId="48" borderId="33" xfId="0" applyNumberFormat="1" applyFont="1" applyFill="1" applyBorder="1" applyAlignment="1">
      <alignment/>
    </xf>
    <xf numFmtId="177" fontId="2" fillId="48" borderId="29" xfId="0" applyNumberFormat="1" applyFont="1" applyFill="1" applyBorder="1" applyAlignment="1">
      <alignment/>
    </xf>
    <xf numFmtId="177" fontId="2" fillId="48" borderId="23" xfId="0" applyNumberFormat="1" applyFont="1" applyFill="1" applyBorder="1" applyAlignment="1">
      <alignment/>
    </xf>
    <xf numFmtId="177" fontId="2" fillId="48" borderId="36" xfId="0" applyNumberFormat="1" applyFont="1" applyFill="1" applyBorder="1" applyAlignment="1">
      <alignment/>
    </xf>
    <xf numFmtId="177" fontId="1" fillId="48" borderId="31" xfId="0" applyNumberFormat="1" applyFont="1" applyFill="1" applyBorder="1" applyAlignment="1">
      <alignment/>
    </xf>
    <xf numFmtId="177" fontId="2" fillId="48" borderId="26" xfId="0" applyNumberFormat="1" applyFont="1" applyFill="1" applyBorder="1" applyAlignment="1">
      <alignment/>
    </xf>
    <xf numFmtId="177" fontId="2" fillId="48" borderId="19" xfId="121" applyNumberFormat="1" applyFont="1" applyFill="1" applyBorder="1">
      <alignment/>
      <protection/>
    </xf>
    <xf numFmtId="177" fontId="1" fillId="48" borderId="19" xfId="121" applyNumberFormat="1" applyFont="1" applyFill="1" applyBorder="1">
      <alignment/>
      <protection/>
    </xf>
    <xf numFmtId="177" fontId="6" fillId="48" borderId="23" xfId="121" applyNumberFormat="1" applyFont="1" applyFill="1" applyBorder="1">
      <alignment/>
      <protection/>
    </xf>
    <xf numFmtId="177" fontId="1" fillId="48" borderId="23" xfId="121" applyNumberFormat="1" applyFont="1" applyFill="1" applyBorder="1">
      <alignment/>
      <protection/>
    </xf>
    <xf numFmtId="177" fontId="1" fillId="48" borderId="22" xfId="0" applyNumberFormat="1" applyFont="1" applyFill="1" applyBorder="1" applyAlignment="1">
      <alignment/>
    </xf>
    <xf numFmtId="177" fontId="1" fillId="48" borderId="23" xfId="0" applyNumberFormat="1" applyFont="1" applyFill="1" applyBorder="1" applyAlignment="1">
      <alignment/>
    </xf>
    <xf numFmtId="10" fontId="2" fillId="0" borderId="0" xfId="128" applyNumberFormat="1" applyFont="1" applyAlignment="1">
      <alignment/>
    </xf>
    <xf numFmtId="180" fontId="25" fillId="48" borderId="33" xfId="0" applyNumberFormat="1" applyFont="1" applyFill="1" applyBorder="1" applyAlignment="1">
      <alignment/>
    </xf>
    <xf numFmtId="0" fontId="25" fillId="48" borderId="71" xfId="0" applyFont="1" applyFill="1" applyBorder="1" applyAlignment="1">
      <alignment horizontal="center"/>
    </xf>
    <xf numFmtId="0" fontId="25" fillId="48" borderId="78" xfId="0" applyFont="1" applyFill="1" applyBorder="1" applyAlignment="1">
      <alignment horizontal="center"/>
    </xf>
    <xf numFmtId="0" fontId="25" fillId="48" borderId="7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5" fillId="0" borderId="84" xfId="0" applyFont="1" applyFill="1" applyBorder="1" applyAlignment="1">
      <alignment horizontal="center" vertical="center" wrapText="1"/>
    </xf>
    <xf numFmtId="0" fontId="25" fillId="0" borderId="8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7" fontId="87" fillId="49" borderId="71" xfId="0" applyNumberFormat="1" applyFont="1" applyFill="1" applyBorder="1" applyAlignment="1">
      <alignment horizontal="center"/>
    </xf>
    <xf numFmtId="177" fontId="87" fillId="49" borderId="73" xfId="0" applyNumberFormat="1" applyFont="1" applyFill="1" applyBorder="1" applyAlignment="1">
      <alignment horizontal="center"/>
    </xf>
    <xf numFmtId="10" fontId="1" fillId="0" borderId="19" xfId="128" applyNumberFormat="1" applyFont="1" applyFill="1" applyBorder="1" applyAlignment="1">
      <alignment/>
    </xf>
    <xf numFmtId="10" fontId="1" fillId="0" borderId="33" xfId="128" applyNumberFormat="1" applyFont="1" applyFill="1" applyBorder="1" applyAlignment="1">
      <alignment/>
    </xf>
    <xf numFmtId="177" fontId="1" fillId="28" borderId="86" xfId="83" applyNumberFormat="1" applyFont="1" applyFill="1" applyBorder="1" applyAlignment="1">
      <alignment/>
    </xf>
    <xf numFmtId="177" fontId="1" fillId="28" borderId="86" xfId="0" applyNumberFormat="1" applyFont="1" applyFill="1" applyBorder="1" applyAlignment="1">
      <alignment/>
    </xf>
    <xf numFmtId="177" fontId="2" fillId="0" borderId="69" xfId="0" applyNumberFormat="1" applyFont="1" applyFill="1" applyBorder="1" applyAlignment="1">
      <alignment/>
    </xf>
    <xf numFmtId="177" fontId="12" fillId="28" borderId="86" xfId="0" applyNumberFormat="1" applyFont="1" applyFill="1" applyBorder="1" applyAlignment="1">
      <alignment/>
    </xf>
    <xf numFmtId="177" fontId="1" fillId="28" borderId="53" xfId="83" applyNumberFormat="1" applyFont="1" applyFill="1" applyBorder="1" applyAlignment="1">
      <alignment/>
    </xf>
    <xf numFmtId="177" fontId="1" fillId="28" borderId="53" xfId="0" applyNumberFormat="1" applyFont="1" applyFill="1" applyBorder="1" applyAlignment="1">
      <alignment/>
    </xf>
    <xf numFmtId="177" fontId="12" fillId="28" borderId="53" xfId="0" applyNumberFormat="1" applyFont="1" applyFill="1" applyBorder="1" applyAlignment="1">
      <alignment/>
    </xf>
    <xf numFmtId="177" fontId="1" fillId="50" borderId="71" xfId="0" applyNumberFormat="1" applyFont="1" applyFill="1" applyBorder="1" applyAlignment="1">
      <alignment horizontal="center"/>
    </xf>
    <xf numFmtId="177" fontId="12" fillId="50" borderId="71" xfId="0" applyNumberFormat="1" applyFont="1" applyFill="1" applyBorder="1" applyAlignment="1">
      <alignment horizontal="center"/>
    </xf>
    <xf numFmtId="177" fontId="1" fillId="50" borderId="72" xfId="0" applyNumberFormat="1" applyFont="1" applyFill="1" applyBorder="1" applyAlignment="1">
      <alignment horizontal="center"/>
    </xf>
    <xf numFmtId="177" fontId="2" fillId="50" borderId="73" xfId="0" applyNumberFormat="1" applyFont="1" applyFill="1" applyBorder="1" applyAlignment="1">
      <alignment horizontal="center"/>
    </xf>
    <xf numFmtId="177" fontId="1" fillId="50" borderId="73" xfId="0" applyNumberFormat="1" applyFont="1" applyFill="1" applyBorder="1" applyAlignment="1">
      <alignment horizontal="center"/>
    </xf>
    <xf numFmtId="177" fontId="1" fillId="50" borderId="74" xfId="0" applyNumberFormat="1" applyFont="1" applyFill="1" applyBorder="1" applyAlignment="1">
      <alignment horizontal="center"/>
    </xf>
    <xf numFmtId="177" fontId="12" fillId="50" borderId="73" xfId="0" applyNumberFormat="1" applyFont="1" applyFill="1" applyBorder="1" applyAlignment="1">
      <alignment horizontal="center"/>
    </xf>
    <xf numFmtId="177" fontId="1" fillId="50" borderId="33" xfId="0" applyNumberFormat="1" applyFont="1" applyFill="1" applyBorder="1" applyAlignment="1">
      <alignment/>
    </xf>
    <xf numFmtId="9" fontId="1" fillId="50" borderId="33" xfId="128" applyNumberFormat="1" applyFont="1" applyFill="1" applyBorder="1" applyAlignment="1">
      <alignment/>
    </xf>
    <xf numFmtId="0" fontId="22" fillId="48" borderId="76" xfId="0" applyFont="1" applyFill="1" applyBorder="1" applyAlignment="1">
      <alignment horizontal="left" indent="1"/>
    </xf>
    <xf numFmtId="177" fontId="2" fillId="48" borderId="29" xfId="121" applyNumberFormat="1" applyFont="1" applyFill="1" applyBorder="1">
      <alignment/>
      <protection/>
    </xf>
    <xf numFmtId="177" fontId="88" fillId="48" borderId="19" xfId="121" applyNumberFormat="1" applyFont="1" applyFill="1" applyBorder="1">
      <alignment/>
      <protection/>
    </xf>
    <xf numFmtId="177" fontId="6" fillId="48" borderId="24" xfId="121" applyNumberFormat="1" applyFont="1" applyFill="1" applyBorder="1">
      <alignment/>
      <protection/>
    </xf>
    <xf numFmtId="177" fontId="2" fillId="48" borderId="20" xfId="121" applyNumberFormat="1" applyFont="1" applyFill="1" applyBorder="1">
      <alignment/>
      <protection/>
    </xf>
    <xf numFmtId="177" fontId="89" fillId="48" borderId="29" xfId="121" applyNumberFormat="1" applyFont="1" applyFill="1" applyBorder="1">
      <alignment/>
      <protection/>
    </xf>
    <xf numFmtId="177" fontId="88" fillId="48" borderId="29" xfId="121" applyNumberFormat="1" applyFont="1" applyFill="1" applyBorder="1">
      <alignment/>
      <protection/>
    </xf>
    <xf numFmtId="177" fontId="2" fillId="48" borderId="58" xfId="0" applyNumberFormat="1" applyFont="1" applyFill="1" applyBorder="1" applyAlignment="1">
      <alignment horizontal="left" indent="1"/>
    </xf>
    <xf numFmtId="0" fontId="2" fillId="48" borderId="58" xfId="0" applyNumberFormat="1" applyFont="1" applyFill="1" applyBorder="1" applyAlignment="1">
      <alignment horizontal="left" indent="2"/>
    </xf>
    <xf numFmtId="177" fontId="1" fillId="48" borderId="20" xfId="0" applyNumberFormat="1" applyFont="1" applyFill="1" applyBorder="1" applyAlignment="1">
      <alignment/>
    </xf>
    <xf numFmtId="177" fontId="1" fillId="48" borderId="58" xfId="0" applyNumberFormat="1" applyFont="1" applyFill="1" applyBorder="1" applyAlignment="1">
      <alignment/>
    </xf>
    <xf numFmtId="177" fontId="1" fillId="48" borderId="22" xfId="83" applyNumberFormat="1" applyFont="1" applyFill="1" applyBorder="1" applyAlignment="1">
      <alignment/>
    </xf>
    <xf numFmtId="177" fontId="12" fillId="48" borderId="19" xfId="0" applyNumberFormat="1" applyFont="1" applyFill="1" applyBorder="1" applyAlignment="1">
      <alignment/>
    </xf>
    <xf numFmtId="177" fontId="6" fillId="48" borderId="19" xfId="0" applyNumberFormat="1" applyFont="1" applyFill="1" applyBorder="1" applyAlignment="1">
      <alignment/>
    </xf>
    <xf numFmtId="177" fontId="6" fillId="48" borderId="23" xfId="0" applyNumberFormat="1" applyFont="1" applyFill="1" applyBorder="1" applyAlignment="1">
      <alignment/>
    </xf>
    <xf numFmtId="18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8" fillId="0" borderId="40" xfId="0" applyFont="1" applyFill="1" applyBorder="1" applyAlignment="1">
      <alignment horizontal="center"/>
    </xf>
    <xf numFmtId="0" fontId="0" fillId="0" borderId="40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184" fontId="8" fillId="0" borderId="40" xfId="0" applyNumberFormat="1" applyFont="1" applyFill="1" applyBorder="1" applyAlignment="1">
      <alignment/>
    </xf>
    <xf numFmtId="184" fontId="0" fillId="0" borderId="40" xfId="0" applyNumberFormat="1" applyFont="1" applyFill="1" applyBorder="1" applyAlignment="1">
      <alignment/>
    </xf>
    <xf numFmtId="184" fontId="0" fillId="0" borderId="40" xfId="99" applyNumberFormat="1" applyFont="1" applyFill="1" applyBorder="1" applyAlignment="1">
      <alignment/>
    </xf>
    <xf numFmtId="184" fontId="8" fillId="0" borderId="40" xfId="99" applyNumberFormat="1" applyFont="1" applyFill="1" applyBorder="1" applyAlignment="1">
      <alignment/>
    </xf>
    <xf numFmtId="195" fontId="0" fillId="0" borderId="40" xfId="99" applyNumberFormat="1" applyFont="1" applyFill="1" applyBorder="1" applyAlignment="1">
      <alignment/>
    </xf>
    <xf numFmtId="14" fontId="2" fillId="0" borderId="0" xfId="0" applyNumberFormat="1" applyFont="1" applyFill="1" applyAlignment="1">
      <alignment/>
    </xf>
    <xf numFmtId="180" fontId="25" fillId="47" borderId="71" xfId="110" applyNumberFormat="1" applyFont="1" applyFill="1" applyBorder="1" applyAlignment="1">
      <alignment horizontal="center"/>
    </xf>
    <xf numFmtId="180" fontId="25" fillId="47" borderId="68" xfId="110" applyNumberFormat="1" applyFont="1" applyFill="1" applyBorder="1" applyAlignment="1">
      <alignment horizontal="center"/>
    </xf>
    <xf numFmtId="180" fontId="25" fillId="0" borderId="87" xfId="109" applyNumberFormat="1" applyFont="1" applyFill="1" applyBorder="1" applyAlignment="1">
      <alignment/>
    </xf>
    <xf numFmtId="180" fontId="25" fillId="0" borderId="68" xfId="88" applyNumberFormat="1" applyFont="1" applyFill="1" applyBorder="1" applyAlignment="1">
      <alignment/>
    </xf>
    <xf numFmtId="180" fontId="25" fillId="0" borderId="78" xfId="88" applyNumberFormat="1" applyFont="1" applyFill="1" applyBorder="1" applyAlignment="1">
      <alignment/>
    </xf>
    <xf numFmtId="180" fontId="25" fillId="0" borderId="68" xfId="110" applyNumberFormat="1" applyFont="1" applyFill="1" applyBorder="1" applyAlignment="1">
      <alignment horizontal="center"/>
    </xf>
    <xf numFmtId="180" fontId="25" fillId="0" borderId="68" xfId="110" applyNumberFormat="1" applyFont="1" applyFill="1" applyBorder="1" applyAlignment="1">
      <alignment horizontal="right"/>
    </xf>
    <xf numFmtId="10" fontId="25" fillId="0" borderId="87" xfId="132" applyNumberFormat="1" applyFont="1" applyFill="1" applyBorder="1" applyAlignment="1">
      <alignment horizontal="right"/>
    </xf>
    <xf numFmtId="10" fontId="25" fillId="0" borderId="87" xfId="132" applyNumberFormat="1" applyFont="1" applyFill="1" applyBorder="1" applyAlignment="1">
      <alignment horizontal="center"/>
    </xf>
    <xf numFmtId="180" fontId="22" fillId="47" borderId="88" xfId="109" applyNumberFormat="1" applyFont="1" applyFill="1" applyBorder="1" applyAlignment="1">
      <alignment/>
    </xf>
    <xf numFmtId="180" fontId="22" fillId="47" borderId="87" xfId="109" applyNumberFormat="1" applyFont="1" applyFill="1" applyBorder="1" applyAlignment="1">
      <alignment/>
    </xf>
    <xf numFmtId="180" fontId="22" fillId="0" borderId="87" xfId="109" applyNumberFormat="1" applyFont="1" applyFill="1" applyBorder="1" applyAlignment="1">
      <alignment/>
    </xf>
    <xf numFmtId="180" fontId="25" fillId="0" borderId="87" xfId="88" applyNumberFormat="1" applyFont="1" applyFill="1" applyBorder="1" applyAlignment="1">
      <alignment/>
    </xf>
    <xf numFmtId="180" fontId="25" fillId="0" borderId="89" xfId="88" applyNumberFormat="1" applyFont="1" applyFill="1" applyBorder="1" applyAlignment="1">
      <alignment/>
    </xf>
    <xf numFmtId="180" fontId="25" fillId="0" borderId="88" xfId="88" applyNumberFormat="1" applyFont="1" applyFill="1" applyBorder="1" applyAlignment="1">
      <alignment/>
    </xf>
    <xf numFmtId="180" fontId="22" fillId="0" borderId="87" xfId="88" applyNumberFormat="1" applyFont="1" applyFill="1" applyBorder="1" applyAlignment="1">
      <alignment/>
    </xf>
    <xf numFmtId="10" fontId="22" fillId="0" borderId="87" xfId="132" applyNumberFormat="1" applyFont="1" applyFill="1" applyBorder="1" applyAlignment="1">
      <alignment horizontal="right"/>
    </xf>
    <xf numFmtId="184" fontId="22" fillId="0" borderId="87" xfId="109" applyNumberFormat="1" applyFont="1" applyFill="1" applyBorder="1" applyAlignment="1">
      <alignment/>
    </xf>
    <xf numFmtId="180" fontId="25" fillId="47" borderId="90" xfId="110" applyNumberFormat="1" applyFont="1" applyFill="1" applyBorder="1" applyAlignment="1">
      <alignment/>
    </xf>
    <xf numFmtId="180" fontId="25" fillId="47" borderId="91" xfId="110" applyNumberFormat="1" applyFont="1" applyFill="1" applyBorder="1" applyAlignment="1">
      <alignment/>
    </xf>
    <xf numFmtId="180" fontId="22" fillId="0" borderId="89" xfId="88" applyNumberFormat="1" applyFont="1" applyFill="1" applyBorder="1" applyAlignment="1">
      <alignment/>
    </xf>
    <xf numFmtId="180" fontId="22" fillId="0" borderId="88" xfId="88" applyNumberFormat="1" applyFont="1" applyFill="1" applyBorder="1" applyAlignment="1">
      <alignment/>
    </xf>
    <xf numFmtId="180" fontId="22" fillId="0" borderId="87" xfId="111" applyNumberFormat="1" applyFont="1" applyFill="1" applyBorder="1" applyAlignment="1">
      <alignment/>
    </xf>
    <xf numFmtId="180" fontId="90" fillId="0" borderId="87" xfId="88" applyNumberFormat="1" applyFont="1" applyFill="1" applyBorder="1" applyAlignment="1">
      <alignment/>
    </xf>
    <xf numFmtId="180" fontId="22" fillId="0" borderId="68" xfId="88" applyNumberFormat="1" applyFont="1" applyFill="1" applyBorder="1" applyAlignment="1">
      <alignment/>
    </xf>
    <xf numFmtId="180" fontId="22" fillId="0" borderId="87" xfId="132" applyNumberFormat="1" applyFont="1" applyFill="1" applyBorder="1" applyAlignment="1">
      <alignment/>
    </xf>
    <xf numFmtId="180" fontId="22" fillId="0" borderId="87" xfId="129" applyNumberFormat="1" applyFont="1" applyFill="1" applyBorder="1" applyAlignment="1">
      <alignment/>
    </xf>
    <xf numFmtId="10" fontId="22" fillId="0" borderId="87" xfId="132" applyNumberFormat="1" applyFont="1" applyFill="1" applyBorder="1" applyAlignment="1">
      <alignment horizontal="center"/>
    </xf>
    <xf numFmtId="180" fontId="25" fillId="47" borderId="88" xfId="109" applyNumberFormat="1" applyFont="1" applyFill="1" applyBorder="1" applyAlignment="1">
      <alignment/>
    </xf>
    <xf numFmtId="180" fontId="25" fillId="47" borderId="87" xfId="109" applyNumberFormat="1" applyFont="1" applyFill="1" applyBorder="1" applyAlignment="1">
      <alignment/>
    </xf>
    <xf numFmtId="180" fontId="22" fillId="47" borderId="88" xfId="132" applyNumberFormat="1" applyFont="1" applyFill="1" applyBorder="1" applyAlignment="1">
      <alignment/>
    </xf>
    <xf numFmtId="180" fontId="22" fillId="47" borderId="87" xfId="132" applyNumberFormat="1" applyFont="1" applyFill="1" applyBorder="1" applyAlignment="1">
      <alignment/>
    </xf>
    <xf numFmtId="180" fontId="23" fillId="0" borderId="87" xfId="109" applyNumberFormat="1" applyFont="1" applyFill="1" applyBorder="1" applyAlignment="1">
      <alignment/>
    </xf>
    <xf numFmtId="180" fontId="25" fillId="0" borderId="88" xfId="109" applyNumberFormat="1" applyFont="1" applyFill="1" applyBorder="1" applyAlignment="1">
      <alignment/>
    </xf>
    <xf numFmtId="10" fontId="25" fillId="0" borderId="68" xfId="132" applyNumberFormat="1" applyFont="1" applyFill="1" applyBorder="1" applyAlignment="1">
      <alignment horizontal="right"/>
    </xf>
    <xf numFmtId="180" fontId="22" fillId="47" borderId="92" xfId="109" applyNumberFormat="1" applyFont="1" applyFill="1" applyBorder="1" applyAlignment="1">
      <alignment/>
    </xf>
    <xf numFmtId="180" fontId="22" fillId="47" borderId="93" xfId="109" applyNumberFormat="1" applyFont="1" applyFill="1" applyBorder="1" applyAlignment="1">
      <alignment/>
    </xf>
    <xf numFmtId="180" fontId="22" fillId="0" borderId="93" xfId="88" applyNumberFormat="1" applyFont="1" applyFill="1" applyBorder="1" applyAlignment="1">
      <alignment/>
    </xf>
    <xf numFmtId="180" fontId="22" fillId="0" borderId="94" xfId="88" applyNumberFormat="1" applyFont="1" applyFill="1" applyBorder="1" applyAlignment="1">
      <alignment/>
    </xf>
    <xf numFmtId="180" fontId="22" fillId="0" borderId="92" xfId="88" applyNumberFormat="1" applyFont="1" applyFill="1" applyBorder="1" applyAlignment="1">
      <alignment/>
    </xf>
    <xf numFmtId="180" fontId="22" fillId="0" borderId="93" xfId="109" applyNumberFormat="1" applyFont="1" applyFill="1" applyBorder="1" applyAlignment="1">
      <alignment/>
    </xf>
    <xf numFmtId="180" fontId="22" fillId="0" borderId="92" xfId="109" applyNumberFormat="1" applyFont="1" applyFill="1" applyBorder="1" applyAlignment="1">
      <alignment/>
    </xf>
    <xf numFmtId="180" fontId="22" fillId="47" borderId="93" xfId="88" applyNumberFormat="1" applyFont="1" applyFill="1" applyBorder="1" applyAlignment="1">
      <alignment/>
    </xf>
    <xf numFmtId="180" fontId="22" fillId="0" borderId="93" xfId="129" applyNumberFormat="1" applyFont="1" applyFill="1" applyBorder="1" applyAlignment="1">
      <alignment/>
    </xf>
    <xf numFmtId="10" fontId="22" fillId="0" borderId="93" xfId="132" applyNumberFormat="1" applyFont="1" applyFill="1" applyBorder="1" applyAlignment="1">
      <alignment horizontal="center"/>
    </xf>
    <xf numFmtId="9" fontId="22" fillId="0" borderId="93" xfId="132" applyFont="1" applyFill="1" applyBorder="1" applyAlignment="1">
      <alignment/>
    </xf>
    <xf numFmtId="10" fontId="22" fillId="0" borderId="93" xfId="132" applyNumberFormat="1" applyFont="1" applyFill="1" applyBorder="1" applyAlignment="1">
      <alignment horizontal="right"/>
    </xf>
    <xf numFmtId="184" fontId="22" fillId="0" borderId="93" xfId="109" applyNumberFormat="1" applyFont="1" applyFill="1" applyBorder="1" applyAlignment="1">
      <alignment/>
    </xf>
    <xf numFmtId="180" fontId="25" fillId="51" borderId="33" xfId="0" applyNumberFormat="1" applyFont="1" applyFill="1" applyBorder="1" applyAlignment="1">
      <alignment/>
    </xf>
    <xf numFmtId="10" fontId="25" fillId="48" borderId="95" xfId="132" applyNumberFormat="1" applyFont="1" applyFill="1" applyBorder="1" applyAlignment="1">
      <alignment horizontal="center"/>
    </xf>
    <xf numFmtId="10" fontId="25" fillId="0" borderId="95" xfId="132" applyNumberFormat="1" applyFont="1" applyFill="1" applyBorder="1" applyAlignment="1">
      <alignment/>
    </xf>
    <xf numFmtId="184" fontId="26" fillId="48" borderId="40" xfId="111" applyNumberFormat="1" applyFont="1" applyFill="1" applyBorder="1" applyAlignment="1">
      <alignment/>
    </xf>
    <xf numFmtId="184" fontId="26" fillId="12" borderId="40" xfId="111" applyNumberFormat="1" applyFont="1" applyFill="1" applyBorder="1" applyAlignment="1">
      <alignment/>
    </xf>
    <xf numFmtId="184" fontId="26" fillId="0" borderId="0" xfId="111" applyNumberFormat="1" applyFont="1" applyFill="1" applyBorder="1" applyAlignment="1">
      <alignment/>
    </xf>
    <xf numFmtId="185" fontId="2" fillId="0" borderId="0" xfId="88" applyNumberFormat="1" applyFont="1" applyFill="1" applyAlignment="1">
      <alignment/>
    </xf>
    <xf numFmtId="182" fontId="2" fillId="0" borderId="0" xfId="88" applyNumberFormat="1" applyFont="1" applyFill="1" applyAlignment="1">
      <alignment/>
    </xf>
    <xf numFmtId="0" fontId="2" fillId="0" borderId="0" xfId="0" applyFont="1" applyFill="1" applyAlignment="1" quotePrefix="1">
      <alignment/>
    </xf>
    <xf numFmtId="185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/>
    </xf>
    <xf numFmtId="0" fontId="22" fillId="0" borderId="0" xfId="121" applyFont="1">
      <alignment/>
      <protection/>
    </xf>
    <xf numFmtId="0" fontId="22" fillId="0" borderId="0" xfId="121" applyFont="1">
      <alignment/>
      <protection/>
    </xf>
    <xf numFmtId="0" fontId="22" fillId="0" borderId="38" xfId="121" applyFont="1" applyFill="1" applyBorder="1" applyAlignment="1">
      <alignment horizontal="left" wrapText="1"/>
      <protection/>
    </xf>
    <xf numFmtId="0" fontId="22" fillId="0" borderId="96" xfId="121" applyFont="1" applyFill="1" applyBorder="1" applyAlignment="1">
      <alignment horizontal="left" wrapText="1"/>
      <protection/>
    </xf>
    <xf numFmtId="184" fontId="22" fillId="0" borderId="40" xfId="92" applyNumberFormat="1" applyFont="1" applyFill="1" applyBorder="1" applyAlignment="1">
      <alignment/>
    </xf>
    <xf numFmtId="184" fontId="22" fillId="0" borderId="40" xfId="92" applyNumberFormat="1" applyFont="1" applyFill="1" applyBorder="1" applyAlignment="1">
      <alignment/>
    </xf>
    <xf numFmtId="184" fontId="25" fillId="28" borderId="40" xfId="121" applyNumberFormat="1" applyFont="1" applyFill="1" applyBorder="1">
      <alignment/>
      <protection/>
    </xf>
    <xf numFmtId="0" fontId="25" fillId="0" borderId="38" xfId="121" applyFont="1" applyFill="1" applyBorder="1" applyAlignment="1">
      <alignment horizontal="left" wrapText="1"/>
      <protection/>
    </xf>
    <xf numFmtId="0" fontId="25" fillId="0" borderId="96" xfId="121" applyFont="1" applyFill="1" applyBorder="1" applyAlignment="1">
      <alignment horizontal="left" wrapText="1"/>
      <protection/>
    </xf>
    <xf numFmtId="184" fontId="25" fillId="0" borderId="40" xfId="92" applyNumberFormat="1" applyFont="1" applyFill="1" applyBorder="1" applyAlignment="1">
      <alignment/>
    </xf>
    <xf numFmtId="0" fontId="22" fillId="0" borderId="38" xfId="121" applyFont="1" applyFill="1" applyBorder="1" applyAlignment="1">
      <alignment horizontal="left" wrapText="1"/>
      <protection/>
    </xf>
    <xf numFmtId="0" fontId="22" fillId="0" borderId="96" xfId="121" applyFont="1" applyFill="1" applyBorder="1" applyAlignment="1">
      <alignment horizontal="left" wrapText="1"/>
      <protection/>
    </xf>
    <xf numFmtId="0" fontId="22" fillId="47" borderId="0" xfId="121" applyFont="1" applyFill="1" applyBorder="1">
      <alignment/>
      <protection/>
    </xf>
    <xf numFmtId="0" fontId="22" fillId="0" borderId="0" xfId="121" applyFont="1" applyFill="1">
      <alignment/>
      <protection/>
    </xf>
    <xf numFmtId="184" fontId="22" fillId="48" borderId="40" xfId="92" applyNumberFormat="1" applyFont="1" applyFill="1" applyBorder="1" applyAlignment="1">
      <alignment/>
    </xf>
    <xf numFmtId="184" fontId="22" fillId="48" borderId="40" xfId="92" applyNumberFormat="1" applyFont="1" applyFill="1" applyBorder="1" applyAlignment="1">
      <alignment/>
    </xf>
    <xf numFmtId="184" fontId="22" fillId="0" borderId="40" xfId="121" applyNumberFormat="1" applyFont="1" applyFill="1" applyBorder="1">
      <alignment/>
      <protection/>
    </xf>
    <xf numFmtId="184" fontId="22" fillId="0" borderId="40" xfId="121" applyNumberFormat="1" applyFont="1" applyFill="1" applyBorder="1">
      <alignment/>
      <protection/>
    </xf>
    <xf numFmtId="184" fontId="22" fillId="48" borderId="40" xfId="121" applyNumberFormat="1" applyFont="1" applyFill="1" applyBorder="1">
      <alignment/>
      <protection/>
    </xf>
    <xf numFmtId="0" fontId="22" fillId="0" borderId="38" xfId="121" applyFont="1" applyFill="1" applyBorder="1" applyAlignment="1">
      <alignment horizontal="left"/>
      <protection/>
    </xf>
    <xf numFmtId="0" fontId="22" fillId="0" borderId="96" xfId="121" applyFont="1" applyFill="1" applyBorder="1" applyAlignment="1">
      <alignment horizontal="left"/>
      <protection/>
    </xf>
    <xf numFmtId="0" fontId="22" fillId="0" borderId="0" xfId="121" applyFont="1" applyFill="1" applyBorder="1">
      <alignment/>
      <protection/>
    </xf>
    <xf numFmtId="184" fontId="25" fillId="48" borderId="40" xfId="92" applyNumberFormat="1" applyFont="1" applyFill="1" applyBorder="1" applyAlignment="1">
      <alignment/>
    </xf>
    <xf numFmtId="3" fontId="31" fillId="0" borderId="97" xfId="121" applyNumberFormat="1" applyFont="1" applyFill="1" applyBorder="1" applyAlignment="1">
      <alignment horizontal="centerContinuous"/>
      <protection/>
    </xf>
    <xf numFmtId="0" fontId="32" fillId="0" borderId="0" xfId="121" applyFont="1" applyFill="1">
      <alignment/>
      <protection/>
    </xf>
    <xf numFmtId="0" fontId="25" fillId="0" borderId="98" xfId="121" applyFont="1" applyFill="1" applyBorder="1" applyAlignment="1">
      <alignment horizontal="center" vertical="center"/>
      <protection/>
    </xf>
    <xf numFmtId="0" fontId="25" fillId="0" borderId="84" xfId="121" applyFont="1" applyFill="1" applyBorder="1" applyAlignment="1">
      <alignment horizontal="center" vertical="center" wrapText="1"/>
      <protection/>
    </xf>
    <xf numFmtId="3" fontId="25" fillId="0" borderId="76" xfId="121" applyNumberFormat="1" applyFont="1" applyFill="1" applyBorder="1" applyAlignment="1">
      <alignment/>
      <protection/>
    </xf>
    <xf numFmtId="0" fontId="22" fillId="0" borderId="75" xfId="121" applyFont="1" applyFill="1" applyBorder="1">
      <alignment/>
      <protection/>
    </xf>
    <xf numFmtId="0" fontId="22" fillId="0" borderId="99" xfId="121" applyFont="1" applyFill="1" applyBorder="1">
      <alignment/>
      <protection/>
    </xf>
    <xf numFmtId="3" fontId="25" fillId="0" borderId="76" xfId="121" applyNumberFormat="1" applyFont="1" applyFill="1" applyBorder="1" applyAlignment="1">
      <alignment/>
      <protection/>
    </xf>
    <xf numFmtId="3" fontId="25" fillId="0" borderId="75" xfId="121" applyNumberFormat="1" applyFont="1" applyFill="1" applyBorder="1">
      <alignment/>
      <protection/>
    </xf>
    <xf numFmtId="10" fontId="25" fillId="0" borderId="99" xfId="129" applyNumberFormat="1" applyFont="1" applyFill="1" applyBorder="1" applyAlignment="1">
      <alignment/>
    </xf>
    <xf numFmtId="3" fontId="22" fillId="0" borderId="76" xfId="121" applyNumberFormat="1" applyFont="1" applyFill="1" applyBorder="1" applyAlignment="1">
      <alignment/>
      <protection/>
    </xf>
    <xf numFmtId="3" fontId="22" fillId="47" borderId="75" xfId="121" applyNumberFormat="1" applyFont="1" applyFill="1" applyBorder="1">
      <alignment/>
      <protection/>
    </xf>
    <xf numFmtId="3" fontId="22" fillId="0" borderId="75" xfId="121" applyNumberFormat="1" applyFont="1" applyFill="1" applyBorder="1">
      <alignment/>
      <protection/>
    </xf>
    <xf numFmtId="10" fontId="22" fillId="0" borderId="99" xfId="129" applyNumberFormat="1" applyFont="1" applyFill="1" applyBorder="1" applyAlignment="1">
      <alignment/>
    </xf>
    <xf numFmtId="3" fontId="0" fillId="0" borderId="0" xfId="121" applyNumberFormat="1" applyFill="1">
      <alignment/>
      <protection/>
    </xf>
    <xf numFmtId="3" fontId="22" fillId="48" borderId="75" xfId="121" applyNumberFormat="1" applyFont="1" applyFill="1" applyBorder="1">
      <alignment/>
      <protection/>
    </xf>
    <xf numFmtId="0" fontId="25" fillId="0" borderId="76" xfId="121" applyFont="1" applyFill="1" applyBorder="1" applyAlignment="1">
      <alignment/>
      <protection/>
    </xf>
    <xf numFmtId="3" fontId="25" fillId="48" borderId="75" xfId="121" applyNumberFormat="1" applyFont="1" applyFill="1" applyBorder="1">
      <alignment/>
      <protection/>
    </xf>
    <xf numFmtId="0" fontId="22" fillId="0" borderId="76" xfId="121" applyFont="1" applyFill="1" applyBorder="1" applyAlignment="1">
      <alignment/>
      <protection/>
    </xf>
    <xf numFmtId="177" fontId="22" fillId="48" borderId="19" xfId="121" applyNumberFormat="1" applyFont="1" applyFill="1" applyBorder="1">
      <alignment/>
      <protection/>
    </xf>
    <xf numFmtId="3" fontId="22" fillId="0" borderId="75" xfId="121" applyNumberFormat="1" applyFont="1" applyFill="1" applyBorder="1">
      <alignment/>
      <protection/>
    </xf>
    <xf numFmtId="3" fontId="22" fillId="48" borderId="75" xfId="121" applyNumberFormat="1" applyFont="1" applyFill="1" applyBorder="1">
      <alignment/>
      <protection/>
    </xf>
    <xf numFmtId="3" fontId="25" fillId="0" borderId="75" xfId="121" applyNumberFormat="1" applyFont="1" applyFill="1" applyBorder="1">
      <alignment/>
      <protection/>
    </xf>
    <xf numFmtId="179" fontId="32" fillId="0" borderId="0" xfId="92" applyFont="1" applyFill="1" applyAlignment="1">
      <alignment/>
    </xf>
    <xf numFmtId="0" fontId="25" fillId="10" borderId="76" xfId="121" applyFont="1" applyFill="1" applyBorder="1" applyAlignment="1">
      <alignment wrapText="1"/>
      <protection/>
    </xf>
    <xf numFmtId="3" fontId="25" fillId="10" borderId="75" xfId="121" applyNumberFormat="1" applyFont="1" applyFill="1" applyBorder="1">
      <alignment/>
      <protection/>
    </xf>
    <xf numFmtId="10" fontId="25" fillId="10" borderId="99" xfId="129" applyNumberFormat="1" applyFont="1" applyFill="1" applyBorder="1" applyAlignment="1">
      <alignment/>
    </xf>
    <xf numFmtId="0" fontId="0" fillId="48" borderId="0" xfId="121" applyFill="1">
      <alignment/>
      <protection/>
    </xf>
    <xf numFmtId="37" fontId="25" fillId="48" borderId="76" xfId="121" applyNumberFormat="1" applyFont="1" applyFill="1" applyBorder="1" applyAlignment="1">
      <alignment/>
      <protection/>
    </xf>
    <xf numFmtId="10" fontId="25" fillId="48" borderId="99" xfId="129" applyNumberFormat="1" applyFont="1" applyFill="1" applyBorder="1" applyAlignment="1">
      <alignment/>
    </xf>
    <xf numFmtId="0" fontId="8" fillId="0" borderId="0" xfId="121" applyFont="1" applyFill="1">
      <alignment/>
      <protection/>
    </xf>
    <xf numFmtId="0" fontId="22" fillId="48" borderId="76" xfId="121" applyFont="1" applyFill="1" applyBorder="1" applyAlignment="1">
      <alignment horizontal="left" indent="1"/>
      <protection/>
    </xf>
    <xf numFmtId="10" fontId="22" fillId="48" borderId="99" xfId="129" applyNumberFormat="1" applyFont="1" applyFill="1" applyBorder="1" applyAlignment="1">
      <alignment/>
    </xf>
    <xf numFmtId="0" fontId="22" fillId="0" borderId="76" xfId="121" applyFont="1" applyFill="1" applyBorder="1" applyAlignment="1">
      <alignment horizontal="left" indent="1"/>
      <protection/>
    </xf>
    <xf numFmtId="3" fontId="25" fillId="48" borderId="75" xfId="121" applyNumberFormat="1" applyFont="1" applyFill="1" applyBorder="1">
      <alignment/>
      <protection/>
    </xf>
    <xf numFmtId="37" fontId="22" fillId="48" borderId="76" xfId="121" applyNumberFormat="1" applyFont="1" applyFill="1" applyBorder="1" applyAlignment="1">
      <alignment horizontal="left"/>
      <protection/>
    </xf>
    <xf numFmtId="37" fontId="25" fillId="48" borderId="76" xfId="121" applyNumberFormat="1" applyFont="1" applyFill="1" applyBorder="1" applyAlignment="1">
      <alignment horizontal="left" wrapText="1"/>
      <protection/>
    </xf>
    <xf numFmtId="37" fontId="22" fillId="48" borderId="76" xfId="121" applyNumberFormat="1" applyFont="1" applyFill="1" applyBorder="1" applyAlignment="1">
      <alignment horizontal="left"/>
      <protection/>
    </xf>
    <xf numFmtId="37" fontId="25" fillId="48" borderId="76" xfId="121" applyNumberFormat="1" applyFont="1" applyFill="1" applyBorder="1" applyAlignment="1">
      <alignment horizontal="left"/>
      <protection/>
    </xf>
    <xf numFmtId="37" fontId="22" fillId="0" borderId="76" xfId="121" applyNumberFormat="1" applyFont="1" applyFill="1" applyBorder="1" applyAlignment="1">
      <alignment horizontal="left"/>
      <protection/>
    </xf>
    <xf numFmtId="3" fontId="25" fillId="48" borderId="76" xfId="121" applyNumberFormat="1" applyFont="1" applyFill="1" applyBorder="1" applyAlignment="1">
      <alignment/>
      <protection/>
    </xf>
    <xf numFmtId="0" fontId="25" fillId="48" borderId="76" xfId="121" applyFont="1" applyFill="1" applyBorder="1" applyAlignment="1">
      <alignment/>
      <protection/>
    </xf>
    <xf numFmtId="0" fontId="22" fillId="48" borderId="76" xfId="121" applyFont="1" applyFill="1" applyBorder="1" applyAlignment="1">
      <alignment horizontal="left" indent="1"/>
      <protection/>
    </xf>
    <xf numFmtId="0" fontId="22" fillId="48" borderId="76" xfId="121" applyFont="1" applyFill="1" applyBorder="1" applyAlignment="1">
      <alignment/>
      <protection/>
    </xf>
    <xf numFmtId="0" fontId="22" fillId="48" borderId="100" xfId="121" applyFont="1" applyFill="1" applyBorder="1" applyAlignment="1">
      <alignment horizontal="left" indent="1"/>
      <protection/>
    </xf>
    <xf numFmtId="0" fontId="25" fillId="48" borderId="76" xfId="121" applyFont="1" applyFill="1" applyBorder="1" applyAlignment="1">
      <alignment/>
      <protection/>
    </xf>
    <xf numFmtId="0" fontId="22" fillId="0" borderId="76" xfId="121" applyFont="1" applyFill="1" applyBorder="1" applyAlignment="1">
      <alignment horizontal="left" indent="1"/>
      <protection/>
    </xf>
    <xf numFmtId="37" fontId="22" fillId="48" borderId="76" xfId="121" applyNumberFormat="1" applyFont="1" applyFill="1" applyBorder="1" applyAlignment="1">
      <alignment/>
      <protection/>
    </xf>
    <xf numFmtId="0" fontId="0" fillId="0" borderId="0" xfId="121" applyFont="1" applyFill="1">
      <alignment/>
      <protection/>
    </xf>
    <xf numFmtId="37" fontId="22" fillId="0" borderId="76" xfId="121" applyNumberFormat="1" applyFont="1" applyFill="1" applyBorder="1" applyAlignment="1">
      <alignment horizontal="left"/>
      <protection/>
    </xf>
    <xf numFmtId="0" fontId="22" fillId="48" borderId="101" xfId="121" applyFont="1" applyFill="1" applyBorder="1" applyAlignment="1">
      <alignment horizontal="left" indent="1"/>
      <protection/>
    </xf>
    <xf numFmtId="0" fontId="22" fillId="48" borderId="101" xfId="121" applyFont="1" applyFill="1" applyBorder="1" applyAlignment="1">
      <alignment horizontal="left" indent="1"/>
      <protection/>
    </xf>
    <xf numFmtId="0" fontId="22" fillId="0" borderId="101" xfId="121" applyFont="1" applyFill="1" applyBorder="1" applyAlignment="1">
      <alignment horizontal="left" indent="1"/>
      <protection/>
    </xf>
    <xf numFmtId="184" fontId="22" fillId="48" borderId="75" xfId="93" applyNumberFormat="1" applyFont="1" applyFill="1" applyBorder="1" applyAlignment="1">
      <alignment/>
    </xf>
    <xf numFmtId="184" fontId="25" fillId="48" borderId="75" xfId="93" applyNumberFormat="1" applyFont="1" applyFill="1" applyBorder="1" applyAlignment="1">
      <alignment/>
    </xf>
    <xf numFmtId="37" fontId="25" fillId="48" borderId="76" xfId="121" applyNumberFormat="1" applyFont="1" applyFill="1" applyBorder="1" applyAlignment="1">
      <alignment/>
      <protection/>
    </xf>
    <xf numFmtId="37" fontId="25" fillId="0" borderId="76" xfId="121" applyNumberFormat="1" applyFont="1" applyFill="1" applyBorder="1" applyAlignment="1">
      <alignment/>
      <protection/>
    </xf>
    <xf numFmtId="3" fontId="32" fillId="0" borderId="0" xfId="121" applyNumberFormat="1" applyFont="1" applyFill="1">
      <alignment/>
      <protection/>
    </xf>
    <xf numFmtId="37" fontId="22" fillId="0" borderId="76" xfId="121" applyNumberFormat="1" applyFont="1" applyFill="1" applyBorder="1" applyAlignment="1">
      <alignment/>
      <protection/>
    </xf>
    <xf numFmtId="0" fontId="22" fillId="0" borderId="102" xfId="121" applyFont="1" applyFill="1" applyBorder="1" applyAlignment="1">
      <alignment/>
      <protection/>
    </xf>
    <xf numFmtId="0" fontId="22" fillId="0" borderId="103" xfId="121" applyFont="1" applyFill="1" applyBorder="1">
      <alignment/>
      <protection/>
    </xf>
    <xf numFmtId="0" fontId="22" fillId="0" borderId="104" xfId="121" applyFont="1" applyFill="1" applyBorder="1">
      <alignment/>
      <protection/>
    </xf>
    <xf numFmtId="0" fontId="40" fillId="0" borderId="0" xfId="121" applyFont="1" applyFill="1" applyAlignment="1">
      <alignment/>
      <protection/>
    </xf>
    <xf numFmtId="3" fontId="40" fillId="0" borderId="0" xfId="121" applyNumberFormat="1" applyFont="1" applyFill="1">
      <alignment/>
      <protection/>
    </xf>
    <xf numFmtId="10" fontId="32" fillId="0" borderId="0" xfId="121" applyNumberFormat="1" applyFont="1" applyFill="1">
      <alignment/>
      <protection/>
    </xf>
    <xf numFmtId="0" fontId="32" fillId="0" borderId="0" xfId="121" applyFont="1" applyFill="1" applyAlignment="1">
      <alignment/>
      <protection/>
    </xf>
    <xf numFmtId="9" fontId="32" fillId="0" borderId="0" xfId="129" applyFont="1" applyFill="1" applyAlignment="1">
      <alignment/>
    </xf>
    <xf numFmtId="3" fontId="34" fillId="0" borderId="0" xfId="121" applyNumberFormat="1" applyFont="1" applyFill="1" applyAlignment="1">
      <alignment horizontal="center"/>
      <protection/>
    </xf>
    <xf numFmtId="3" fontId="32" fillId="0" borderId="0" xfId="121" applyNumberFormat="1" applyFont="1" applyFill="1" applyAlignment="1">
      <alignment/>
      <protection/>
    </xf>
    <xf numFmtId="3" fontId="33" fillId="0" borderId="0" xfId="121" applyNumberFormat="1" applyFont="1" applyFill="1">
      <alignment/>
      <protection/>
    </xf>
    <xf numFmtId="179" fontId="91" fillId="0" borderId="0" xfId="92" applyFont="1" applyFill="1" applyAlignment="1">
      <alignment/>
    </xf>
    <xf numFmtId="179" fontId="33" fillId="0" borderId="0" xfId="92" applyFont="1" applyFill="1" applyAlignment="1">
      <alignment/>
    </xf>
    <xf numFmtId="0" fontId="25" fillId="0" borderId="0" xfId="121" applyFont="1" applyFill="1" applyAlignment="1">
      <alignment horizontal="center"/>
      <protection/>
    </xf>
    <xf numFmtId="0" fontId="25" fillId="0" borderId="0" xfId="121" applyFont="1" applyFill="1" applyAlignment="1">
      <alignment/>
      <protection/>
    </xf>
    <xf numFmtId="3" fontId="31" fillId="0" borderId="97" xfId="121" applyNumberFormat="1" applyFont="1" applyFill="1" applyBorder="1" applyAlignment="1">
      <alignment horizontal="centerContinuous"/>
      <protection/>
    </xf>
    <xf numFmtId="0" fontId="25" fillId="0" borderId="97" xfId="121" applyFont="1" applyFill="1" applyBorder="1" applyAlignment="1">
      <alignment horizontal="centerContinuous"/>
      <protection/>
    </xf>
    <xf numFmtId="0" fontId="31" fillId="0" borderId="97" xfId="121" applyFont="1" applyFill="1" applyBorder="1" applyAlignment="1">
      <alignment horizontal="centerContinuous"/>
      <protection/>
    </xf>
    <xf numFmtId="41" fontId="22" fillId="0" borderId="0" xfId="121" applyNumberFormat="1" applyFont="1" applyFill="1">
      <alignment/>
      <protection/>
    </xf>
    <xf numFmtId="41" fontId="22" fillId="0" borderId="0" xfId="93" applyNumberFormat="1" applyFont="1" applyFill="1" applyAlignment="1">
      <alignment/>
    </xf>
    <xf numFmtId="0" fontId="25" fillId="0" borderId="98" xfId="121" applyFont="1" applyFill="1" applyBorder="1" applyAlignment="1">
      <alignment horizontal="center" vertical="center" wrapText="1"/>
      <protection/>
    </xf>
    <xf numFmtId="0" fontId="25" fillId="0" borderId="84" xfId="121" applyFont="1" applyFill="1" applyBorder="1" applyAlignment="1">
      <alignment horizontal="center" vertical="center" wrapText="1"/>
      <protection/>
    </xf>
    <xf numFmtId="41" fontId="25" fillId="0" borderId="84" xfId="121" applyNumberFormat="1" applyFont="1" applyFill="1" applyBorder="1" applyAlignment="1">
      <alignment horizontal="center" vertical="center" wrapText="1"/>
      <protection/>
    </xf>
    <xf numFmtId="41" fontId="25" fillId="0" borderId="105" xfId="93" applyNumberFormat="1" applyFont="1" applyFill="1" applyBorder="1" applyAlignment="1">
      <alignment horizontal="center" vertical="center" wrapText="1"/>
    </xf>
    <xf numFmtId="41" fontId="25" fillId="0" borderId="84" xfId="93" applyNumberFormat="1" applyFont="1" applyFill="1" applyBorder="1" applyAlignment="1">
      <alignment horizontal="center" vertical="center" wrapText="1"/>
    </xf>
    <xf numFmtId="41" fontId="25" fillId="0" borderId="85" xfId="93" applyNumberFormat="1" applyFont="1" applyFill="1" applyBorder="1" applyAlignment="1">
      <alignment horizontal="center" vertical="center" wrapText="1"/>
    </xf>
    <xf numFmtId="41" fontId="25" fillId="0" borderId="0" xfId="93" applyNumberFormat="1" applyFont="1" applyFill="1" applyBorder="1" applyAlignment="1">
      <alignment horizontal="center" vertical="center" wrapText="1"/>
    </xf>
    <xf numFmtId="0" fontId="25" fillId="0" borderId="0" xfId="121" applyFont="1" applyFill="1" applyBorder="1" applyAlignment="1">
      <alignment horizontal="center" vertical="center" wrapText="1"/>
      <protection/>
    </xf>
    <xf numFmtId="3" fontId="25" fillId="0" borderId="76" xfId="121" applyNumberFormat="1" applyFont="1" applyFill="1" applyBorder="1" applyAlignment="1">
      <alignment wrapText="1"/>
      <protection/>
    </xf>
    <xf numFmtId="0" fontId="22" fillId="0" borderId="75" xfId="121" applyFont="1" applyFill="1" applyBorder="1" applyAlignment="1">
      <alignment wrapText="1"/>
      <protection/>
    </xf>
    <xf numFmtId="41" fontId="22" fillId="0" borderId="75" xfId="121" applyNumberFormat="1" applyFont="1" applyFill="1" applyBorder="1" applyAlignment="1">
      <alignment wrapText="1"/>
      <protection/>
    </xf>
    <xf numFmtId="41" fontId="22" fillId="0" borderId="106" xfId="93" applyNumberFormat="1" applyFont="1" applyFill="1" applyBorder="1" applyAlignment="1">
      <alignment wrapText="1"/>
    </xf>
    <xf numFmtId="41" fontId="22" fillId="0" borderId="75" xfId="93" applyNumberFormat="1" applyFont="1" applyFill="1" applyBorder="1" applyAlignment="1">
      <alignment wrapText="1"/>
    </xf>
    <xf numFmtId="41" fontId="25" fillId="0" borderId="75" xfId="93" applyNumberFormat="1" applyFont="1" applyFill="1" applyBorder="1" applyAlignment="1">
      <alignment wrapText="1"/>
    </xf>
    <xf numFmtId="41" fontId="22" fillId="0" borderId="99" xfId="93" applyNumberFormat="1" applyFont="1" applyFill="1" applyBorder="1" applyAlignment="1">
      <alignment wrapText="1"/>
    </xf>
    <xf numFmtId="3" fontId="25" fillId="0" borderId="75" xfId="121" applyNumberFormat="1" applyFont="1" applyFill="1" applyBorder="1" applyAlignment="1">
      <alignment wrapText="1"/>
      <protection/>
    </xf>
    <xf numFmtId="41" fontId="25" fillId="0" borderId="77" xfId="93" applyNumberFormat="1" applyFont="1" applyFill="1" applyBorder="1" applyAlignment="1">
      <alignment wrapText="1"/>
    </xf>
    <xf numFmtId="10" fontId="25" fillId="0" borderId="99" xfId="129" applyNumberFormat="1" applyFont="1" applyFill="1" applyBorder="1" applyAlignment="1">
      <alignment wrapText="1"/>
    </xf>
    <xf numFmtId="184" fontId="25" fillId="47" borderId="96" xfId="107" applyNumberFormat="1" applyFont="1" applyFill="1" applyBorder="1" applyAlignment="1">
      <alignment horizontal="center"/>
    </xf>
    <xf numFmtId="184" fontId="25" fillId="47" borderId="40" xfId="107" applyNumberFormat="1" applyFont="1" applyFill="1" applyBorder="1" applyAlignment="1">
      <alignment horizontal="center"/>
    </xf>
    <xf numFmtId="184" fontId="25" fillId="48" borderId="40" xfId="107" applyNumberFormat="1" applyFont="1" applyFill="1" applyBorder="1" applyAlignment="1">
      <alignment horizontal="center"/>
    </xf>
    <xf numFmtId="0" fontId="41" fillId="0" borderId="0" xfId="121" applyFont="1" applyFill="1">
      <alignment/>
      <protection/>
    </xf>
    <xf numFmtId="3" fontId="22" fillId="0" borderId="76" xfId="121" applyNumberFormat="1" applyFont="1" applyFill="1" applyBorder="1" applyAlignment="1">
      <alignment wrapText="1"/>
      <protection/>
    </xf>
    <xf numFmtId="3" fontId="22" fillId="48" borderId="75" xfId="121" applyNumberFormat="1" applyFont="1" applyFill="1" applyBorder="1" applyAlignment="1">
      <alignment wrapText="1"/>
      <protection/>
    </xf>
    <xf numFmtId="3" fontId="22" fillId="0" borderId="75" xfId="121" applyNumberFormat="1" applyFont="1" applyFill="1" applyBorder="1" applyAlignment="1">
      <alignment wrapText="1"/>
      <protection/>
    </xf>
    <xf numFmtId="41" fontId="22" fillId="47" borderId="75" xfId="121" applyNumberFormat="1" applyFont="1" applyFill="1" applyBorder="1" applyAlignment="1">
      <alignment wrapText="1"/>
      <protection/>
    </xf>
    <xf numFmtId="41" fontId="22" fillId="47" borderId="106" xfId="121" applyNumberFormat="1" applyFont="1" applyFill="1" applyBorder="1" applyAlignment="1">
      <alignment wrapText="1"/>
      <protection/>
    </xf>
    <xf numFmtId="10" fontId="22" fillId="0" borderId="99" xfId="129" applyNumberFormat="1" applyFont="1" applyFill="1" applyBorder="1" applyAlignment="1">
      <alignment wrapText="1"/>
    </xf>
    <xf numFmtId="184" fontId="22" fillId="47" borderId="96" xfId="107" applyNumberFormat="1" applyFont="1" applyFill="1" applyBorder="1" applyAlignment="1">
      <alignment/>
    </xf>
    <xf numFmtId="184" fontId="22" fillId="47" borderId="40" xfId="107" applyNumberFormat="1" applyFont="1" applyFill="1" applyBorder="1" applyAlignment="1">
      <alignment/>
    </xf>
    <xf numFmtId="184" fontId="22" fillId="48" borderId="40" xfId="107" applyNumberFormat="1" applyFont="1" applyFill="1" applyBorder="1" applyAlignment="1">
      <alignment/>
    </xf>
    <xf numFmtId="184" fontId="22" fillId="0" borderId="0" xfId="121" applyNumberFormat="1" applyFont="1" applyFill="1">
      <alignment/>
      <protection/>
    </xf>
    <xf numFmtId="0" fontId="22" fillId="0" borderId="0" xfId="121" applyFont="1" applyFill="1" applyAlignment="1">
      <alignment horizontal="center"/>
      <protection/>
    </xf>
    <xf numFmtId="10" fontId="22" fillId="0" borderId="0" xfId="129" applyNumberFormat="1" applyFont="1" applyFill="1" applyAlignment="1">
      <alignment/>
    </xf>
    <xf numFmtId="3" fontId="22" fillId="0" borderId="0" xfId="121" applyNumberFormat="1" applyFont="1" applyFill="1">
      <alignment/>
      <protection/>
    </xf>
    <xf numFmtId="3" fontId="23" fillId="47" borderId="75" xfId="121" applyNumberFormat="1" applyFont="1" applyFill="1" applyBorder="1" applyAlignment="1">
      <alignment wrapText="1"/>
      <protection/>
    </xf>
    <xf numFmtId="0" fontId="25" fillId="0" borderId="76" xfId="121" applyFont="1" applyFill="1" applyBorder="1" applyAlignment="1">
      <alignment wrapText="1"/>
      <protection/>
    </xf>
    <xf numFmtId="3" fontId="25" fillId="48" borderId="75" xfId="121" applyNumberFormat="1" applyFont="1" applyFill="1" applyBorder="1" applyAlignment="1">
      <alignment wrapText="1"/>
      <protection/>
    </xf>
    <xf numFmtId="41" fontId="25" fillId="47" borderId="75" xfId="121" applyNumberFormat="1" applyFont="1" applyFill="1" applyBorder="1" applyAlignment="1">
      <alignment wrapText="1"/>
      <protection/>
    </xf>
    <xf numFmtId="41" fontId="25" fillId="0" borderId="21" xfId="93" applyNumberFormat="1" applyFont="1" applyFill="1" applyBorder="1" applyAlignment="1">
      <alignment wrapText="1"/>
    </xf>
    <xf numFmtId="184" fontId="25" fillId="47" borderId="96" xfId="107" applyNumberFormat="1" applyFont="1" applyFill="1" applyBorder="1" applyAlignment="1">
      <alignment/>
    </xf>
    <xf numFmtId="184" fontId="25" fillId="47" borderId="40" xfId="107" applyNumberFormat="1" applyFont="1" applyFill="1" applyBorder="1" applyAlignment="1">
      <alignment/>
    </xf>
    <xf numFmtId="184" fontId="25" fillId="48" borderId="40" xfId="107" applyNumberFormat="1" applyFont="1" applyFill="1" applyBorder="1" applyAlignment="1">
      <alignment/>
    </xf>
    <xf numFmtId="3" fontId="22" fillId="0" borderId="0" xfId="121" applyNumberFormat="1" applyFont="1" applyFill="1" applyAlignment="1">
      <alignment horizontal="right"/>
      <protection/>
    </xf>
    <xf numFmtId="0" fontId="22" fillId="48" borderId="75" xfId="121" applyFont="1" applyFill="1" applyBorder="1" applyAlignment="1">
      <alignment wrapText="1"/>
      <protection/>
    </xf>
    <xf numFmtId="41" fontId="22" fillId="47" borderId="77" xfId="121" applyNumberFormat="1" applyFont="1" applyFill="1" applyBorder="1" applyAlignment="1">
      <alignment wrapText="1"/>
      <protection/>
    </xf>
    <xf numFmtId="0" fontId="22" fillId="0" borderId="76" xfId="121" applyFont="1" applyFill="1" applyBorder="1" applyAlignment="1">
      <alignment wrapText="1"/>
      <protection/>
    </xf>
    <xf numFmtId="184" fontId="22" fillId="0" borderId="75" xfId="93" applyNumberFormat="1" applyFont="1" applyFill="1" applyBorder="1" applyAlignment="1">
      <alignment wrapText="1"/>
    </xf>
    <xf numFmtId="184" fontId="22" fillId="48" borderId="75" xfId="93" applyNumberFormat="1" applyFont="1" applyFill="1" applyBorder="1" applyAlignment="1">
      <alignment wrapText="1"/>
    </xf>
    <xf numFmtId="41" fontId="22" fillId="47" borderId="21" xfId="121" applyNumberFormat="1" applyFont="1" applyFill="1" applyBorder="1" applyAlignment="1">
      <alignment wrapText="1"/>
      <protection/>
    </xf>
    <xf numFmtId="177" fontId="22" fillId="0" borderId="19" xfId="121" applyNumberFormat="1" applyFont="1" applyFill="1" applyBorder="1">
      <alignment/>
      <protection/>
    </xf>
    <xf numFmtId="184" fontId="25" fillId="0" borderId="75" xfId="93" applyNumberFormat="1" applyFont="1" applyFill="1" applyBorder="1" applyAlignment="1">
      <alignment wrapText="1"/>
    </xf>
    <xf numFmtId="41" fontId="25" fillId="0" borderId="75" xfId="121" applyNumberFormat="1" applyFont="1" applyFill="1" applyBorder="1" applyAlignment="1">
      <alignment wrapText="1"/>
      <protection/>
    </xf>
    <xf numFmtId="171" fontId="22" fillId="0" borderId="0" xfId="121" applyNumberFormat="1" applyFont="1" applyFill="1">
      <alignment/>
      <protection/>
    </xf>
    <xf numFmtId="41" fontId="22" fillId="0" borderId="77" xfId="121" applyNumberFormat="1" applyFont="1" applyFill="1" applyBorder="1" applyAlignment="1">
      <alignment wrapText="1"/>
      <protection/>
    </xf>
    <xf numFmtId="41" fontId="22" fillId="0" borderId="0" xfId="121" applyNumberFormat="1" applyFont="1" applyFill="1" applyBorder="1">
      <alignment/>
      <protection/>
    </xf>
    <xf numFmtId="0" fontId="25" fillId="10" borderId="76" xfId="121" applyFont="1" applyFill="1" applyBorder="1" applyAlignment="1">
      <alignment wrapText="1"/>
      <protection/>
    </xf>
    <xf numFmtId="3" fontId="25" fillId="10" borderId="75" xfId="121" applyNumberFormat="1" applyFont="1" applyFill="1" applyBorder="1" applyAlignment="1">
      <alignment wrapText="1"/>
      <protection/>
    </xf>
    <xf numFmtId="41" fontId="25" fillId="10" borderId="75" xfId="121" applyNumberFormat="1" applyFont="1" applyFill="1" applyBorder="1" applyAlignment="1">
      <alignment wrapText="1"/>
      <protection/>
    </xf>
    <xf numFmtId="41" fontId="25" fillId="10" borderId="77" xfId="121" applyNumberFormat="1" applyFont="1" applyFill="1" applyBorder="1" applyAlignment="1">
      <alignment wrapText="1"/>
      <protection/>
    </xf>
    <xf numFmtId="41" fontId="25" fillId="10" borderId="75" xfId="93" applyNumberFormat="1" applyFont="1" applyFill="1" applyBorder="1" applyAlignment="1">
      <alignment wrapText="1"/>
    </xf>
    <xf numFmtId="41" fontId="25" fillId="10" borderId="21" xfId="93" applyNumberFormat="1" applyFont="1" applyFill="1" applyBorder="1" applyAlignment="1">
      <alignment wrapText="1"/>
    </xf>
    <xf numFmtId="10" fontId="25" fillId="10" borderId="99" xfId="129" applyNumberFormat="1" applyFont="1" applyFill="1" applyBorder="1" applyAlignment="1">
      <alignment wrapText="1"/>
    </xf>
    <xf numFmtId="0" fontId="22" fillId="48" borderId="0" xfId="121" applyFont="1" applyFill="1">
      <alignment/>
      <protection/>
    </xf>
    <xf numFmtId="37" fontId="25" fillId="48" borderId="76" xfId="121" applyNumberFormat="1" applyFont="1" applyFill="1" applyBorder="1" applyAlignment="1">
      <alignment wrapText="1"/>
      <protection/>
    </xf>
    <xf numFmtId="0" fontId="25" fillId="48" borderId="75" xfId="121" applyFont="1" applyFill="1" applyBorder="1" applyAlignment="1">
      <alignment wrapText="1"/>
      <protection/>
    </xf>
    <xf numFmtId="41" fontId="25" fillId="48" borderId="75" xfId="121" applyNumberFormat="1" applyFont="1" applyFill="1" applyBorder="1" applyAlignment="1">
      <alignment wrapText="1"/>
      <protection/>
    </xf>
    <xf numFmtId="41" fontId="25" fillId="48" borderId="77" xfId="121" applyNumberFormat="1" applyFont="1" applyFill="1" applyBorder="1" applyAlignment="1">
      <alignment wrapText="1"/>
      <protection/>
    </xf>
    <xf numFmtId="41" fontId="25" fillId="48" borderId="75" xfId="93" applyNumberFormat="1" applyFont="1" applyFill="1" applyBorder="1" applyAlignment="1">
      <alignment wrapText="1"/>
    </xf>
    <xf numFmtId="10" fontId="25" fillId="48" borderId="99" xfId="129" applyNumberFormat="1" applyFont="1" applyFill="1" applyBorder="1" applyAlignment="1">
      <alignment wrapText="1"/>
    </xf>
    <xf numFmtId="0" fontId="25" fillId="0" borderId="0" xfId="121" applyFont="1" applyFill="1">
      <alignment/>
      <protection/>
    </xf>
    <xf numFmtId="0" fontId="22" fillId="48" borderId="76" xfId="121" applyFont="1" applyFill="1" applyBorder="1" applyAlignment="1">
      <alignment horizontal="left" wrapText="1"/>
      <protection/>
    </xf>
    <xf numFmtId="41" fontId="22" fillId="48" borderId="75" xfId="121" applyNumberFormat="1" applyFont="1" applyFill="1" applyBorder="1" applyAlignment="1">
      <alignment wrapText="1"/>
      <protection/>
    </xf>
    <xf numFmtId="41" fontId="22" fillId="48" borderId="21" xfId="121" applyNumberFormat="1" applyFont="1" applyFill="1" applyBorder="1" applyAlignment="1">
      <alignment wrapText="1"/>
      <protection/>
    </xf>
    <xf numFmtId="0" fontId="22" fillId="0" borderId="76" xfId="121" applyFont="1" applyFill="1" applyBorder="1" applyAlignment="1">
      <alignment horizontal="left" wrapText="1"/>
      <protection/>
    </xf>
    <xf numFmtId="41" fontId="22" fillId="48" borderId="77" xfId="121" applyNumberFormat="1" applyFont="1" applyFill="1" applyBorder="1" applyAlignment="1">
      <alignment wrapText="1"/>
      <protection/>
    </xf>
    <xf numFmtId="41" fontId="25" fillId="0" borderId="0" xfId="93" applyNumberFormat="1" applyFont="1" applyFill="1" applyBorder="1" applyAlignment="1">
      <alignment/>
    </xf>
    <xf numFmtId="0" fontId="25" fillId="0" borderId="75" xfId="121" applyFont="1" applyFill="1" applyBorder="1" applyAlignment="1">
      <alignment wrapText="1"/>
      <protection/>
    </xf>
    <xf numFmtId="41" fontId="25" fillId="0" borderId="77" xfId="121" applyNumberFormat="1" applyFont="1" applyFill="1" applyBorder="1" applyAlignment="1">
      <alignment wrapText="1"/>
      <protection/>
    </xf>
    <xf numFmtId="184" fontId="25" fillId="48" borderId="75" xfId="93" applyNumberFormat="1" applyFont="1" applyFill="1" applyBorder="1" applyAlignment="1">
      <alignment wrapText="1"/>
    </xf>
    <xf numFmtId="41" fontId="25" fillId="48" borderId="21" xfId="93" applyNumberFormat="1" applyFont="1" applyFill="1" applyBorder="1" applyAlignment="1">
      <alignment wrapText="1"/>
    </xf>
    <xf numFmtId="37" fontId="22" fillId="48" borderId="76" xfId="121" applyNumberFormat="1" applyFont="1" applyFill="1" applyBorder="1" applyAlignment="1">
      <alignment horizontal="left" wrapText="1"/>
      <protection/>
    </xf>
    <xf numFmtId="37" fontId="25" fillId="48" borderId="76" xfId="121" applyNumberFormat="1" applyFont="1" applyFill="1" applyBorder="1" applyAlignment="1">
      <alignment horizontal="left" wrapText="1"/>
      <protection/>
    </xf>
    <xf numFmtId="37" fontId="22" fillId="0" borderId="76" xfId="121" applyNumberFormat="1" applyFont="1" applyFill="1" applyBorder="1" applyAlignment="1">
      <alignment horizontal="left" wrapText="1"/>
      <protection/>
    </xf>
    <xf numFmtId="3" fontId="25" fillId="48" borderId="76" xfId="121" applyNumberFormat="1" applyFont="1" applyFill="1" applyBorder="1" applyAlignment="1">
      <alignment wrapText="1"/>
      <protection/>
    </xf>
    <xf numFmtId="0" fontId="25" fillId="48" borderId="76" xfId="121" applyFont="1" applyFill="1" applyBorder="1" applyAlignment="1">
      <alignment wrapText="1"/>
      <protection/>
    </xf>
    <xf numFmtId="177" fontId="22" fillId="0" borderId="75" xfId="121" applyNumberFormat="1" applyFont="1" applyFill="1" applyBorder="1" applyAlignment="1">
      <alignment wrapText="1"/>
      <protection/>
    </xf>
    <xf numFmtId="177" fontId="22" fillId="0" borderId="21" xfId="121" applyNumberFormat="1" applyFont="1" applyFill="1" applyBorder="1" applyAlignment="1">
      <alignment wrapText="1"/>
      <protection/>
    </xf>
    <xf numFmtId="0" fontId="22" fillId="48" borderId="76" xfId="121" applyFont="1" applyFill="1" applyBorder="1" applyAlignment="1">
      <alignment wrapText="1"/>
      <protection/>
    </xf>
    <xf numFmtId="41" fontId="25" fillId="51" borderId="0" xfId="121" applyNumberFormat="1" applyFont="1" applyFill="1" applyBorder="1">
      <alignment/>
      <protection/>
    </xf>
    <xf numFmtId="41" fontId="22" fillId="0" borderId="0" xfId="93" applyNumberFormat="1" applyFont="1" applyFill="1" applyBorder="1" applyAlignment="1">
      <alignment/>
    </xf>
    <xf numFmtId="41" fontId="22" fillId="0" borderId="21" xfId="93" applyNumberFormat="1" applyFont="1" applyFill="1" applyBorder="1" applyAlignment="1">
      <alignment wrapText="1"/>
    </xf>
    <xf numFmtId="41" fontId="25" fillId="10" borderId="77" xfId="93" applyNumberFormat="1" applyFont="1" applyFill="1" applyBorder="1" applyAlignment="1">
      <alignment wrapText="1"/>
    </xf>
    <xf numFmtId="41" fontId="25" fillId="48" borderId="77" xfId="93" applyNumberFormat="1" applyFont="1" applyFill="1" applyBorder="1" applyAlignment="1">
      <alignment wrapText="1"/>
    </xf>
    <xf numFmtId="37" fontId="22" fillId="48" borderId="76" xfId="121" applyNumberFormat="1" applyFont="1" applyFill="1" applyBorder="1" applyAlignment="1">
      <alignment wrapText="1"/>
      <protection/>
    </xf>
    <xf numFmtId="184" fontId="25" fillId="48" borderId="75" xfId="121" applyNumberFormat="1" applyFont="1" applyFill="1" applyBorder="1" applyAlignment="1">
      <alignment wrapText="1"/>
      <protection/>
    </xf>
    <xf numFmtId="41" fontId="22" fillId="0" borderId="21" xfId="121" applyNumberFormat="1" applyFont="1" applyFill="1" applyBorder="1" applyAlignment="1">
      <alignment wrapText="1"/>
      <protection/>
    </xf>
    <xf numFmtId="184" fontId="22" fillId="48" borderId="75" xfId="121" applyNumberFormat="1" applyFont="1" applyFill="1" applyBorder="1" applyAlignment="1">
      <alignment wrapText="1"/>
      <protection/>
    </xf>
    <xf numFmtId="41" fontId="22" fillId="48" borderId="75" xfId="93" applyNumberFormat="1" applyFont="1" applyFill="1" applyBorder="1" applyAlignment="1">
      <alignment wrapText="1"/>
    </xf>
    <xf numFmtId="41" fontId="22" fillId="48" borderId="21" xfId="93" applyNumberFormat="1" applyFont="1" applyFill="1" applyBorder="1" applyAlignment="1">
      <alignment wrapText="1"/>
    </xf>
    <xf numFmtId="10" fontId="25" fillId="0" borderId="0" xfId="129" applyNumberFormat="1" applyFont="1" applyFill="1" applyBorder="1" applyAlignment="1">
      <alignment/>
    </xf>
    <xf numFmtId="37" fontId="25" fillId="0" borderId="76" xfId="121" applyNumberFormat="1" applyFont="1" applyFill="1" applyBorder="1" applyAlignment="1">
      <alignment wrapText="1"/>
      <protection/>
    </xf>
    <xf numFmtId="37" fontId="22" fillId="0" borderId="76" xfId="121" applyNumberFormat="1" applyFont="1" applyFill="1" applyBorder="1" applyAlignment="1">
      <alignment wrapText="1"/>
      <protection/>
    </xf>
    <xf numFmtId="0" fontId="22" fillId="0" borderId="102" xfId="121" applyFont="1" applyFill="1" applyBorder="1" applyAlignment="1">
      <alignment/>
      <protection/>
    </xf>
    <xf numFmtId="3" fontId="25" fillId="0" borderId="103" xfId="121" applyNumberFormat="1" applyFont="1" applyFill="1" applyBorder="1">
      <alignment/>
      <protection/>
    </xf>
    <xf numFmtId="0" fontId="22" fillId="0" borderId="103" xfId="121" applyFont="1" applyFill="1" applyBorder="1">
      <alignment/>
      <protection/>
    </xf>
    <xf numFmtId="3" fontId="22" fillId="0" borderId="103" xfId="121" applyNumberFormat="1" applyFont="1" applyFill="1" applyBorder="1">
      <alignment/>
      <protection/>
    </xf>
    <xf numFmtId="41" fontId="22" fillId="0" borderId="103" xfId="121" applyNumberFormat="1" applyFont="1" applyFill="1" applyBorder="1">
      <alignment/>
      <protection/>
    </xf>
    <xf numFmtId="41" fontId="22" fillId="0" borderId="107" xfId="121" applyNumberFormat="1" applyFont="1" applyFill="1" applyBorder="1">
      <alignment/>
      <protection/>
    </xf>
    <xf numFmtId="41" fontId="22" fillId="0" borderId="108" xfId="93" applyNumberFormat="1" applyFont="1" applyFill="1" applyBorder="1" applyAlignment="1">
      <alignment/>
    </xf>
    <xf numFmtId="41" fontId="22" fillId="0" borderId="103" xfId="93" applyNumberFormat="1" applyFont="1" applyFill="1" applyBorder="1" applyAlignment="1">
      <alignment/>
    </xf>
    <xf numFmtId="41" fontId="22" fillId="0" borderId="107" xfId="93" applyNumberFormat="1" applyFont="1" applyFill="1" applyBorder="1" applyAlignment="1">
      <alignment/>
    </xf>
    <xf numFmtId="41" fontId="22" fillId="0" borderId="104" xfId="93" applyNumberFormat="1" applyFont="1" applyFill="1" applyBorder="1" applyAlignment="1">
      <alignment/>
    </xf>
    <xf numFmtId="0" fontId="22" fillId="0" borderId="0" xfId="121" applyFont="1" applyFill="1" applyAlignment="1">
      <alignment/>
      <protection/>
    </xf>
    <xf numFmtId="3" fontId="25" fillId="0" borderId="0" xfId="121" applyNumberFormat="1" applyFont="1" applyFill="1" applyBorder="1">
      <alignment/>
      <protection/>
    </xf>
    <xf numFmtId="41" fontId="25" fillId="0" borderId="0" xfId="121" applyNumberFormat="1" applyFont="1" applyFill="1" applyAlignment="1">
      <alignment horizontal="center"/>
      <protection/>
    </xf>
    <xf numFmtId="3" fontId="25" fillId="28" borderId="33" xfId="121" applyNumberFormat="1" applyFont="1" applyFill="1" applyBorder="1">
      <alignment/>
      <protection/>
    </xf>
    <xf numFmtId="0" fontId="42" fillId="0" borderId="0" xfId="121" applyFont="1" applyFill="1" applyAlignment="1">
      <alignment/>
      <protection/>
    </xf>
    <xf numFmtId="3" fontId="42" fillId="0" borderId="0" xfId="121" applyNumberFormat="1" applyFont="1" applyFill="1">
      <alignment/>
      <protection/>
    </xf>
    <xf numFmtId="0" fontId="42" fillId="0" borderId="0" xfId="121" applyFont="1" applyFill="1">
      <alignment/>
      <protection/>
    </xf>
    <xf numFmtId="0" fontId="40" fillId="0" borderId="0" xfId="121" applyFont="1" applyFill="1" applyAlignment="1">
      <alignment horizontal="center"/>
      <protection/>
    </xf>
    <xf numFmtId="3" fontId="40" fillId="0" borderId="0" xfId="121" applyNumberFormat="1" applyFont="1" applyFill="1" applyAlignment="1">
      <alignment horizontal="center"/>
      <protection/>
    </xf>
    <xf numFmtId="184" fontId="42" fillId="0" borderId="0" xfId="144" applyNumberFormat="1" applyFont="1" applyFill="1" applyAlignment="1">
      <alignment/>
    </xf>
    <xf numFmtId="0" fontId="25" fillId="0" borderId="0" xfId="121" applyFont="1">
      <alignment/>
      <protection/>
    </xf>
    <xf numFmtId="198" fontId="35" fillId="47" borderId="72" xfId="121" applyNumberFormat="1" applyFont="1" applyFill="1" applyBorder="1" applyAlignment="1">
      <alignment horizontal="center"/>
      <protection/>
    </xf>
    <xf numFmtId="198" fontId="35" fillId="47" borderId="109" xfId="121" applyNumberFormat="1" applyFont="1" applyFill="1" applyBorder="1" applyAlignment="1">
      <alignment horizontal="center"/>
      <protection/>
    </xf>
    <xf numFmtId="0" fontId="0" fillId="47" borderId="0" xfId="121" applyFill="1" applyBorder="1" applyAlignment="1">
      <alignment horizontal="left"/>
      <protection/>
    </xf>
    <xf numFmtId="184" fontId="0" fillId="47" borderId="0" xfId="89" applyNumberFormat="1" applyFont="1" applyFill="1" applyBorder="1" applyAlignment="1">
      <alignment/>
    </xf>
    <xf numFmtId="198" fontId="35" fillId="28" borderId="74" xfId="121" applyNumberFormat="1" applyFont="1" applyFill="1" applyBorder="1" applyAlignment="1">
      <alignment horizontal="center"/>
      <protection/>
    </xf>
    <xf numFmtId="0" fontId="0" fillId="47" borderId="0" xfId="121" applyFill="1" applyAlignment="1">
      <alignment horizontal="right"/>
      <protection/>
    </xf>
    <xf numFmtId="0" fontId="56" fillId="47" borderId="0" xfId="121" applyFont="1" applyFill="1">
      <alignment/>
      <protection/>
    </xf>
    <xf numFmtId="0" fontId="8" fillId="47" borderId="0" xfId="121" applyFont="1" applyFill="1" applyBorder="1">
      <alignment/>
      <protection/>
    </xf>
    <xf numFmtId="184" fontId="0" fillId="47" borderId="0" xfId="121" applyNumberFormat="1" applyFill="1" applyBorder="1">
      <alignment/>
      <protection/>
    </xf>
    <xf numFmtId="198" fontId="0" fillId="47" borderId="0" xfId="121" applyNumberFormat="1" applyFill="1">
      <alignment/>
      <protection/>
    </xf>
    <xf numFmtId="0" fontId="25" fillId="0" borderId="110" xfId="0" applyFont="1" applyFill="1" applyBorder="1" applyAlignment="1">
      <alignment horizontal="center" vertical="center" wrapText="1"/>
    </xf>
    <xf numFmtId="180" fontId="25" fillId="0" borderId="87" xfId="132" applyNumberFormat="1" applyFont="1" applyFill="1" applyBorder="1" applyAlignment="1">
      <alignment horizontal="center"/>
    </xf>
    <xf numFmtId="180" fontId="22" fillId="0" borderId="87" xfId="132" applyNumberFormat="1" applyFont="1" applyFill="1" applyBorder="1" applyAlignment="1">
      <alignment horizontal="center"/>
    </xf>
    <xf numFmtId="180" fontId="22" fillId="0" borderId="93" xfId="132" applyNumberFormat="1" applyFont="1" applyFill="1" applyBorder="1" applyAlignment="1">
      <alignment horizontal="center"/>
    </xf>
    <xf numFmtId="180" fontId="25" fillId="48" borderId="95" xfId="132" applyNumberFormat="1" applyFont="1" applyFill="1" applyBorder="1" applyAlignment="1">
      <alignment horizontal="center"/>
    </xf>
    <xf numFmtId="184" fontId="22" fillId="47" borderId="0" xfId="121" applyNumberFormat="1" applyFont="1" applyFill="1" applyBorder="1">
      <alignment/>
      <protection/>
    </xf>
    <xf numFmtId="184" fontId="22" fillId="0" borderId="0" xfId="121" applyNumberFormat="1" applyFont="1">
      <alignment/>
      <protection/>
    </xf>
    <xf numFmtId="10" fontId="25" fillId="0" borderId="87" xfId="132" applyNumberFormat="1" applyFont="1" applyFill="1" applyBorder="1" applyAlignment="1">
      <alignment/>
    </xf>
    <xf numFmtId="10" fontId="22" fillId="0" borderId="87" xfId="132" applyNumberFormat="1" applyFont="1" applyFill="1" applyBorder="1" applyAlignment="1">
      <alignment/>
    </xf>
    <xf numFmtId="0" fontId="0" fillId="0" borderId="0" xfId="0" applyFont="1" applyAlignment="1">
      <alignment/>
    </xf>
    <xf numFmtId="0" fontId="25" fillId="0" borderId="71" xfId="0" applyFont="1" applyFill="1" applyBorder="1" applyAlignment="1">
      <alignment horizontal="center" vertical="center"/>
    </xf>
    <xf numFmtId="0" fontId="25" fillId="0" borderId="78" xfId="0" applyFont="1" applyFill="1" applyBorder="1" applyAlignment="1">
      <alignment horizontal="center" vertical="center"/>
    </xf>
    <xf numFmtId="0" fontId="25" fillId="0" borderId="73" xfId="0" applyFont="1" applyFill="1" applyBorder="1" applyAlignment="1">
      <alignment horizontal="center" vertical="center"/>
    </xf>
    <xf numFmtId="0" fontId="25" fillId="0" borderId="71" xfId="0" applyFont="1" applyFill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25" fillId="0" borderId="78" xfId="0" applyFont="1" applyFill="1" applyBorder="1" applyAlignment="1">
      <alignment horizontal="center" vertical="center" wrapText="1"/>
    </xf>
    <xf numFmtId="0" fontId="25" fillId="0" borderId="73" xfId="0" applyFont="1" applyFill="1" applyBorder="1" applyAlignment="1">
      <alignment horizontal="center" vertical="center" wrapText="1"/>
    </xf>
    <xf numFmtId="0" fontId="25" fillId="48" borderId="71" xfId="0" applyFont="1" applyFill="1" applyBorder="1" applyAlignment="1">
      <alignment horizontal="center" vertical="center"/>
    </xf>
    <xf numFmtId="0" fontId="25" fillId="48" borderId="78" xfId="0" applyFont="1" applyFill="1" applyBorder="1" applyAlignment="1">
      <alignment horizontal="center" vertical="center"/>
    </xf>
    <xf numFmtId="0" fontId="25" fillId="48" borderId="73" xfId="0" applyFont="1" applyFill="1" applyBorder="1" applyAlignment="1">
      <alignment horizontal="center" vertical="center"/>
    </xf>
    <xf numFmtId="0" fontId="25" fillId="0" borderId="0" xfId="121" applyFont="1" applyFill="1" applyAlignment="1">
      <alignment horizontal="center"/>
      <protection/>
    </xf>
    <xf numFmtId="0" fontId="25" fillId="28" borderId="40" xfId="121" applyFont="1" applyFill="1" applyBorder="1" applyAlignment="1">
      <alignment horizontal="center" vertical="center" wrapText="1"/>
      <protection/>
    </xf>
    <xf numFmtId="0" fontId="25" fillId="18" borderId="40" xfId="121" applyFont="1" applyFill="1" applyBorder="1" applyAlignment="1">
      <alignment horizontal="center" vertical="center" wrapText="1"/>
      <protection/>
    </xf>
    <xf numFmtId="0" fontId="25" fillId="28" borderId="38" xfId="121" applyFont="1" applyFill="1" applyBorder="1" applyAlignment="1">
      <alignment horizontal="center" vertical="center" wrapText="1"/>
      <protection/>
    </xf>
    <xf numFmtId="0" fontId="25" fillId="28" borderId="96" xfId="121" applyFont="1" applyFill="1" applyBorder="1" applyAlignment="1">
      <alignment horizontal="center" vertical="center" wrapText="1"/>
      <protection/>
    </xf>
    <xf numFmtId="0" fontId="25" fillId="47" borderId="0" xfId="121" applyFont="1" applyFill="1" applyBorder="1" applyAlignment="1">
      <alignment horizontal="right"/>
      <protection/>
    </xf>
    <xf numFmtId="0" fontId="25" fillId="47" borderId="111" xfId="121" applyFont="1" applyFill="1" applyBorder="1" applyAlignment="1">
      <alignment horizontal="right"/>
      <protection/>
    </xf>
    <xf numFmtId="0" fontId="25" fillId="18" borderId="38" xfId="121" applyFont="1" applyFill="1" applyBorder="1" applyAlignment="1">
      <alignment horizontal="center" vertical="center" wrapText="1"/>
      <protection/>
    </xf>
    <xf numFmtId="0" fontId="25" fillId="18" borderId="96" xfId="121" applyFont="1" applyFill="1" applyBorder="1" applyAlignment="1">
      <alignment horizontal="center" vertical="center" wrapText="1"/>
      <protection/>
    </xf>
    <xf numFmtId="0" fontId="25" fillId="0" borderId="0" xfId="121" applyFont="1" applyFill="1" applyAlignment="1">
      <alignment horizontal="center"/>
      <protection/>
    </xf>
    <xf numFmtId="184" fontId="40" fillId="28" borderId="86" xfId="144" applyNumberFormat="1" applyFont="1" applyFill="1" applyBorder="1" applyAlignment="1">
      <alignment horizontal="center"/>
    </xf>
    <xf numFmtId="184" fontId="40" fillId="28" borderId="112" xfId="144" applyNumberFormat="1" applyFont="1" applyFill="1" applyBorder="1" applyAlignment="1">
      <alignment horizontal="center"/>
    </xf>
    <xf numFmtId="184" fontId="40" fillId="28" borderId="95" xfId="144" applyNumberFormat="1" applyFont="1" applyFill="1" applyBorder="1" applyAlignment="1">
      <alignment horizontal="center"/>
    </xf>
    <xf numFmtId="184" fontId="25" fillId="28" borderId="39" xfId="107" applyNumberFormat="1" applyFont="1" applyFill="1" applyBorder="1" applyAlignment="1">
      <alignment horizontal="center"/>
    </xf>
    <xf numFmtId="184" fontId="25" fillId="28" borderId="96" xfId="107" applyNumberFormat="1" applyFont="1" applyFill="1" applyBorder="1" applyAlignment="1">
      <alignment horizontal="center"/>
    </xf>
    <xf numFmtId="0" fontId="35" fillId="47" borderId="113" xfId="121" applyFont="1" applyFill="1" applyBorder="1" applyAlignment="1">
      <alignment horizontal="center"/>
      <protection/>
    </xf>
    <xf numFmtId="0" fontId="35" fillId="47" borderId="114" xfId="121" applyFont="1" applyFill="1" applyBorder="1" applyAlignment="1">
      <alignment horizontal="center"/>
      <protection/>
    </xf>
    <xf numFmtId="0" fontId="35" fillId="47" borderId="115" xfId="121" applyFont="1" applyFill="1" applyBorder="1" applyAlignment="1">
      <alignment horizontal="center"/>
      <protection/>
    </xf>
    <xf numFmtId="0" fontId="25" fillId="47" borderId="86" xfId="121" applyFont="1" applyFill="1" applyBorder="1" applyAlignment="1">
      <alignment horizontal="center"/>
      <protection/>
    </xf>
    <xf numFmtId="0" fontId="25" fillId="47" borderId="112" xfId="121" applyFont="1" applyFill="1" applyBorder="1" applyAlignment="1">
      <alignment horizontal="center"/>
      <protection/>
    </xf>
    <xf numFmtId="0" fontId="25" fillId="47" borderId="95" xfId="121" applyFont="1" applyFill="1" applyBorder="1" applyAlignment="1">
      <alignment horizontal="center"/>
      <protection/>
    </xf>
    <xf numFmtId="0" fontId="56" fillId="47" borderId="116" xfId="121" applyFont="1" applyFill="1" applyBorder="1" applyAlignment="1">
      <alignment horizontal="center"/>
      <protection/>
    </xf>
    <xf numFmtId="0" fontId="56" fillId="47" borderId="117" xfId="121" applyFont="1" applyFill="1" applyBorder="1" applyAlignment="1">
      <alignment horizontal="center"/>
      <protection/>
    </xf>
    <xf numFmtId="0" fontId="56" fillId="47" borderId="118" xfId="121" applyFont="1" applyFill="1" applyBorder="1" applyAlignment="1">
      <alignment horizontal="center"/>
      <protection/>
    </xf>
    <xf numFmtId="0" fontId="56" fillId="47" borderId="119" xfId="121" applyFont="1" applyFill="1" applyBorder="1" applyAlignment="1">
      <alignment horizontal="center"/>
      <protection/>
    </xf>
    <xf numFmtId="0" fontId="56" fillId="47" borderId="40" xfId="121" applyFont="1" applyFill="1" applyBorder="1" applyAlignment="1">
      <alignment horizontal="center"/>
      <protection/>
    </xf>
    <xf numFmtId="0" fontId="56" fillId="47" borderId="120" xfId="121" applyFont="1" applyFill="1" applyBorder="1" applyAlignment="1">
      <alignment horizontal="center"/>
      <protection/>
    </xf>
    <xf numFmtId="0" fontId="0" fillId="0" borderId="121" xfId="0" applyFont="1" applyFill="1" applyBorder="1" applyAlignment="1">
      <alignment horizontal="center"/>
    </xf>
    <xf numFmtId="0" fontId="0" fillId="0" borderId="122" xfId="0" applyFont="1" applyFill="1" applyBorder="1" applyAlignment="1">
      <alignment horizontal="center"/>
    </xf>
    <xf numFmtId="184" fontId="8" fillId="0" borderId="121" xfId="0" applyNumberFormat="1" applyFont="1" applyFill="1" applyBorder="1" applyAlignment="1">
      <alignment horizontal="center"/>
    </xf>
    <xf numFmtId="0" fontId="8" fillId="0" borderId="122" xfId="0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8" fillId="0" borderId="121" xfId="0" applyFont="1" applyFill="1" applyBorder="1" applyAlignment="1">
      <alignment horizontal="justify" vertical="justify"/>
    </xf>
    <xf numFmtId="0" fontId="8" fillId="0" borderId="122" xfId="0" applyFont="1" applyFill="1" applyBorder="1" applyAlignment="1">
      <alignment horizontal="justify" vertical="justify"/>
    </xf>
    <xf numFmtId="184" fontId="8" fillId="0" borderId="122" xfId="0" applyNumberFormat="1" applyFont="1" applyFill="1" applyBorder="1" applyAlignment="1">
      <alignment horizontal="center"/>
    </xf>
    <xf numFmtId="177" fontId="1" fillId="50" borderId="72" xfId="0" applyNumberFormat="1" applyFont="1" applyFill="1" applyBorder="1" applyAlignment="1">
      <alignment horizontal="center"/>
    </xf>
    <xf numFmtId="177" fontId="1" fillId="50" borderId="71" xfId="0" applyNumberFormat="1" applyFont="1" applyFill="1" applyBorder="1" applyAlignment="1">
      <alignment horizontal="center" wrapText="1"/>
    </xf>
    <xf numFmtId="177" fontId="1" fillId="50" borderId="73" xfId="0" applyNumberFormat="1" applyFont="1" applyFill="1" applyBorder="1" applyAlignment="1">
      <alignment horizontal="center" wrapText="1"/>
    </xf>
    <xf numFmtId="177" fontId="87" fillId="49" borderId="86" xfId="0" applyNumberFormat="1" applyFont="1" applyFill="1" applyBorder="1" applyAlignment="1">
      <alignment horizontal="center"/>
    </xf>
    <xf numFmtId="177" fontId="87" fillId="49" borderId="112" xfId="0" applyNumberFormat="1" applyFont="1" applyFill="1" applyBorder="1" applyAlignment="1">
      <alignment horizontal="center"/>
    </xf>
    <xf numFmtId="177" fontId="87" fillId="49" borderId="95" xfId="0" applyNumberFormat="1" applyFont="1" applyFill="1" applyBorder="1" applyAlignment="1">
      <alignment horizontal="center"/>
    </xf>
    <xf numFmtId="177" fontId="87" fillId="49" borderId="33" xfId="0" applyNumberFormat="1" applyFont="1" applyFill="1" applyBorder="1" applyAlignment="1">
      <alignment horizontal="center"/>
    </xf>
    <xf numFmtId="177" fontId="87" fillId="49" borderId="71" xfId="0" applyNumberFormat="1" applyFont="1" applyFill="1" applyBorder="1" applyAlignment="1">
      <alignment horizontal="center"/>
    </xf>
    <xf numFmtId="177" fontId="87" fillId="49" borderId="73" xfId="0" applyNumberFormat="1" applyFont="1" applyFill="1" applyBorder="1" applyAlignment="1">
      <alignment horizontal="center"/>
    </xf>
    <xf numFmtId="177" fontId="87" fillId="49" borderId="71" xfId="0" applyNumberFormat="1" applyFont="1" applyFill="1" applyBorder="1" applyAlignment="1">
      <alignment horizontal="center" wrapText="1"/>
    </xf>
    <xf numFmtId="177" fontId="87" fillId="49" borderId="33" xfId="0" applyNumberFormat="1" applyFont="1" applyFill="1" applyBorder="1" applyAlignment="1">
      <alignment horizontal="center" wrapText="1"/>
    </xf>
    <xf numFmtId="177" fontId="87" fillId="49" borderId="86" xfId="0" applyNumberFormat="1" applyFont="1" applyFill="1" applyBorder="1" applyAlignment="1">
      <alignment horizontal="center" wrapText="1"/>
    </xf>
    <xf numFmtId="177" fontId="87" fillId="49" borderId="112" xfId="0" applyNumberFormat="1" applyFont="1" applyFill="1" applyBorder="1" applyAlignment="1">
      <alignment horizontal="center" wrapText="1"/>
    </xf>
    <xf numFmtId="177" fontId="87" fillId="49" borderId="95" xfId="0" applyNumberFormat="1" applyFont="1" applyFill="1" applyBorder="1" applyAlignment="1">
      <alignment horizontal="center" wrapText="1"/>
    </xf>
    <xf numFmtId="177" fontId="1" fillId="0" borderId="0" xfId="0" applyNumberFormat="1" applyFont="1" applyFill="1" applyAlignment="1">
      <alignment horizontal="left"/>
    </xf>
  </cellXfs>
  <cellStyles count="147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40% - Énfšsis3" xfId="39"/>
    <cellStyle name="60% - Énfasis1" xfId="40"/>
    <cellStyle name="60% - Énfasis1 2" xfId="41"/>
    <cellStyle name="60% - Énfasis2" xfId="42"/>
    <cellStyle name="60% - Énfasis2 2" xfId="43"/>
    <cellStyle name="60% - Énfasis3" xfId="44"/>
    <cellStyle name="60% - Énfasis3 2" xfId="45"/>
    <cellStyle name="60% - Énfasis4" xfId="46"/>
    <cellStyle name="60% - Énfasis4 2" xfId="47"/>
    <cellStyle name="60% - Énfasis5" xfId="48"/>
    <cellStyle name="60% - Énfasis5 2" xfId="49"/>
    <cellStyle name="60% - Énfasis6" xfId="50"/>
    <cellStyle name="60% - Énfasis6 2" xfId="51"/>
    <cellStyle name="Buena" xfId="52"/>
    <cellStyle name="Buena 2" xfId="53"/>
    <cellStyle name="Cálculo" xfId="54"/>
    <cellStyle name="Cálculo 2" xfId="55"/>
    <cellStyle name="Celda de comprobación" xfId="56"/>
    <cellStyle name="Celda de comprobación 2" xfId="57"/>
    <cellStyle name="Celda vinculada" xfId="58"/>
    <cellStyle name="Celda vinculada 2" xfId="59"/>
    <cellStyle name="Encabezado 1" xfId="60"/>
    <cellStyle name="Encabezado 4" xfId="61"/>
    <cellStyle name="Encabezado 4 2" xfId="62"/>
    <cellStyle name="Énfasis1" xfId="63"/>
    <cellStyle name="Énfasis1 2" xfId="64"/>
    <cellStyle name="Énfasis2" xfId="65"/>
    <cellStyle name="Énfasis2 2" xfId="66"/>
    <cellStyle name="Énfasis3" xfId="67"/>
    <cellStyle name="Énfasis3 2" xfId="68"/>
    <cellStyle name="Énfasis4" xfId="69"/>
    <cellStyle name="Énfasis4 2" xfId="70"/>
    <cellStyle name="Énfasis5" xfId="71"/>
    <cellStyle name="Énfasis5 2" xfId="72"/>
    <cellStyle name="Énfasis6" xfId="73"/>
    <cellStyle name="Énfasis6 2" xfId="74"/>
    <cellStyle name="Entrada" xfId="75"/>
    <cellStyle name="Entrada 2" xfId="76"/>
    <cellStyle name="Euro" xfId="77"/>
    <cellStyle name="Euro 2" xfId="78"/>
    <cellStyle name="Hyperlink" xfId="79"/>
    <cellStyle name="Followed Hyperlink" xfId="80"/>
    <cellStyle name="Incorrecto" xfId="81"/>
    <cellStyle name="Incorrecto 2" xfId="82"/>
    <cellStyle name="Comma" xfId="83"/>
    <cellStyle name="Comma [0]" xfId="84"/>
    <cellStyle name="Millares 10" xfId="85"/>
    <cellStyle name="Millares 11" xfId="86"/>
    <cellStyle name="Millares 11 2" xfId="87"/>
    <cellStyle name="Millares 12" xfId="88"/>
    <cellStyle name="Millares 12 2" xfId="89"/>
    <cellStyle name="Millares 13" xfId="90"/>
    <cellStyle name="Millares 14" xfId="91"/>
    <cellStyle name="Millares 2" xfId="92"/>
    <cellStyle name="Millares 2 2" xfId="93"/>
    <cellStyle name="Millares 3" xfId="94"/>
    <cellStyle name="Millares 3 2" xfId="95"/>
    <cellStyle name="Millares 4" xfId="96"/>
    <cellStyle name="Millares 4 2" xfId="97"/>
    <cellStyle name="Millares 4 2 2" xfId="98"/>
    <cellStyle name="Millares 5" xfId="99"/>
    <cellStyle name="Millares 5 2" xfId="100"/>
    <cellStyle name="Millares 6" xfId="101"/>
    <cellStyle name="Millares 6 2" xfId="102"/>
    <cellStyle name="Millares 7" xfId="103"/>
    <cellStyle name="Millares 7 2" xfId="104"/>
    <cellStyle name="Millares 8" xfId="105"/>
    <cellStyle name="Millares 9" xfId="106"/>
    <cellStyle name="Millares 9 2" xfId="107"/>
    <cellStyle name="Millares_Formato Presupuesto Minagricultura" xfId="108"/>
    <cellStyle name="Millares_Formato Presupuesto Minagricultura 2" xfId="109"/>
    <cellStyle name="Millares_INGRESOS 2005 2" xfId="110"/>
    <cellStyle name="Millares_PRESUPUESTO INGRESOS 2011 2" xfId="111"/>
    <cellStyle name="Currency" xfId="112"/>
    <cellStyle name="Currency [0]" xfId="113"/>
    <cellStyle name="Moneda 2" xfId="114"/>
    <cellStyle name="Moneda 2 2" xfId="115"/>
    <cellStyle name="Moneda 3" xfId="116"/>
    <cellStyle name="Moneda 4" xfId="117"/>
    <cellStyle name="Moneda 5" xfId="118"/>
    <cellStyle name="Neutral" xfId="119"/>
    <cellStyle name="Neutral 2" xfId="120"/>
    <cellStyle name="Normal 2" xfId="121"/>
    <cellStyle name="Normal 3" xfId="122"/>
    <cellStyle name="Normal 4" xfId="123"/>
    <cellStyle name="Normal 5" xfId="124"/>
    <cellStyle name="Normal 5 2" xfId="125"/>
    <cellStyle name="Notas" xfId="126"/>
    <cellStyle name="Notas 2" xfId="127"/>
    <cellStyle name="Percent" xfId="128"/>
    <cellStyle name="Porcentaje 2" xfId="129"/>
    <cellStyle name="Porcentaje 3" xfId="130"/>
    <cellStyle name="Porcentaje 4" xfId="131"/>
    <cellStyle name="Porcentaje 5" xfId="132"/>
    <cellStyle name="Porcentaje 6" xfId="133"/>
    <cellStyle name="Porcentual 2" xfId="134"/>
    <cellStyle name="Porcentual 2 2" xfId="135"/>
    <cellStyle name="Porcentual 3" xfId="136"/>
    <cellStyle name="Porcentual 3 2" xfId="137"/>
    <cellStyle name="Porcentual 4" xfId="138"/>
    <cellStyle name="Porcentual 5" xfId="139"/>
    <cellStyle name="Porcentual 5 2" xfId="140"/>
    <cellStyle name="Porcentual 6" xfId="141"/>
    <cellStyle name="Porcentual 6 2" xfId="142"/>
    <cellStyle name="Porcentual 7" xfId="143"/>
    <cellStyle name="Porcentual 7 2" xfId="144"/>
    <cellStyle name="Porcentual 8" xfId="145"/>
    <cellStyle name="Salida" xfId="146"/>
    <cellStyle name="Salida 2" xfId="147"/>
    <cellStyle name="Texto de advertencia" xfId="148"/>
    <cellStyle name="Texto de advertencia 2" xfId="149"/>
    <cellStyle name="Texto explicativo" xfId="150"/>
    <cellStyle name="Texto explicativo 2" xfId="151"/>
    <cellStyle name="Título" xfId="152"/>
    <cellStyle name="Título 1 2" xfId="153"/>
    <cellStyle name="Título 2" xfId="154"/>
    <cellStyle name="Título 2 2" xfId="155"/>
    <cellStyle name="Título 3" xfId="156"/>
    <cellStyle name="Título 3 2" xfId="157"/>
    <cellStyle name="Título 4" xfId="158"/>
    <cellStyle name="Total" xfId="159"/>
    <cellStyle name="Total 2" xfId="1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externalLink" Target="externalLinks/externalLink14.xml" /><Relationship Id="rId29" Type="http://schemas.openxmlformats.org/officeDocument/2006/relationships/externalLink" Target="externalLinks/externalLink15.xml" /><Relationship Id="rId30" Type="http://schemas.openxmlformats.org/officeDocument/2006/relationships/externalLink" Target="externalLinks/externalLink16.xml" /><Relationship Id="rId31" Type="http://schemas.openxmlformats.org/officeDocument/2006/relationships/externalLink" Target="externalLinks/externalLink17.xml" /><Relationship Id="rId32" Type="http://schemas.openxmlformats.org/officeDocument/2006/relationships/externalLink" Target="externalLinks/externalLink18.xml" /><Relationship Id="rId33" Type="http://schemas.openxmlformats.org/officeDocument/2006/relationships/externalLink" Target="externalLinks/externalLink19.xml" /><Relationship Id="rId34" Type="http://schemas.openxmlformats.org/officeDocument/2006/relationships/externalLink" Target="externalLinks/externalLink20.xml" /><Relationship Id="rId35" Type="http://schemas.openxmlformats.org/officeDocument/2006/relationships/externalLink" Target="externalLinks/externalLink21.xml" /><Relationship Id="rId36" Type="http://schemas.openxmlformats.org/officeDocument/2006/relationships/externalLink" Target="externalLinks/externalLink22.xml" /><Relationship Id="rId37" Type="http://schemas.openxmlformats.org/officeDocument/2006/relationships/externalLink" Target="externalLinks/externalLink23.xml" /><Relationship Id="rId38" Type="http://schemas.openxmlformats.org/officeDocument/2006/relationships/externalLink" Target="externalLinks/externalLink24.xml" /><Relationship Id="rId39" Type="http://schemas.openxmlformats.org/officeDocument/2006/relationships/externalLink" Target="externalLinks/externalLink25.xml" /><Relationship Id="rId40" Type="http://schemas.openxmlformats.org/officeDocument/2006/relationships/externalLink" Target="externalLinks/externalLink26.xml" /><Relationship Id="rId41" Type="http://schemas.openxmlformats.org/officeDocument/2006/relationships/externalLink" Target="externalLinks/externalLink27.xml" /><Relationship Id="rId42" Type="http://schemas.openxmlformats.org/officeDocument/2006/relationships/externalLink" Target="externalLinks/externalLink28.xml" /><Relationship Id="rId43" Type="http://schemas.openxmlformats.org/officeDocument/2006/relationships/externalLink" Target="externalLinks/externalLink29.xml" /><Relationship Id="rId44" Type="http://schemas.openxmlformats.org/officeDocument/2006/relationships/externalLink" Target="externalLinks/externalLink30.xml" /><Relationship Id="rId45" Type="http://schemas.openxmlformats.org/officeDocument/2006/relationships/externalLink" Target="externalLinks/externalLink31.xml" /><Relationship Id="rId46" Type="http://schemas.openxmlformats.org/officeDocument/2006/relationships/externalLink" Target="externalLinks/externalLink32.xml" /><Relationship Id="rId47" Type="http://schemas.openxmlformats.org/officeDocument/2006/relationships/externalLink" Target="externalLinks/externalLink33.xml" /><Relationship Id="rId48" Type="http://schemas.openxmlformats.org/officeDocument/2006/relationships/externalLink" Target="externalLinks/externalLink34.xml" /><Relationship Id="rId49" Type="http://schemas.openxmlformats.org/officeDocument/2006/relationships/externalLink" Target="externalLinks/externalLink35.xml" /><Relationship Id="rId5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CICOL\Administrativa\A&#241;o%202009\MANEJO%20PPTO%202009\ACUERDOS%202009\ANEXO%20ACUERDO%2021-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CICOL\Administrativa\CONTABILIDAD\ANEXO%20CIERRE%20DE%20INGRESOS%2020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ennyBenavides.PORCICOLSERVER\Mis%20documentos\EJECUTADO%20A&#209;O%202011%20ECONOMIC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esupuesto%202010%20oct21\desagregado%20ppc%20201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A&#241;o%202012\MANEJO%20PRESUPUESTO%202012\PRESUPUESTO%20INGRESOS%20Y%20GASTOS%20201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CONTABILIDAD\ANEXO%20CIERRE%20DE%20INGRESOS%2020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&#241;o%202010\A&#241;o%202010\MANEJO%20PTO%202010\PRESUPUESTO%20INGRESOS%20ESTIMADO%20201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&#241;o%202010\MANEJO%20PTO%202010\Presupuesto%202010%20versi&#243;n%203\desagregado%20ppc%20201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&#241;o%202010\A&#241;o%202010\MANEJO%20PTO%202010\ANEXO%20CIERRE%20DE%20INGRESOS%20201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&#241;o%202010\CIERRES%202010\ACUERDOS%202010\ANEXO%20ACUERDO%206-1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CICOL\Administrativa\ACUERDOS%202012\ANEXO%20ACUERDO%201-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CICOL\Administrativa\A&#241;o%202011\MANEJO%20PRESUPUESTO%202011\GASTOS%20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CICOL\Administrativa\ACUERDOS%202012\ANEXO%20ACUERDO%207-1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CICOL\Administrativa\A&#241;o%202012\Informe%20de%20gesti&#243;n%20I%20semestre%202012\CIERRE%20de%20gastos%20e%20ingresos%20a%20junio%2030%20de%20201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CICOL\Administrativa\2011\Presentaciones\COMITES%20PPC\DESPACHOS%20BIOLOGICO%20201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CICOL\Administrativa\Temp\desagregado%20ppc%202010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CICOL\Administrativa\Documents%20and%20Settings\PatriciaMart&#237;nez\Configuraci&#243;n%20local\Archivos%20temporales%20de%20Internet\Content.Outlook\RD6RDTKZ\A&#241;o%202008\Presupuesto%202009\nomina%202009%20ppc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CICOL\Administrativa\A&#241;o%202010\PTO%20FONDO%202010\Presupuesto%202010%20versi&#243;n%203\PRESUPUESTO%2010%203a%20%20versi&#243;n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CICOL\Administrativa\JefeControlRegional\Presupuesto%202008\Presupuesto%202008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CICOL\Administrativa\ACUERDOS%202012\ANEXO%20ACUERDO%2011-1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NTABILIDAD\ANEXO%20CIERRE%20DE%20INGRESOS%20201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CICOL\Administrativa\A&#241;o%202012\Informe%20de%20gesti&#243;n%20II%20semestre%202012\ANEXO%20INGRESOS%20Y%20GASTOS%20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CICOL\Administrativa\A&#241;o%202010\ACUERDOS%202010\ANEXO%20ACUERDO%209-1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scarRubio\AppData\Local\Microsoft\Windows\Temporary%20Internet%20Files\Content.Outlook\INBWVVAW\ANEXO%20ACUERDO%201-12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1\Presentaciones\COMITES%20PPC\DESPACHOS%20BIOLOGICO%20201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&#241;o%202010\PTO%20FONDO%202010\Presupuesto%202010%20versi&#243;n%203\PRESUPUESTO%2010%203a%20%20versi&#243;n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CICOL\Administrativa\A&#241;o%202012\ACUERDOS%202012\ANEXO%20ACUERDO%2014-12%20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desagregado%20ppc%202010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scarRubio\AppData\Local\Microsoft\Windows\Temporary%20Internet%20Files\Content.Outlook\INBWVVAW\ANEXO%20ACUERDO%204-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CICOL\Administrativa\A&#241;o%202011\MANEJO%20PRESUPUESTO%202011\GASTOS%20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CICOL\Administrativa\A&#241;o%202010\CIERRES%202010\ACUERDOS%202010\ANEXO%20ACUERDO%206-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atriciaMart&#237;nez\Configuraci&#243;n%20local\Archivos%20temporales%20de%20Internet\Content.Outlook\RD6RDTKZ\A&#241;o%202008\Presupuesto%202009\nomina%202009%20pp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efeControlRegional\Presupuesto%202008\Presupuesto%2020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CICOL\Administrativa\Presupuesto%202010%20oct21\desagregado%20ppc%2020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CICOL\Administrativa\A&#241;o%202010\A&#241;o%202010\MANEJO%20PTO%202010\PRESUPUESTO%20INGRESOS%20ESTIMADO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1 Minagricultura"/>
      <sheetName val="Presupuesto general"/>
      <sheetName val="2004VS2005"/>
      <sheetName val="Otros ingresos"/>
      <sheetName val="Anexo 2 "/>
      <sheetName val="Funcionamiento"/>
      <sheetName val="Nómina y honorarios I TRIM."/>
      <sheetName val="Inversión total en programas"/>
      <sheetName val="MODELO CONTRATISTAS"/>
      <sheetName val="Servicios personal 2005"/>
      <sheetName val="Nómina 2004"/>
    </sheetNames>
    <sheetDataSet>
      <sheetData sheetId="4">
        <row r="112">
          <cell r="C112">
            <v>0</v>
          </cell>
        </row>
        <row r="113">
          <cell r="C113">
            <v>0</v>
          </cell>
        </row>
        <row r="129">
          <cell r="C129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3">
        <row r="35">
          <cell r="C35" t="e">
            <v>#REF!</v>
          </cell>
        </row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  <row r="86">
          <cell r="B86">
            <v>117000000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CO"/>
      <sheetName val="ECO ENE-MAR"/>
      <sheetName val="ECO ABR-JUN"/>
      <sheetName val="ECO JUL-SEP"/>
    </sheetNames>
    <sheetDataSet>
      <sheetData sheetId="0">
        <row r="11">
          <cell r="B11">
            <v>591477600</v>
          </cell>
          <cell r="AA11">
            <v>120703028</v>
          </cell>
          <cell r="AB11">
            <v>137746505</v>
          </cell>
        </row>
        <row r="12">
          <cell r="B12">
            <v>43644726</v>
          </cell>
          <cell r="AA12">
            <v>8409384</v>
          </cell>
          <cell r="AB12">
            <v>10547286</v>
          </cell>
        </row>
        <row r="13">
          <cell r="B13">
            <v>5237366.5</v>
          </cell>
          <cell r="AA13">
            <v>1009126</v>
          </cell>
          <cell r="AB13">
            <v>100106</v>
          </cell>
        </row>
        <row r="14">
          <cell r="B14">
            <v>43644726</v>
          </cell>
          <cell r="AA14">
            <v>8409384</v>
          </cell>
          <cell r="AB14">
            <v>10547286</v>
          </cell>
        </row>
        <row r="15">
          <cell r="B15">
            <v>25303763</v>
          </cell>
          <cell r="AA15">
            <v>5029294</v>
          </cell>
          <cell r="AB15">
            <v>4449039</v>
          </cell>
        </row>
        <row r="17">
          <cell r="B17">
            <v>120044534.09204145</v>
          </cell>
          <cell r="AA17">
            <v>26286423</v>
          </cell>
          <cell r="AB17">
            <v>27985424</v>
          </cell>
        </row>
        <row r="18">
          <cell r="B18">
            <v>22602626.067778535</v>
          </cell>
          <cell r="AA18">
            <v>4963800</v>
          </cell>
          <cell r="AB18">
            <v>5164900</v>
          </cell>
        </row>
        <row r="19">
          <cell r="B19">
            <v>28253282.584723167</v>
          </cell>
          <cell r="AA19">
            <v>6206100</v>
          </cell>
          <cell r="AB19">
            <v>6457600</v>
          </cell>
        </row>
        <row r="20">
          <cell r="B20">
            <v>600000</v>
          </cell>
          <cell r="AA20">
            <v>0</v>
          </cell>
          <cell r="AB20">
            <v>300000</v>
          </cell>
        </row>
        <row r="21">
          <cell r="B21">
            <v>48166976</v>
          </cell>
          <cell r="AA21">
            <v>7676027</v>
          </cell>
          <cell r="AB21">
            <v>11334040</v>
          </cell>
        </row>
        <row r="25">
          <cell r="B25">
            <v>14260000</v>
          </cell>
          <cell r="AA25">
            <v>13596852</v>
          </cell>
          <cell r="AB25">
            <v>0</v>
          </cell>
        </row>
        <row r="26">
          <cell r="B26">
            <v>6190200</v>
          </cell>
          <cell r="AA26">
            <v>1545000</v>
          </cell>
          <cell r="AB26">
            <v>1545000</v>
          </cell>
        </row>
        <row r="27">
          <cell r="B27">
            <v>8986533.0921</v>
          </cell>
          <cell r="AA27">
            <v>1751568</v>
          </cell>
          <cell r="AB27">
            <v>1773903</v>
          </cell>
        </row>
        <row r="28">
          <cell r="B28">
            <v>2500000</v>
          </cell>
          <cell r="AA28">
            <v>2498909</v>
          </cell>
          <cell r="AB28">
            <v>0</v>
          </cell>
        </row>
        <row r="29">
          <cell r="B29">
            <v>11000000</v>
          </cell>
          <cell r="AA29">
            <v>2392095</v>
          </cell>
          <cell r="AB29">
            <v>3000000</v>
          </cell>
        </row>
        <row r="30">
          <cell r="B30">
            <v>24308078.204192</v>
          </cell>
          <cell r="AA30">
            <v>2359440</v>
          </cell>
          <cell r="AB30">
            <v>0</v>
          </cell>
        </row>
        <row r="31">
          <cell r="B31">
            <v>45687645.59616</v>
          </cell>
          <cell r="AA31">
            <v>10742290</v>
          </cell>
          <cell r="AB31">
            <v>10629150</v>
          </cell>
        </row>
        <row r="32">
          <cell r="B32">
            <v>15000000</v>
          </cell>
          <cell r="AA32">
            <v>71200</v>
          </cell>
          <cell r="AB32">
            <v>600000</v>
          </cell>
        </row>
        <row r="36">
          <cell r="AA36">
            <v>338318289.99999976</v>
          </cell>
        </row>
        <row r="64">
          <cell r="B64">
            <v>2260118760.375</v>
          </cell>
          <cell r="AB64">
            <v>415186710</v>
          </cell>
        </row>
        <row r="66">
          <cell r="AA66">
            <v>561968209.9999998</v>
          </cell>
          <cell r="AB66">
            <v>647366949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GRESO"/>
      <sheetName val="ANEXO INGRESOS"/>
      <sheetName val="RES"/>
      <sheetName val="ECO"/>
      <sheetName val="TEC"/>
      <sheetName val="TRANSF"/>
      <sheetName val="MER"/>
      <sheetName val="PPC"/>
      <sheetName val="FUN"/>
      <sheetName val="JUSTIFICACION BIOLÓGICO"/>
      <sheetName val="IMP 1.400.000-2012 FELIX"/>
      <sheetName val="IMP 800.000-2012 ALLF"/>
    </sheetNames>
    <sheetDataSet>
      <sheetData sheetId="1">
        <row r="13">
          <cell r="E13">
            <v>18074398</v>
          </cell>
          <cell r="F13">
            <v>17595468</v>
          </cell>
        </row>
        <row r="32">
          <cell r="E32">
            <v>33814839</v>
          </cell>
          <cell r="F32">
            <v>26602355</v>
          </cell>
        </row>
        <row r="37">
          <cell r="E37">
            <v>144891059</v>
          </cell>
          <cell r="F37">
            <v>310266890</v>
          </cell>
        </row>
        <row r="51">
          <cell r="E51">
            <v>276947909</v>
          </cell>
          <cell r="F51">
            <v>142753553</v>
          </cell>
        </row>
        <row r="57">
          <cell r="E57">
            <v>22503540</v>
          </cell>
          <cell r="F57">
            <v>33064925</v>
          </cell>
        </row>
        <row r="67">
          <cell r="E67">
            <v>23225206</v>
          </cell>
          <cell r="F67">
            <v>36745867</v>
          </cell>
        </row>
      </sheetData>
      <sheetData sheetId="3">
        <row r="82">
          <cell r="J82">
            <v>833896740.4250088</v>
          </cell>
          <cell r="N82">
            <v>772755366</v>
          </cell>
          <cell r="AB82">
            <v>605358535</v>
          </cell>
          <cell r="AC82">
            <v>586917713</v>
          </cell>
          <cell r="AD82">
            <v>558120038.05</v>
          </cell>
          <cell r="AE82">
            <v>641655724</v>
          </cell>
        </row>
      </sheetData>
      <sheetData sheetId="4">
        <row r="53">
          <cell r="N53">
            <v>235423197</v>
          </cell>
        </row>
        <row r="55">
          <cell r="J55">
            <v>191393001.19790465</v>
          </cell>
          <cell r="AB55">
            <v>151662047</v>
          </cell>
          <cell r="AC55">
            <v>255447010</v>
          </cell>
          <cell r="AD55">
            <v>387249995</v>
          </cell>
          <cell r="AE55">
            <v>485308466</v>
          </cell>
        </row>
      </sheetData>
      <sheetData sheetId="5">
        <row r="57">
          <cell r="J57">
            <v>208087833.97523117</v>
          </cell>
          <cell r="N57">
            <v>271199330</v>
          </cell>
          <cell r="AB57">
            <v>24229919</v>
          </cell>
          <cell r="AC57">
            <v>167861587</v>
          </cell>
          <cell r="AD57">
            <v>253713319</v>
          </cell>
          <cell r="AE57">
            <v>374890980</v>
          </cell>
        </row>
      </sheetData>
      <sheetData sheetId="6">
        <row r="82">
          <cell r="J82">
            <v>1122037163.7322588</v>
          </cell>
          <cell r="N82">
            <v>1830256823</v>
          </cell>
          <cell r="AB82">
            <v>878092005</v>
          </cell>
          <cell r="AC82">
            <v>851009442</v>
          </cell>
          <cell r="AD82">
            <v>2003766086</v>
          </cell>
          <cell r="AE82">
            <v>1248470134</v>
          </cell>
        </row>
      </sheetData>
      <sheetData sheetId="7">
        <row r="71">
          <cell r="J71">
            <v>1782916360.7857134</v>
          </cell>
          <cell r="N71">
            <v>2094378989</v>
          </cell>
          <cell r="AB71">
            <v>1344853599</v>
          </cell>
          <cell r="AC71">
            <v>1411178509</v>
          </cell>
          <cell r="AD71">
            <v>1744082223.46</v>
          </cell>
          <cell r="AE71">
            <v>1619379331.54</v>
          </cell>
        </row>
      </sheetData>
      <sheetData sheetId="8">
        <row r="22">
          <cell r="J22">
            <v>109933560.30303156</v>
          </cell>
          <cell r="N22">
            <v>99204610</v>
          </cell>
          <cell r="AB22">
            <v>95606156</v>
          </cell>
          <cell r="AC22">
            <v>88847666</v>
          </cell>
          <cell r="AD22">
            <v>96167042</v>
          </cell>
          <cell r="AE22">
            <v>95286967</v>
          </cell>
        </row>
        <row r="38">
          <cell r="J38">
            <v>118099193</v>
          </cell>
          <cell r="N38">
            <v>85184497</v>
          </cell>
          <cell r="AB38">
            <v>83981490</v>
          </cell>
          <cell r="AC38">
            <v>71004172</v>
          </cell>
          <cell r="AD38">
            <v>65841508.97</v>
          </cell>
          <cell r="AE38">
            <v>112012165.46000001</v>
          </cell>
        </row>
        <row r="41">
          <cell r="J41">
            <v>236351399.0625</v>
          </cell>
          <cell r="N41">
            <v>258382190.625</v>
          </cell>
          <cell r="AB41">
            <v>250277346</v>
          </cell>
          <cell r="AC41">
            <v>269024326.5</v>
          </cell>
          <cell r="AD41">
            <v>291231070</v>
          </cell>
          <cell r="AE41">
            <v>310632142</v>
          </cell>
        </row>
        <row r="42">
          <cell r="J42">
            <v>140810839.4375</v>
          </cell>
          <cell r="N42">
            <v>155029314.375</v>
          </cell>
          <cell r="AB42">
            <v>148029705</v>
          </cell>
          <cell r="AC42">
            <v>161414598.5</v>
          </cell>
          <cell r="AD42">
            <v>174738642</v>
          </cell>
          <cell r="AE42">
            <v>186379286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3">
        <row r="35">
          <cell r="C35" t="e">
            <v>#REF!</v>
          </cell>
        </row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  <row r="86">
          <cell r="B86">
            <v>117000000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</sheetNames>
    <sheetDataSet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6">
        <row r="5">
          <cell r="E5" t="str">
            <v>FECHA </v>
          </cell>
          <cell r="H5" t="str">
            <v>DIAS</v>
          </cell>
          <cell r="I5" t="str">
            <v>SIN AUMENTO</v>
          </cell>
          <cell r="L5" t="str">
            <v>VAC</v>
          </cell>
          <cell r="M5" t="str">
            <v>DIAS REALES</v>
          </cell>
          <cell r="N5" t="str">
            <v>CON AUMENTO</v>
          </cell>
          <cell r="O5" t="str">
            <v>TOTAL SUELDO</v>
          </cell>
          <cell r="P5" t="str">
            <v>SUELDO MENOS</v>
          </cell>
        </row>
        <row r="6">
          <cell r="E6" t="str">
            <v>INGRESO</v>
          </cell>
          <cell r="N6" t="str">
            <v>SUELDO</v>
          </cell>
          <cell r="P6" t="str">
            <v>VACACIONES</v>
          </cell>
        </row>
        <row r="8">
          <cell r="L8">
            <v>0</v>
          </cell>
          <cell r="M8">
            <v>360</v>
          </cell>
          <cell r="N8" t="e">
            <v>#REF!</v>
          </cell>
          <cell r="O8" t="e">
            <v>#REF!</v>
          </cell>
          <cell r="P8" t="e">
            <v>#REF!</v>
          </cell>
        </row>
        <row r="9">
          <cell r="L9">
            <v>0</v>
          </cell>
          <cell r="M9">
            <v>360</v>
          </cell>
          <cell r="N9" t="e">
            <v>#REF!</v>
          </cell>
          <cell r="O9" t="e">
            <v>#REF!</v>
          </cell>
          <cell r="P9" t="e">
            <v>#REF!</v>
          </cell>
        </row>
        <row r="11">
          <cell r="L11">
            <v>0</v>
          </cell>
          <cell r="M11">
            <v>360</v>
          </cell>
          <cell r="N11" t="e">
            <v>#REF!</v>
          </cell>
          <cell r="O11" t="e">
            <v>#REF!</v>
          </cell>
          <cell r="P11" t="e">
            <v>#REF!</v>
          </cell>
        </row>
        <row r="12">
          <cell r="L12">
            <v>0</v>
          </cell>
          <cell r="M12">
            <v>360</v>
          </cell>
          <cell r="N12" t="e">
            <v>#REF!</v>
          </cell>
          <cell r="O12" t="e">
            <v>#REF!</v>
          </cell>
          <cell r="P12" t="e">
            <v>#REF!</v>
          </cell>
        </row>
        <row r="14">
          <cell r="C14" t="str">
            <v>*</v>
          </cell>
          <cell r="L14">
            <v>0</v>
          </cell>
          <cell r="M14">
            <v>360</v>
          </cell>
          <cell r="N14" t="e">
            <v>#REF!</v>
          </cell>
          <cell r="O14" t="e">
            <v>#REF!</v>
          </cell>
          <cell r="P14" t="e">
            <v>#REF!</v>
          </cell>
        </row>
        <row r="16">
          <cell r="C16" t="str">
            <v>*</v>
          </cell>
          <cell r="L16">
            <v>0</v>
          </cell>
          <cell r="M16">
            <v>360</v>
          </cell>
          <cell r="N16" t="e">
            <v>#REF!</v>
          </cell>
          <cell r="O16" t="e">
            <v>#REF!</v>
          </cell>
          <cell r="P16" t="e">
            <v>#REF!</v>
          </cell>
        </row>
        <row r="17">
          <cell r="C17" t="str">
            <v> </v>
          </cell>
          <cell r="L17">
            <v>0</v>
          </cell>
          <cell r="M17">
            <v>360</v>
          </cell>
          <cell r="N17" t="e">
            <v>#REF!</v>
          </cell>
          <cell r="O17" t="e">
            <v>#REF!</v>
          </cell>
          <cell r="P17" t="e">
            <v>#REF!</v>
          </cell>
        </row>
        <row r="18">
          <cell r="C18" t="str">
            <v>*</v>
          </cell>
          <cell r="L18">
            <v>0</v>
          </cell>
          <cell r="M18">
            <v>360</v>
          </cell>
          <cell r="N18" t="e">
            <v>#REF!</v>
          </cell>
          <cell r="O18" t="e">
            <v>#REF!</v>
          </cell>
          <cell r="P18" t="e">
            <v>#REF!</v>
          </cell>
        </row>
        <row r="20">
          <cell r="L20">
            <v>0</v>
          </cell>
          <cell r="M20">
            <v>360</v>
          </cell>
          <cell r="N20" t="e">
            <v>#REF!</v>
          </cell>
          <cell r="O20" t="e">
            <v>#REF!</v>
          </cell>
          <cell r="P20" t="e">
            <v>#REF!</v>
          </cell>
        </row>
        <row r="21">
          <cell r="L21">
            <v>0</v>
          </cell>
          <cell r="M21">
            <v>1800</v>
          </cell>
          <cell r="N21" t="e">
            <v>#REF!</v>
          </cell>
          <cell r="O21" t="e">
            <v>#REF!</v>
          </cell>
          <cell r="P21" t="e">
            <v>#REF!</v>
          </cell>
        </row>
        <row r="22">
          <cell r="N22" t="e">
            <v>#REF!</v>
          </cell>
          <cell r="O22" t="e">
            <v>#REF!</v>
          </cell>
          <cell r="P22" t="e">
            <v>#REF!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  <sheetName val="Hoja2"/>
    </sheetNames>
    <sheetDataSet>
      <sheetData sheetId="3">
        <row r="35">
          <cell r="C35" t="e">
            <v>#REF!</v>
          </cell>
        </row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  <row r="86">
          <cell r="B86">
            <v>117000000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nexo 1 Minagricultura"/>
      <sheetName val="Presupuesto general"/>
      <sheetName val="2004VS2005"/>
      <sheetName val="Otros ingresos"/>
      <sheetName val="Anexo 2 "/>
      <sheetName val="Funcionamiento"/>
      <sheetName val="Nómina y honorarios II TRIM."/>
      <sheetName val="Inversión total en programas"/>
      <sheetName val="MODELO CONTRATISTAS"/>
      <sheetName val="Servicios personal 2005"/>
      <sheetName val="Nómina 2004"/>
    </sheetNames>
    <sheetDataSet>
      <sheetData sheetId="7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10">
        <row r="5">
          <cell r="E5" t="str">
            <v>FECHA </v>
          </cell>
          <cell r="H5" t="str">
            <v>DIAS</v>
          </cell>
          <cell r="I5" t="str">
            <v>SIN AUMENTO</v>
          </cell>
          <cell r="L5" t="str">
            <v>VAC</v>
          </cell>
          <cell r="M5" t="str">
            <v>DIAS REALES</v>
          </cell>
          <cell r="N5" t="str">
            <v>CON AUMENTO</v>
          </cell>
          <cell r="O5" t="str">
            <v>TOTAL SUELDO</v>
          </cell>
          <cell r="P5" t="str">
            <v>SUELDO MENOS</v>
          </cell>
        </row>
        <row r="6">
          <cell r="E6" t="str">
            <v>INGRESO</v>
          </cell>
          <cell r="N6" t="str">
            <v>SUELDO</v>
          </cell>
          <cell r="P6" t="str">
            <v>VACACIONES</v>
          </cell>
        </row>
        <row r="8">
          <cell r="L8">
            <v>0</v>
          </cell>
          <cell r="M8">
            <v>360</v>
          </cell>
          <cell r="N8" t="e">
            <v>#REF!</v>
          </cell>
          <cell r="O8" t="e">
            <v>#REF!</v>
          </cell>
          <cell r="P8" t="e">
            <v>#REF!</v>
          </cell>
        </row>
        <row r="9">
          <cell r="L9">
            <v>0</v>
          </cell>
          <cell r="M9">
            <v>360</v>
          </cell>
          <cell r="N9" t="e">
            <v>#REF!</v>
          </cell>
          <cell r="O9" t="e">
            <v>#REF!</v>
          </cell>
          <cell r="P9" t="e">
            <v>#REF!</v>
          </cell>
        </row>
        <row r="11">
          <cell r="L11">
            <v>0</v>
          </cell>
          <cell r="M11">
            <v>360</v>
          </cell>
          <cell r="N11" t="e">
            <v>#REF!</v>
          </cell>
          <cell r="O11" t="e">
            <v>#REF!</v>
          </cell>
          <cell r="P11" t="e">
            <v>#REF!</v>
          </cell>
        </row>
        <row r="12">
          <cell r="L12">
            <v>0</v>
          </cell>
          <cell r="M12">
            <v>360</v>
          </cell>
          <cell r="N12" t="e">
            <v>#REF!</v>
          </cell>
          <cell r="O12" t="e">
            <v>#REF!</v>
          </cell>
          <cell r="P12" t="e">
            <v>#REF!</v>
          </cell>
        </row>
        <row r="14">
          <cell r="C14" t="str">
            <v>*</v>
          </cell>
          <cell r="L14">
            <v>0</v>
          </cell>
          <cell r="M14">
            <v>360</v>
          </cell>
          <cell r="N14" t="e">
            <v>#REF!</v>
          </cell>
          <cell r="O14" t="e">
            <v>#REF!</v>
          </cell>
          <cell r="P14" t="e">
            <v>#REF!</v>
          </cell>
        </row>
        <row r="16">
          <cell r="C16" t="str">
            <v>*</v>
          </cell>
          <cell r="L16">
            <v>0</v>
          </cell>
          <cell r="M16">
            <v>360</v>
          </cell>
          <cell r="N16" t="e">
            <v>#REF!</v>
          </cell>
          <cell r="O16" t="e">
            <v>#REF!</v>
          </cell>
          <cell r="P16" t="e">
            <v>#REF!</v>
          </cell>
        </row>
        <row r="17">
          <cell r="C17" t="str">
            <v> </v>
          </cell>
          <cell r="L17">
            <v>0</v>
          </cell>
          <cell r="M17">
            <v>360</v>
          </cell>
          <cell r="N17" t="e">
            <v>#REF!</v>
          </cell>
          <cell r="O17" t="e">
            <v>#REF!</v>
          </cell>
          <cell r="P17" t="e">
            <v>#REF!</v>
          </cell>
        </row>
        <row r="18">
          <cell r="C18" t="str">
            <v>*</v>
          </cell>
          <cell r="L18">
            <v>0</v>
          </cell>
          <cell r="M18">
            <v>360</v>
          </cell>
          <cell r="N18" t="e">
            <v>#REF!</v>
          </cell>
          <cell r="O18" t="e">
            <v>#REF!</v>
          </cell>
          <cell r="P18" t="e">
            <v>#REF!</v>
          </cell>
        </row>
        <row r="20">
          <cell r="L20">
            <v>0</v>
          </cell>
          <cell r="M20">
            <v>360</v>
          </cell>
          <cell r="N20" t="e">
            <v>#REF!</v>
          </cell>
          <cell r="O20" t="e">
            <v>#REF!</v>
          </cell>
          <cell r="P20" t="e">
            <v>#REF!</v>
          </cell>
        </row>
        <row r="21">
          <cell r="L21">
            <v>0</v>
          </cell>
          <cell r="M21">
            <v>1800</v>
          </cell>
          <cell r="N21" t="e">
            <v>#REF!</v>
          </cell>
          <cell r="O21" t="e">
            <v>#REF!</v>
          </cell>
          <cell r="P21" t="e">
            <v>#REF!</v>
          </cell>
        </row>
        <row r="22">
          <cell r="N22" t="e">
            <v>#REF!</v>
          </cell>
          <cell r="O22" t="e">
            <v>#REF!</v>
          </cell>
          <cell r="P22" t="e">
            <v>#REF!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Rendimientos"/>
      <sheetName val="Escenario PPC"/>
      <sheetName val="Ejecución ingresos 2011"/>
      <sheetName val="Ejecución gastos 2011"/>
      <sheetName val="Superavit 2011"/>
      <sheetName val="Anexo 2 "/>
      <sheetName val="Anexo 3 "/>
      <sheetName val="Anexo 4"/>
      <sheetName val="Funcionamiento"/>
      <sheetName val="Nómina y honorarios 2012"/>
      <sheetName val="Comparativo nómina 2011-2012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15">
          <cell r="D15">
            <v>6359406968.997001</v>
          </cell>
        </row>
        <row r="21">
          <cell r="B21">
            <v>1373137059.4702625</v>
          </cell>
          <cell r="C21">
            <v>1275499721.4702625</v>
          </cell>
        </row>
        <row r="32">
          <cell r="D32">
            <v>3717266450.6400003</v>
          </cell>
        </row>
        <row r="46">
          <cell r="C46">
            <v>2805208.191</v>
          </cell>
        </row>
        <row r="53">
          <cell r="C53">
            <v>3778</v>
          </cell>
        </row>
        <row r="54">
          <cell r="C54">
            <v>2267</v>
          </cell>
        </row>
      </sheetData>
      <sheetData sheetId="15">
        <row r="35">
          <cell r="C35" t="e">
            <v>#REF!</v>
          </cell>
        </row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  <row r="86">
          <cell r="B86">
            <v>117000000</v>
          </cell>
        </row>
      </sheetData>
      <sheetData sheetId="18">
        <row r="5">
          <cell r="E5" t="str">
            <v>FECHA </v>
          </cell>
          <cell r="H5" t="str">
            <v>DIAS</v>
          </cell>
          <cell r="I5" t="str">
            <v>SIN AUMENTO</v>
          </cell>
          <cell r="L5" t="str">
            <v>VAC</v>
          </cell>
          <cell r="M5" t="str">
            <v>DIAS REALES</v>
          </cell>
          <cell r="N5" t="str">
            <v>CON AUMENTO</v>
          </cell>
          <cell r="O5" t="str">
            <v>TOTAL SUELDO</v>
          </cell>
          <cell r="P5" t="str">
            <v>SUELDO MENOS</v>
          </cell>
        </row>
        <row r="6">
          <cell r="E6" t="str">
            <v>INGRESO</v>
          </cell>
          <cell r="N6" t="str">
            <v>SUELDO</v>
          </cell>
          <cell r="P6" t="str">
            <v>VACACIONES</v>
          </cell>
        </row>
        <row r="8">
          <cell r="L8">
            <v>0</v>
          </cell>
          <cell r="M8">
            <v>360</v>
          </cell>
          <cell r="N8" t="e">
            <v>#REF!</v>
          </cell>
          <cell r="O8" t="e">
            <v>#REF!</v>
          </cell>
          <cell r="P8" t="e">
            <v>#REF!</v>
          </cell>
        </row>
        <row r="9">
          <cell r="L9">
            <v>0</v>
          </cell>
          <cell r="M9">
            <v>360</v>
          </cell>
          <cell r="N9" t="e">
            <v>#REF!</v>
          </cell>
          <cell r="O9" t="e">
            <v>#REF!</v>
          </cell>
          <cell r="P9" t="e">
            <v>#REF!</v>
          </cell>
        </row>
        <row r="11">
          <cell r="L11">
            <v>0</v>
          </cell>
          <cell r="M11">
            <v>360</v>
          </cell>
          <cell r="N11" t="e">
            <v>#REF!</v>
          </cell>
          <cell r="O11" t="e">
            <v>#REF!</v>
          </cell>
          <cell r="P11" t="e">
            <v>#REF!</v>
          </cell>
        </row>
        <row r="12">
          <cell r="L12">
            <v>0</v>
          </cell>
          <cell r="M12">
            <v>360</v>
          </cell>
          <cell r="N12" t="e">
            <v>#REF!</v>
          </cell>
          <cell r="O12" t="e">
            <v>#REF!</v>
          </cell>
          <cell r="P12" t="e">
            <v>#REF!</v>
          </cell>
        </row>
        <row r="14">
          <cell r="C14" t="str">
            <v>*</v>
          </cell>
          <cell r="L14">
            <v>0</v>
          </cell>
          <cell r="M14">
            <v>360</v>
          </cell>
          <cell r="N14" t="e">
            <v>#REF!</v>
          </cell>
          <cell r="O14" t="e">
            <v>#REF!</v>
          </cell>
          <cell r="P14" t="e">
            <v>#REF!</v>
          </cell>
        </row>
        <row r="16">
          <cell r="C16" t="str">
            <v>*</v>
          </cell>
          <cell r="L16">
            <v>0</v>
          </cell>
          <cell r="M16">
            <v>360</v>
          </cell>
          <cell r="N16" t="e">
            <v>#REF!</v>
          </cell>
          <cell r="O16" t="e">
            <v>#REF!</v>
          </cell>
          <cell r="P16" t="e">
            <v>#REF!</v>
          </cell>
        </row>
        <row r="17">
          <cell r="C17" t="str">
            <v> </v>
          </cell>
          <cell r="L17">
            <v>0</v>
          </cell>
          <cell r="M17">
            <v>360</v>
          </cell>
          <cell r="N17" t="e">
            <v>#REF!</v>
          </cell>
          <cell r="O17" t="e">
            <v>#REF!</v>
          </cell>
          <cell r="P17" t="e">
            <v>#REF!</v>
          </cell>
        </row>
        <row r="18">
          <cell r="C18" t="str">
            <v>*</v>
          </cell>
          <cell r="L18">
            <v>0</v>
          </cell>
          <cell r="M18">
            <v>360</v>
          </cell>
          <cell r="N18" t="e">
            <v>#REF!</v>
          </cell>
          <cell r="O18" t="e">
            <v>#REF!</v>
          </cell>
          <cell r="P18" t="e">
            <v>#REF!</v>
          </cell>
        </row>
        <row r="20">
          <cell r="L20">
            <v>0</v>
          </cell>
          <cell r="M20">
            <v>360</v>
          </cell>
          <cell r="N20" t="e">
            <v>#REF!</v>
          </cell>
          <cell r="O20" t="e">
            <v>#REF!</v>
          </cell>
          <cell r="P20" t="e">
            <v>#REF!</v>
          </cell>
        </row>
        <row r="21">
          <cell r="L21">
            <v>0</v>
          </cell>
          <cell r="M21">
            <v>1800</v>
          </cell>
          <cell r="N21" t="e">
            <v>#REF!</v>
          </cell>
          <cell r="O21" t="e">
            <v>#REF!</v>
          </cell>
          <cell r="P21" t="e">
            <v>#REF!</v>
          </cell>
        </row>
        <row r="22">
          <cell r="N22" t="e">
            <v>#REF!</v>
          </cell>
          <cell r="O22" t="e">
            <v>#REF!</v>
          </cell>
          <cell r="P22" t="e">
            <v>#REF!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CO ENE-MAR 10"/>
      <sheetName val="TÉC ENE-MAR 10"/>
      <sheetName val="PPC ENE-MAR 10"/>
      <sheetName val="MER ENE-MAR 10"/>
      <sheetName val="FUN ENE-MAR 10"/>
      <sheetName val="ECO AB-JUN10"/>
      <sheetName val="TÉC AB-JUN10"/>
      <sheetName val="PPC AB-JUN10 "/>
      <sheetName val="MER AB-JUN10"/>
      <sheetName val="FUN AB-JUN10"/>
      <sheetName val="ECO JUL-SEP10"/>
      <sheetName val="TÉC JUL-SEP10"/>
      <sheetName val="PPC JUL-SEP10"/>
      <sheetName val="MER JUL-SEP10"/>
      <sheetName val="FUN JUL-SEP10"/>
      <sheetName val="ECO OCT-DIC10"/>
      <sheetName val="TEC OCT-DIC10"/>
      <sheetName val="PPC OCT-DIC10"/>
      <sheetName val="MER OCT-DIC10"/>
      <sheetName val="FUN OCT-DOC10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nexo 1 Minagricultura"/>
      <sheetName val="Otros ingresos"/>
      <sheetName val="Anexo 2 "/>
      <sheetName val="Funcionamiento"/>
      <sheetName val="Nómina y honorarios 2012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nexo 1 Minagricultura"/>
      <sheetName val="Ejecutado"/>
      <sheetName val="Anexo 2 X Areas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4">
        <row r="86">
          <cell r="B86">
            <v>117000000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Anexo 1 Minagricultura"/>
      <sheetName val="Anexo 2 "/>
    </sheetNames>
    <sheetDataSet>
      <sheetData sheetId="0">
        <row r="23">
          <cell r="E23">
            <v>132871664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Ejecución ingresos 2012"/>
      <sheetName val="Ejecucion de gastos  20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o 1 Minagricultura"/>
      <sheetName val="Presupuesto general"/>
      <sheetName val="2004VS2005"/>
      <sheetName val="Otros ingresos"/>
      <sheetName val="Anexo 2 "/>
      <sheetName val="Funcionamiento"/>
      <sheetName val="Nómina y honorarios III TRIM."/>
      <sheetName val="Inversión total en programas"/>
      <sheetName val="MODELO CONTRATISTAS"/>
      <sheetName val="Servicios personal 2005"/>
      <sheetName val="Nómina 2004"/>
      <sheetName val="Nómina y honorarios II TRIM."/>
    </sheetNames>
    <sheetDataSet>
      <sheetData sheetId="4">
        <row r="32">
          <cell r="C3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C115">
            <v>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Rendimientos"/>
      <sheetName val="Escenario PPC"/>
      <sheetName val="Ejecución ingresos 2011"/>
      <sheetName val="Ejecución gastos 2011"/>
      <sheetName val="Superavit 2011"/>
      <sheetName val="Anexo 2 "/>
      <sheetName val="Anexo 3 "/>
      <sheetName val="Anexo 4"/>
      <sheetName val="Funcionamiento"/>
      <sheetName val="Nómina y honorarios 2012"/>
      <sheetName val="Comparativo nómina 2011-2012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15">
          <cell r="D15">
            <v>6359406968.997001</v>
          </cell>
        </row>
        <row r="21">
          <cell r="B21">
            <v>1373137059.4702625</v>
          </cell>
          <cell r="C21">
            <v>1275499721.4702625</v>
          </cell>
        </row>
        <row r="32">
          <cell r="D32">
            <v>3717266450.6400003</v>
          </cell>
        </row>
        <row r="46">
          <cell r="C46">
            <v>2805208.191</v>
          </cell>
        </row>
        <row r="53">
          <cell r="C53">
            <v>3778</v>
          </cell>
        </row>
        <row r="54">
          <cell r="C54">
            <v>2267</v>
          </cell>
        </row>
      </sheetData>
      <sheetData sheetId="15">
        <row r="35">
          <cell r="C35" t="e">
            <v>#REF!</v>
          </cell>
        </row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  <row r="86">
          <cell r="B86">
            <v>117000000</v>
          </cell>
        </row>
      </sheetData>
      <sheetData sheetId="18">
        <row r="5">
          <cell r="E5" t="str">
            <v>FECHA </v>
          </cell>
          <cell r="H5" t="str">
            <v>DIAS</v>
          </cell>
          <cell r="I5" t="str">
            <v>SIN AUMENTO</v>
          </cell>
          <cell r="L5" t="str">
            <v>VAC</v>
          </cell>
          <cell r="M5" t="str">
            <v>DIAS REALES</v>
          </cell>
          <cell r="N5" t="str">
            <v>CON AUMENTO</v>
          </cell>
          <cell r="O5" t="str">
            <v>TOTAL SUELDO</v>
          </cell>
          <cell r="P5" t="str">
            <v>SUELDO MENOS</v>
          </cell>
        </row>
        <row r="6">
          <cell r="E6" t="str">
            <v>INGRESO</v>
          </cell>
          <cell r="N6" t="str">
            <v>SUELDO</v>
          </cell>
          <cell r="P6" t="str">
            <v>VACACIONES</v>
          </cell>
        </row>
        <row r="8">
          <cell r="L8">
            <v>0</v>
          </cell>
          <cell r="M8">
            <v>360</v>
          </cell>
          <cell r="N8" t="e">
            <v>#REF!</v>
          </cell>
          <cell r="O8" t="e">
            <v>#REF!</v>
          </cell>
          <cell r="P8" t="e">
            <v>#REF!</v>
          </cell>
        </row>
        <row r="9">
          <cell r="L9">
            <v>0</v>
          </cell>
          <cell r="M9">
            <v>360</v>
          </cell>
          <cell r="N9" t="e">
            <v>#REF!</v>
          </cell>
          <cell r="O9" t="e">
            <v>#REF!</v>
          </cell>
          <cell r="P9" t="e">
            <v>#REF!</v>
          </cell>
        </row>
        <row r="11">
          <cell r="L11">
            <v>0</v>
          </cell>
          <cell r="M11">
            <v>360</v>
          </cell>
          <cell r="N11" t="e">
            <v>#REF!</v>
          </cell>
          <cell r="O11" t="e">
            <v>#REF!</v>
          </cell>
          <cell r="P11" t="e">
            <v>#REF!</v>
          </cell>
        </row>
        <row r="12">
          <cell r="L12">
            <v>0</v>
          </cell>
          <cell r="M12">
            <v>360</v>
          </cell>
          <cell r="N12" t="e">
            <v>#REF!</v>
          </cell>
          <cell r="O12" t="e">
            <v>#REF!</v>
          </cell>
          <cell r="P12" t="e">
            <v>#REF!</v>
          </cell>
        </row>
        <row r="14">
          <cell r="C14" t="str">
            <v>*</v>
          </cell>
          <cell r="L14">
            <v>0</v>
          </cell>
          <cell r="M14">
            <v>360</v>
          </cell>
          <cell r="N14" t="e">
            <v>#REF!</v>
          </cell>
          <cell r="O14" t="e">
            <v>#REF!</v>
          </cell>
          <cell r="P14" t="e">
            <v>#REF!</v>
          </cell>
        </row>
        <row r="16">
          <cell r="C16" t="str">
            <v>*</v>
          </cell>
          <cell r="L16">
            <v>0</v>
          </cell>
          <cell r="M16">
            <v>360</v>
          </cell>
          <cell r="N16" t="e">
            <v>#REF!</v>
          </cell>
          <cell r="O16" t="e">
            <v>#REF!</v>
          </cell>
          <cell r="P16" t="e">
            <v>#REF!</v>
          </cell>
        </row>
        <row r="17">
          <cell r="C17" t="str">
            <v> </v>
          </cell>
          <cell r="L17">
            <v>0</v>
          </cell>
          <cell r="M17">
            <v>360</v>
          </cell>
          <cell r="N17" t="e">
            <v>#REF!</v>
          </cell>
          <cell r="O17" t="e">
            <v>#REF!</v>
          </cell>
          <cell r="P17" t="e">
            <v>#REF!</v>
          </cell>
        </row>
        <row r="18">
          <cell r="C18" t="str">
            <v>*</v>
          </cell>
          <cell r="L18">
            <v>0</v>
          </cell>
          <cell r="M18">
            <v>360</v>
          </cell>
          <cell r="N18" t="e">
            <v>#REF!</v>
          </cell>
          <cell r="O18" t="e">
            <v>#REF!</v>
          </cell>
          <cell r="P18" t="e">
            <v>#REF!</v>
          </cell>
        </row>
        <row r="20">
          <cell r="L20">
            <v>0</v>
          </cell>
          <cell r="M20">
            <v>360</v>
          </cell>
          <cell r="N20" t="e">
            <v>#REF!</v>
          </cell>
          <cell r="O20" t="e">
            <v>#REF!</v>
          </cell>
          <cell r="P20" t="e">
            <v>#REF!</v>
          </cell>
        </row>
        <row r="21">
          <cell r="L21">
            <v>0</v>
          </cell>
          <cell r="M21">
            <v>1800</v>
          </cell>
          <cell r="N21" t="e">
            <v>#REF!</v>
          </cell>
          <cell r="O21" t="e">
            <v>#REF!</v>
          </cell>
          <cell r="P21" t="e">
            <v>#REF!</v>
          </cell>
        </row>
        <row r="22">
          <cell r="N22" t="e">
            <v>#REF!</v>
          </cell>
          <cell r="O22" t="e">
            <v>#REF!</v>
          </cell>
          <cell r="P22" t="e">
            <v>#REF!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4">
        <row r="86">
          <cell r="B86">
            <v>117000000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nexo 1 Minagricultura"/>
      <sheetName val="ANEXO INGRESOS"/>
      <sheetName val="Otros ingresos"/>
      <sheetName val="Presupuesto general"/>
      <sheetName val="2004VS2005"/>
      <sheetName val="Rendimientos "/>
      <sheetName val="Escenario PPC"/>
      <sheetName val="Ejecución ingresos 2012"/>
      <sheetName val="Ejecucion de gastos  2012"/>
      <sheetName val="Superavit 2012"/>
      <sheetName val="Anexo 2 "/>
      <sheetName val="Funcionamiento"/>
      <sheetName val="Anexo 3"/>
      <sheetName val="Anexo 4"/>
      <sheetName val="Nómina y honorarios 2013"/>
      <sheetName val="Comparativo nómina 2012-2013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15">
          <cell r="D15">
            <v>7397690863.9536</v>
          </cell>
        </row>
        <row r="21">
          <cell r="B21">
            <v>2243753377.977331</v>
          </cell>
          <cell r="C21">
            <v>3155115746.977331</v>
          </cell>
        </row>
        <row r="32">
          <cell r="D32">
            <v>2062421440</v>
          </cell>
        </row>
        <row r="46">
          <cell r="C46">
            <v>3137273.4792</v>
          </cell>
        </row>
        <row r="53">
          <cell r="C53">
            <v>3930</v>
          </cell>
        </row>
        <row r="54">
          <cell r="C54">
            <v>2358</v>
          </cell>
        </row>
      </sheetData>
      <sheetData sheetId="16">
        <row r="35">
          <cell r="C35" t="e">
            <v>#REF!</v>
          </cell>
        </row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  <row r="86">
          <cell r="B86">
            <v>117000000</v>
          </cell>
        </row>
      </sheetData>
      <sheetData sheetId="19">
        <row r="5">
          <cell r="E5" t="str">
            <v>FECHA </v>
          </cell>
          <cell r="H5" t="str">
            <v>DIAS</v>
          </cell>
          <cell r="I5" t="str">
            <v>SIN AUMENTO</v>
          </cell>
          <cell r="L5" t="str">
            <v>VAC</v>
          </cell>
          <cell r="M5" t="str">
            <v>DIAS REALES</v>
          </cell>
          <cell r="N5" t="str">
            <v>CON AUMENTO</v>
          </cell>
          <cell r="O5" t="str">
            <v>TOTAL SUELDO</v>
          </cell>
          <cell r="P5" t="str">
            <v>SUELDO MENOS</v>
          </cell>
        </row>
        <row r="6">
          <cell r="E6" t="str">
            <v>INGRESO</v>
          </cell>
          <cell r="N6" t="str">
            <v>SUELDO</v>
          </cell>
          <cell r="P6" t="str">
            <v>VACACIONES</v>
          </cell>
        </row>
        <row r="8">
          <cell r="L8">
            <v>0</v>
          </cell>
          <cell r="M8">
            <v>360</v>
          </cell>
          <cell r="N8" t="e">
            <v>#REF!</v>
          </cell>
          <cell r="O8" t="e">
            <v>#REF!</v>
          </cell>
          <cell r="P8" t="e">
            <v>#REF!</v>
          </cell>
        </row>
        <row r="9">
          <cell r="L9">
            <v>0</v>
          </cell>
          <cell r="M9">
            <v>360</v>
          </cell>
          <cell r="N9" t="e">
            <v>#REF!</v>
          </cell>
          <cell r="O9" t="e">
            <v>#REF!</v>
          </cell>
          <cell r="P9" t="e">
            <v>#REF!</v>
          </cell>
        </row>
        <row r="11">
          <cell r="L11">
            <v>0</v>
          </cell>
          <cell r="M11">
            <v>360</v>
          </cell>
          <cell r="N11" t="e">
            <v>#REF!</v>
          </cell>
          <cell r="O11" t="e">
            <v>#REF!</v>
          </cell>
          <cell r="P11" t="e">
            <v>#REF!</v>
          </cell>
        </row>
        <row r="12">
          <cell r="L12">
            <v>0</v>
          </cell>
          <cell r="M12">
            <v>360</v>
          </cell>
          <cell r="N12" t="e">
            <v>#REF!</v>
          </cell>
          <cell r="O12" t="e">
            <v>#REF!</v>
          </cell>
          <cell r="P12" t="e">
            <v>#REF!</v>
          </cell>
        </row>
        <row r="14">
          <cell r="C14" t="str">
            <v>*</v>
          </cell>
          <cell r="L14">
            <v>0</v>
          </cell>
          <cell r="M14">
            <v>360</v>
          </cell>
          <cell r="N14" t="e">
            <v>#REF!</v>
          </cell>
          <cell r="O14" t="e">
            <v>#REF!</v>
          </cell>
          <cell r="P14" t="e">
            <v>#REF!</v>
          </cell>
        </row>
        <row r="16">
          <cell r="C16" t="str">
            <v>*</v>
          </cell>
          <cell r="L16">
            <v>0</v>
          </cell>
          <cell r="M16">
            <v>360</v>
          </cell>
          <cell r="N16" t="e">
            <v>#REF!</v>
          </cell>
          <cell r="O16" t="e">
            <v>#REF!</v>
          </cell>
          <cell r="P16" t="e">
            <v>#REF!</v>
          </cell>
        </row>
        <row r="17">
          <cell r="C17" t="str">
            <v> </v>
          </cell>
          <cell r="L17">
            <v>0</v>
          </cell>
          <cell r="M17">
            <v>360</v>
          </cell>
          <cell r="N17" t="e">
            <v>#REF!</v>
          </cell>
          <cell r="O17" t="e">
            <v>#REF!</v>
          </cell>
          <cell r="P17" t="e">
            <v>#REF!</v>
          </cell>
        </row>
        <row r="18">
          <cell r="C18" t="str">
            <v>*</v>
          </cell>
          <cell r="L18">
            <v>0</v>
          </cell>
          <cell r="M18">
            <v>360</v>
          </cell>
          <cell r="N18" t="e">
            <v>#REF!</v>
          </cell>
          <cell r="O18" t="e">
            <v>#REF!</v>
          </cell>
          <cell r="P18" t="e">
            <v>#REF!</v>
          </cell>
        </row>
        <row r="20">
          <cell r="L20">
            <v>0</v>
          </cell>
          <cell r="M20">
            <v>360</v>
          </cell>
          <cell r="N20" t="e">
            <v>#REF!</v>
          </cell>
          <cell r="O20" t="e">
            <v>#REF!</v>
          </cell>
          <cell r="P20" t="e">
            <v>#REF!</v>
          </cell>
        </row>
        <row r="21">
          <cell r="L21">
            <v>0</v>
          </cell>
          <cell r="M21">
            <v>1800</v>
          </cell>
          <cell r="N21" t="e">
            <v>#REF!</v>
          </cell>
          <cell r="O21" t="e">
            <v>#REF!</v>
          </cell>
          <cell r="P21" t="e">
            <v>#REF!</v>
          </cell>
        </row>
        <row r="22">
          <cell r="N22" t="e">
            <v>#REF!</v>
          </cell>
          <cell r="O22" t="e">
            <v>#REF!</v>
          </cell>
          <cell r="P22" t="e">
            <v>#REF!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ANEXO I"/>
      <sheetName val="ANEXO INGRESOS"/>
      <sheetName val="ANEXO II"/>
      <sheetName val="Anexo 2 x Areas"/>
      <sheetName val="SUPERAVIT"/>
      <sheetName val="RES"/>
      <sheetName val="ECO"/>
      <sheetName val="TEC"/>
      <sheetName val="PPC"/>
      <sheetName val="MER"/>
      <sheetName val="FU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CO ENE-MAR-11"/>
      <sheetName val="TÉC ENE-MAR-11"/>
      <sheetName val="PPC ENE-MAR-11"/>
      <sheetName val="MER ENE-MAR-11"/>
      <sheetName val="FUN ENE-MAR-11"/>
      <sheetName val="ECO ABR-JUN-11"/>
      <sheetName val="TÉC ABR-JUN-11"/>
      <sheetName val="PPC ABR-JUN-11"/>
      <sheetName val="MER ABR-JUN-11"/>
      <sheetName val="FUN ABR-JUN-11"/>
      <sheetName val="ECO JUL-SEP-11"/>
      <sheetName val="TEC JUL-SEP-11"/>
      <sheetName val="PPC JUL-SEP-11"/>
      <sheetName val="MER JUL-SEP-11"/>
      <sheetName val="FUN JUL-SEP-11"/>
      <sheetName val="ECO OCT-DIC-11"/>
      <sheetName val="TEC OCT-DIC"/>
      <sheetName val="PPC OCT-DIC-11"/>
      <sheetName val="MER OCT-DIC-11"/>
      <sheetName val="FUN OCT-DIC-11"/>
      <sheetName val="IMPORTACION FELIXCAN 1"/>
      <sheetName val="IMPORTACION FELIXCAN 2"/>
      <sheetName val="IMPORTACION"/>
    </sheetNames>
    <sheetDataSet>
      <sheetData sheetId="0">
        <row r="9">
          <cell r="G9">
            <v>120703028</v>
          </cell>
        </row>
        <row r="19">
          <cell r="G19">
            <v>8409384</v>
          </cell>
        </row>
        <row r="26">
          <cell r="G26">
            <v>1009126</v>
          </cell>
        </row>
        <row r="33">
          <cell r="G33">
            <v>8409384</v>
          </cell>
        </row>
        <row r="40">
          <cell r="G40">
            <v>5029294</v>
          </cell>
        </row>
        <row r="47">
          <cell r="G47">
            <v>26286423</v>
          </cell>
        </row>
        <row r="54">
          <cell r="G54">
            <v>4963800</v>
          </cell>
        </row>
        <row r="61">
          <cell r="G61">
            <v>6206100</v>
          </cell>
        </row>
        <row r="68">
          <cell r="G68">
            <v>0</v>
          </cell>
        </row>
        <row r="72">
          <cell r="G72">
            <v>7676027</v>
          </cell>
        </row>
        <row r="85">
          <cell r="G85">
            <v>13596852</v>
          </cell>
        </row>
        <row r="91">
          <cell r="G91">
            <v>1545000</v>
          </cell>
        </row>
        <row r="99">
          <cell r="G99">
            <v>1751568</v>
          </cell>
        </row>
        <row r="109">
          <cell r="G109">
            <v>2498909</v>
          </cell>
        </row>
        <row r="114">
          <cell r="G114">
            <v>2392095</v>
          </cell>
        </row>
        <row r="124">
          <cell r="G124">
            <v>2359440</v>
          </cell>
        </row>
        <row r="130">
          <cell r="G130">
            <v>10742290</v>
          </cell>
        </row>
        <row r="142">
          <cell r="G142">
            <v>71200</v>
          </cell>
        </row>
        <row r="154">
          <cell r="G154">
            <v>136194792.79999983</v>
          </cell>
        </row>
        <row r="302">
          <cell r="G302">
            <v>34048698.19999996</v>
          </cell>
        </row>
        <row r="451">
          <cell r="G451">
            <v>0</v>
          </cell>
        </row>
        <row r="455">
          <cell r="G455">
            <v>0</v>
          </cell>
        </row>
        <row r="459">
          <cell r="G459">
            <v>1762400</v>
          </cell>
        </row>
        <row r="465">
          <cell r="G465">
            <v>13947778</v>
          </cell>
        </row>
        <row r="486">
          <cell r="G486">
            <v>6293697</v>
          </cell>
        </row>
        <row r="510">
          <cell r="G510">
            <v>8837400</v>
          </cell>
        </row>
        <row r="516">
          <cell r="G516">
            <v>0</v>
          </cell>
        </row>
        <row r="521">
          <cell r="G521">
            <v>9180432</v>
          </cell>
        </row>
        <row r="535">
          <cell r="G535">
            <v>27809470</v>
          </cell>
        </row>
        <row r="589">
          <cell r="G589">
            <v>10248372</v>
          </cell>
        </row>
        <row r="604">
          <cell r="G604">
            <v>44040907</v>
          </cell>
        </row>
        <row r="656">
          <cell r="G656">
            <v>17855537</v>
          </cell>
        </row>
        <row r="682">
          <cell r="G682">
            <v>10650937</v>
          </cell>
        </row>
        <row r="705">
          <cell r="G705">
            <v>8117951</v>
          </cell>
        </row>
        <row r="734">
          <cell r="G734">
            <v>9329918</v>
          </cell>
        </row>
      </sheetData>
      <sheetData sheetId="1">
        <row r="9">
          <cell r="G9">
            <v>39941371</v>
          </cell>
        </row>
        <row r="20">
          <cell r="G20">
            <v>1680734</v>
          </cell>
        </row>
        <row r="27">
          <cell r="G27">
            <v>201688</v>
          </cell>
        </row>
        <row r="34">
          <cell r="G34">
            <v>1680734</v>
          </cell>
        </row>
        <row r="41">
          <cell r="G41">
            <v>1664225</v>
          </cell>
        </row>
        <row r="48">
          <cell r="G48">
            <v>7555806</v>
          </cell>
        </row>
        <row r="55">
          <cell r="G55">
            <v>1440200</v>
          </cell>
        </row>
        <row r="62">
          <cell r="G62">
            <v>1800000</v>
          </cell>
        </row>
        <row r="69">
          <cell r="G69">
            <v>0</v>
          </cell>
        </row>
        <row r="76">
          <cell r="G76">
            <v>1545000</v>
          </cell>
        </row>
        <row r="84">
          <cell r="G84">
            <v>522035</v>
          </cell>
        </row>
        <row r="94">
          <cell r="G94">
            <v>1798184</v>
          </cell>
        </row>
        <row r="106">
          <cell r="G106">
            <v>713015</v>
          </cell>
        </row>
        <row r="115">
          <cell r="G115">
            <v>0</v>
          </cell>
        </row>
        <row r="123">
          <cell r="G123">
            <v>0</v>
          </cell>
        </row>
        <row r="128">
          <cell r="G128">
            <v>0</v>
          </cell>
        </row>
        <row r="133">
          <cell r="G133">
            <v>0</v>
          </cell>
        </row>
        <row r="137">
          <cell r="G137">
            <v>0</v>
          </cell>
        </row>
        <row r="144">
          <cell r="G144">
            <v>0</v>
          </cell>
        </row>
        <row r="150">
          <cell r="G150">
            <v>1502500</v>
          </cell>
        </row>
        <row r="157">
          <cell r="G157">
            <v>8365720</v>
          </cell>
        </row>
        <row r="165">
          <cell r="G165">
            <v>1852489</v>
          </cell>
        </row>
        <row r="177">
          <cell r="G177">
            <v>4619950</v>
          </cell>
        </row>
        <row r="183">
          <cell r="G183">
            <v>3190431.2</v>
          </cell>
        </row>
        <row r="191">
          <cell r="G191">
            <v>0</v>
          </cell>
        </row>
        <row r="200">
          <cell r="G200">
            <v>0</v>
          </cell>
        </row>
        <row r="206">
          <cell r="G206">
            <v>0</v>
          </cell>
        </row>
        <row r="212">
          <cell r="G212">
            <v>4513363</v>
          </cell>
        </row>
        <row r="233">
          <cell r="G233">
            <v>23142478</v>
          </cell>
        </row>
        <row r="265">
          <cell r="G265">
            <v>33138428</v>
          </cell>
        </row>
      </sheetData>
      <sheetData sheetId="2">
        <row r="10">
          <cell r="G10">
            <v>129970005</v>
          </cell>
        </row>
        <row r="23">
          <cell r="G23">
            <v>9207228</v>
          </cell>
        </row>
        <row r="30">
          <cell r="G30">
            <v>1104868</v>
          </cell>
        </row>
        <row r="37">
          <cell r="G37">
            <v>9207228</v>
          </cell>
        </row>
        <row r="44">
          <cell r="G44">
            <v>5385283</v>
          </cell>
        </row>
        <row r="51">
          <cell r="G51">
            <v>29170940</v>
          </cell>
        </row>
        <row r="58">
          <cell r="G58">
            <v>5468400</v>
          </cell>
        </row>
        <row r="65">
          <cell r="G65">
            <v>6836900</v>
          </cell>
        </row>
        <row r="72">
          <cell r="G72">
            <v>0</v>
          </cell>
        </row>
        <row r="78">
          <cell r="G78">
            <v>0</v>
          </cell>
        </row>
        <row r="84">
          <cell r="G84">
            <v>4715169</v>
          </cell>
        </row>
        <row r="92">
          <cell r="G92">
            <v>1205146</v>
          </cell>
        </row>
        <row r="104">
          <cell r="G104">
            <v>1545000</v>
          </cell>
        </row>
        <row r="112">
          <cell r="G112">
            <v>1435522</v>
          </cell>
        </row>
        <row r="126">
          <cell r="G126">
            <v>413253</v>
          </cell>
        </row>
        <row r="134">
          <cell r="G134">
            <v>31696748</v>
          </cell>
        </row>
        <row r="172">
          <cell r="G172">
            <v>2970652</v>
          </cell>
        </row>
        <row r="181">
          <cell r="G181">
            <v>12497639</v>
          </cell>
        </row>
        <row r="194">
          <cell r="G194">
            <v>322600</v>
          </cell>
        </row>
        <row r="208">
          <cell r="G208">
            <v>5040000</v>
          </cell>
        </row>
        <row r="214">
          <cell r="G214">
            <v>4420099.25</v>
          </cell>
        </row>
        <row r="234">
          <cell r="G234">
            <v>232342487.42000002</v>
          </cell>
        </row>
        <row r="269">
          <cell r="G269">
            <v>53428741</v>
          </cell>
        </row>
        <row r="285">
          <cell r="G285">
            <v>160516549</v>
          </cell>
        </row>
        <row r="393">
          <cell r="G393">
            <v>23079741</v>
          </cell>
        </row>
        <row r="439">
          <cell r="G439">
            <v>23593359</v>
          </cell>
        </row>
        <row r="459">
          <cell r="G459">
            <v>29785267</v>
          </cell>
        </row>
        <row r="479">
          <cell r="G479">
            <v>15014503</v>
          </cell>
        </row>
        <row r="490">
          <cell r="G490">
            <v>17692494</v>
          </cell>
        </row>
        <row r="505">
          <cell r="G505">
            <v>19999999.75</v>
          </cell>
        </row>
        <row r="512">
          <cell r="G512">
            <v>5000000</v>
          </cell>
        </row>
        <row r="517">
          <cell r="G517">
            <v>4999726</v>
          </cell>
        </row>
        <row r="523">
          <cell r="G523">
            <v>0</v>
          </cell>
        </row>
        <row r="528">
          <cell r="G528">
            <v>11464916</v>
          </cell>
        </row>
        <row r="539">
          <cell r="G539">
            <v>345623740</v>
          </cell>
        </row>
        <row r="547">
          <cell r="G547">
            <v>1496968</v>
          </cell>
        </row>
        <row r="557">
          <cell r="G557">
            <v>17529000</v>
          </cell>
        </row>
        <row r="586">
          <cell r="G586">
            <v>8241306</v>
          </cell>
        </row>
        <row r="609">
          <cell r="G609">
            <v>1894562</v>
          </cell>
        </row>
      </sheetData>
      <sheetData sheetId="3">
        <row r="9">
          <cell r="G9">
            <v>29224717</v>
          </cell>
        </row>
        <row r="20">
          <cell r="G20">
            <v>1893842</v>
          </cell>
        </row>
        <row r="27">
          <cell r="G27">
            <v>227261</v>
          </cell>
        </row>
        <row r="34">
          <cell r="G34">
            <v>1893842</v>
          </cell>
        </row>
        <row r="41">
          <cell r="G41">
            <v>1217698</v>
          </cell>
        </row>
        <row r="48">
          <cell r="G48">
            <v>6760756</v>
          </cell>
        </row>
        <row r="55">
          <cell r="G55">
            <v>1291200</v>
          </cell>
        </row>
        <row r="62">
          <cell r="G62">
            <v>1614100</v>
          </cell>
        </row>
        <row r="69">
          <cell r="G69">
            <v>0</v>
          </cell>
        </row>
        <row r="75">
          <cell r="G75">
            <v>1545000</v>
          </cell>
        </row>
        <row r="83">
          <cell r="G83">
            <v>982021</v>
          </cell>
        </row>
        <row r="98">
          <cell r="G98">
            <v>2684462</v>
          </cell>
        </row>
        <row r="110">
          <cell r="G110">
            <v>41905</v>
          </cell>
        </row>
        <row r="120">
          <cell r="G120">
            <v>0</v>
          </cell>
        </row>
        <row r="126">
          <cell r="G126">
            <v>0</v>
          </cell>
        </row>
        <row r="132">
          <cell r="G132">
            <v>0</v>
          </cell>
        </row>
        <row r="139">
          <cell r="G139">
            <v>2150640</v>
          </cell>
        </row>
        <row r="146">
          <cell r="G146">
            <v>0</v>
          </cell>
        </row>
        <row r="153">
          <cell r="G153">
            <v>13134148</v>
          </cell>
        </row>
        <row r="172">
          <cell r="G172">
            <v>1962963</v>
          </cell>
        </row>
        <row r="184">
          <cell r="G184">
            <v>0</v>
          </cell>
        </row>
        <row r="189">
          <cell r="G189">
            <v>7997962</v>
          </cell>
        </row>
        <row r="195">
          <cell r="G195">
            <v>40744296</v>
          </cell>
        </row>
        <row r="250">
          <cell r="G250">
            <v>31302158</v>
          </cell>
        </row>
        <row r="285">
          <cell r="G285">
            <v>20412261</v>
          </cell>
        </row>
        <row r="319">
          <cell r="G319">
            <v>48038804</v>
          </cell>
        </row>
        <row r="347">
          <cell r="G347">
            <v>0</v>
          </cell>
        </row>
        <row r="353">
          <cell r="G353">
            <v>990640</v>
          </cell>
        </row>
        <row r="359">
          <cell r="G359">
            <v>3891046</v>
          </cell>
        </row>
        <row r="373">
          <cell r="G373">
            <v>2857142</v>
          </cell>
        </row>
        <row r="380">
          <cell r="G380">
            <v>48342505</v>
          </cell>
        </row>
        <row r="392">
          <cell r="G392">
            <v>0</v>
          </cell>
        </row>
        <row r="396">
          <cell r="G396">
            <v>0</v>
          </cell>
        </row>
        <row r="401">
          <cell r="G401">
            <v>18487442</v>
          </cell>
        </row>
        <row r="409">
          <cell r="G409">
            <v>530000</v>
          </cell>
        </row>
        <row r="415">
          <cell r="G415">
            <v>4014064</v>
          </cell>
        </row>
        <row r="423">
          <cell r="G423">
            <v>4928566</v>
          </cell>
        </row>
        <row r="433">
          <cell r="G433">
            <v>0</v>
          </cell>
        </row>
        <row r="440">
          <cell r="G440">
            <v>11577700</v>
          </cell>
        </row>
        <row r="449">
          <cell r="G449">
            <v>0</v>
          </cell>
        </row>
        <row r="455">
          <cell r="G455">
            <v>4761904</v>
          </cell>
        </row>
        <row r="463">
          <cell r="G463">
            <v>11472352</v>
          </cell>
        </row>
      </sheetData>
      <sheetData sheetId="4">
        <row r="9">
          <cell r="G9">
            <v>25481876</v>
          </cell>
        </row>
        <row r="22">
          <cell r="G22">
            <v>1938262</v>
          </cell>
        </row>
        <row r="31">
          <cell r="G31">
            <v>232591</v>
          </cell>
        </row>
        <row r="40">
          <cell r="G40">
            <v>1938262</v>
          </cell>
        </row>
        <row r="49">
          <cell r="G49">
            <v>969130</v>
          </cell>
        </row>
        <row r="56">
          <cell r="G56">
            <v>0</v>
          </cell>
        </row>
        <row r="63">
          <cell r="G63">
            <v>5361308</v>
          </cell>
        </row>
        <row r="71">
          <cell r="G71">
            <v>939340</v>
          </cell>
        </row>
        <row r="78">
          <cell r="G78">
            <v>1174210</v>
          </cell>
        </row>
        <row r="85">
          <cell r="G85">
            <v>0</v>
          </cell>
        </row>
        <row r="91">
          <cell r="G91">
            <v>17662000</v>
          </cell>
        </row>
        <row r="103">
          <cell r="G103">
            <v>18043241.64</v>
          </cell>
        </row>
        <row r="113">
          <cell r="G113">
            <v>3109320</v>
          </cell>
        </row>
        <row r="121">
          <cell r="G121">
            <v>4243859</v>
          </cell>
        </row>
        <row r="130">
          <cell r="G130">
            <v>5528743</v>
          </cell>
        </row>
        <row r="141">
          <cell r="G141">
            <v>5872985</v>
          </cell>
        </row>
        <row r="174">
          <cell r="G174">
            <v>9697426</v>
          </cell>
        </row>
        <row r="184">
          <cell r="G184">
            <v>3870049</v>
          </cell>
        </row>
        <row r="197">
          <cell r="G197">
            <v>1765686</v>
          </cell>
        </row>
        <row r="211">
          <cell r="G211">
            <v>4754655</v>
          </cell>
        </row>
        <row r="222">
          <cell r="G222">
            <v>596500</v>
          </cell>
        </row>
        <row r="271">
          <cell r="G271">
            <v>2118590</v>
          </cell>
        </row>
        <row r="282">
          <cell r="G282">
            <v>3927925</v>
          </cell>
        </row>
        <row r="301">
          <cell r="G301">
            <v>14991772.000000002</v>
          </cell>
        </row>
        <row r="317">
          <cell r="G317">
            <v>0</v>
          </cell>
        </row>
        <row r="322">
          <cell r="G322">
            <v>216532596</v>
          </cell>
        </row>
      </sheetData>
      <sheetData sheetId="5">
        <row r="9">
          <cell r="G9">
            <v>137746505</v>
          </cell>
        </row>
        <row r="23">
          <cell r="G23">
            <v>10547286</v>
          </cell>
        </row>
        <row r="31">
          <cell r="G31">
            <v>100106</v>
          </cell>
        </row>
        <row r="39">
          <cell r="G39">
            <v>10547286</v>
          </cell>
        </row>
        <row r="47">
          <cell r="G47">
            <v>4449039</v>
          </cell>
        </row>
        <row r="56">
          <cell r="G56">
            <v>27985424</v>
          </cell>
        </row>
        <row r="65">
          <cell r="G65">
            <v>5164900</v>
          </cell>
        </row>
        <row r="72">
          <cell r="G72">
            <v>6457600</v>
          </cell>
        </row>
        <row r="79">
          <cell r="G79">
            <v>300000</v>
          </cell>
        </row>
        <row r="84">
          <cell r="G84">
            <v>11334040</v>
          </cell>
        </row>
        <row r="102">
          <cell r="G102">
            <v>0</v>
          </cell>
        </row>
        <row r="110">
          <cell r="G110">
            <v>1545000</v>
          </cell>
        </row>
        <row r="118">
          <cell r="G118">
            <v>1773903</v>
          </cell>
        </row>
        <row r="129">
          <cell r="G129">
            <v>0</v>
          </cell>
        </row>
        <row r="133">
          <cell r="G133">
            <v>3000000</v>
          </cell>
        </row>
        <row r="146">
          <cell r="G146">
            <v>0</v>
          </cell>
        </row>
        <row r="150">
          <cell r="G150">
            <v>10629150</v>
          </cell>
        </row>
        <row r="167">
          <cell r="G167">
            <v>600000</v>
          </cell>
        </row>
        <row r="180">
          <cell r="G180">
            <v>159613645.2</v>
          </cell>
        </row>
        <row r="332">
          <cell r="G332">
            <v>66724973.80000004</v>
          </cell>
        </row>
        <row r="494">
          <cell r="G494">
            <v>5997250</v>
          </cell>
        </row>
        <row r="504">
          <cell r="G504">
            <v>29838264</v>
          </cell>
        </row>
        <row r="539">
          <cell r="G539">
            <v>9502789</v>
          </cell>
        </row>
        <row r="562">
          <cell r="G562">
            <v>8837400</v>
          </cell>
        </row>
        <row r="569">
          <cell r="G569">
            <v>10409784</v>
          </cell>
        </row>
        <row r="575">
          <cell r="G575">
            <v>14336971</v>
          </cell>
        </row>
        <row r="592">
          <cell r="G592">
            <v>19081652</v>
          </cell>
        </row>
        <row r="637">
          <cell r="G637">
            <v>4972289</v>
          </cell>
        </row>
        <row r="652">
          <cell r="G652">
            <v>24654614</v>
          </cell>
        </row>
        <row r="681">
          <cell r="G681">
            <v>30323996</v>
          </cell>
        </row>
        <row r="730">
          <cell r="G730">
            <v>0</v>
          </cell>
        </row>
        <row r="736">
          <cell r="G736">
            <v>7733245</v>
          </cell>
        </row>
        <row r="757">
          <cell r="G757">
            <v>23159837</v>
          </cell>
        </row>
      </sheetData>
      <sheetData sheetId="6">
        <row r="9">
          <cell r="G9">
            <v>44614649</v>
          </cell>
        </row>
        <row r="23">
          <cell r="G23">
            <v>2102341</v>
          </cell>
        </row>
        <row r="31">
          <cell r="G31">
            <v>15196</v>
          </cell>
        </row>
        <row r="39">
          <cell r="G39">
            <v>2102341</v>
          </cell>
        </row>
        <row r="47">
          <cell r="G47">
            <v>1968013</v>
          </cell>
        </row>
        <row r="55">
          <cell r="G55">
            <v>8040943</v>
          </cell>
        </row>
        <row r="62">
          <cell r="G62">
            <v>1516600</v>
          </cell>
        </row>
        <row r="69">
          <cell r="G69">
            <v>1895500</v>
          </cell>
        </row>
        <row r="76">
          <cell r="G76">
            <v>300000</v>
          </cell>
        </row>
        <row r="84">
          <cell r="G84">
            <v>1545000</v>
          </cell>
        </row>
        <row r="92">
          <cell r="G92">
            <v>565213</v>
          </cell>
        </row>
        <row r="105">
          <cell r="G105">
            <v>4896033</v>
          </cell>
        </row>
        <row r="129">
          <cell r="G129">
            <v>749570</v>
          </cell>
        </row>
        <row r="165">
          <cell r="G165">
            <v>2053200</v>
          </cell>
        </row>
        <row r="173">
          <cell r="G173">
            <v>0</v>
          </cell>
        </row>
        <row r="181">
          <cell r="G181">
            <v>2061250</v>
          </cell>
        </row>
        <row r="193">
          <cell r="G193">
            <v>9900000</v>
          </cell>
        </row>
        <row r="201">
          <cell r="G201">
            <v>7517647</v>
          </cell>
        </row>
        <row r="228">
          <cell r="G228">
            <v>11530250</v>
          </cell>
        </row>
        <row r="240">
          <cell r="G240">
            <v>3031228</v>
          </cell>
        </row>
        <row r="246">
          <cell r="G246">
            <v>0</v>
          </cell>
        </row>
        <row r="255">
          <cell r="G255">
            <v>0</v>
          </cell>
        </row>
        <row r="263">
          <cell r="G263">
            <v>11376458</v>
          </cell>
        </row>
        <row r="288">
          <cell r="G288">
            <v>11999800</v>
          </cell>
        </row>
        <row r="306">
          <cell r="G306">
            <v>44303186</v>
          </cell>
        </row>
        <row r="350">
          <cell r="G350">
            <v>39443388</v>
          </cell>
        </row>
      </sheetData>
      <sheetData sheetId="7">
        <row r="10">
          <cell r="G10">
            <v>144878657</v>
          </cell>
        </row>
        <row r="25">
          <cell r="G25">
            <v>11431227</v>
          </cell>
        </row>
        <row r="33">
          <cell r="G33">
            <v>88067</v>
          </cell>
        </row>
        <row r="41">
          <cell r="G41">
            <v>11431227</v>
          </cell>
        </row>
        <row r="49">
          <cell r="G49">
            <v>6737878</v>
          </cell>
        </row>
        <row r="57">
          <cell r="G57">
            <v>29643253</v>
          </cell>
        </row>
        <row r="66">
          <cell r="G66">
            <v>5518300</v>
          </cell>
        </row>
        <row r="74">
          <cell r="G74">
            <v>6899500</v>
          </cell>
        </row>
        <row r="82">
          <cell r="G82">
            <v>896100</v>
          </cell>
        </row>
        <row r="88">
          <cell r="G88">
            <v>0</v>
          </cell>
        </row>
        <row r="97">
          <cell r="G97">
            <v>3729485</v>
          </cell>
        </row>
        <row r="107">
          <cell r="G107">
            <v>1241151</v>
          </cell>
        </row>
        <row r="122">
          <cell r="G122">
            <v>1545000</v>
          </cell>
        </row>
        <row r="130">
          <cell r="G130">
            <v>1168864</v>
          </cell>
        </row>
        <row r="143">
          <cell r="G143">
            <v>3560140</v>
          </cell>
        </row>
        <row r="153">
          <cell r="G153">
            <v>41543321</v>
          </cell>
        </row>
        <row r="200">
          <cell r="G200">
            <v>2992000</v>
          </cell>
        </row>
        <row r="211">
          <cell r="G211">
            <v>10325839</v>
          </cell>
        </row>
        <row r="222">
          <cell r="G222">
            <v>341200</v>
          </cell>
        </row>
        <row r="237">
          <cell r="G237">
            <v>5757713</v>
          </cell>
        </row>
        <row r="247">
          <cell r="G247">
            <v>9822107.63</v>
          </cell>
        </row>
        <row r="270">
          <cell r="G270">
            <v>354507436.8</v>
          </cell>
        </row>
        <row r="323">
          <cell r="G323">
            <v>18511332</v>
          </cell>
        </row>
        <row r="339">
          <cell r="G339">
            <v>161687867</v>
          </cell>
        </row>
        <row r="455">
          <cell r="G455">
            <v>49657032</v>
          </cell>
        </row>
        <row r="523">
          <cell r="G523">
            <v>0</v>
          </cell>
        </row>
        <row r="528">
          <cell r="G528">
            <v>17557962</v>
          </cell>
        </row>
        <row r="551">
          <cell r="G551">
            <v>0</v>
          </cell>
        </row>
        <row r="557">
          <cell r="G557">
            <v>17043726</v>
          </cell>
        </row>
        <row r="574">
          <cell r="G574">
            <v>59996982.25</v>
          </cell>
        </row>
        <row r="624">
          <cell r="G624">
            <v>20000000</v>
          </cell>
        </row>
        <row r="630">
          <cell r="G630">
            <v>5000000</v>
          </cell>
        </row>
        <row r="636">
          <cell r="G636">
            <v>5000000</v>
          </cell>
        </row>
        <row r="641">
          <cell r="G641">
            <v>50416939</v>
          </cell>
        </row>
        <row r="657">
          <cell r="G657">
            <v>258694001</v>
          </cell>
        </row>
        <row r="667">
          <cell r="G667">
            <v>2264000</v>
          </cell>
        </row>
        <row r="674">
          <cell r="G674">
            <v>18548000</v>
          </cell>
        </row>
        <row r="709">
          <cell r="G709">
            <v>7019990</v>
          </cell>
        </row>
        <row r="732">
          <cell r="G732">
            <v>2850000</v>
          </cell>
        </row>
      </sheetData>
      <sheetData sheetId="8">
        <row r="9">
          <cell r="G9">
            <v>47375728</v>
          </cell>
        </row>
        <row r="22">
          <cell r="G22">
            <v>2379916</v>
          </cell>
        </row>
        <row r="30">
          <cell r="G30">
            <v>29164</v>
          </cell>
        </row>
        <row r="38">
          <cell r="G38">
            <v>2379916</v>
          </cell>
        </row>
        <row r="46">
          <cell r="G46">
            <v>2195695</v>
          </cell>
        </row>
        <row r="54">
          <cell r="G54">
            <v>8422884</v>
          </cell>
        </row>
        <row r="61">
          <cell r="G61">
            <v>1603200</v>
          </cell>
        </row>
        <row r="68">
          <cell r="G68">
            <v>2003800</v>
          </cell>
        </row>
        <row r="75">
          <cell r="G75">
            <v>300000</v>
          </cell>
        </row>
        <row r="81">
          <cell r="G81">
            <v>1500000</v>
          </cell>
        </row>
        <row r="87">
          <cell r="G87">
            <v>1545000</v>
          </cell>
        </row>
        <row r="95">
          <cell r="G95">
            <v>1111040</v>
          </cell>
        </row>
        <row r="112">
          <cell r="G112">
            <v>7135750</v>
          </cell>
        </row>
        <row r="141">
          <cell r="G141">
            <v>2727540</v>
          </cell>
        </row>
        <row r="152">
          <cell r="G152">
            <v>0</v>
          </cell>
        </row>
        <row r="158">
          <cell r="G158">
            <v>0</v>
          </cell>
        </row>
        <row r="164">
          <cell r="G164">
            <v>0</v>
          </cell>
        </row>
        <row r="171">
          <cell r="G171">
            <v>3225960</v>
          </cell>
        </row>
        <row r="179">
          <cell r="G179">
            <v>0</v>
          </cell>
        </row>
        <row r="186">
          <cell r="G186">
            <v>19706114</v>
          </cell>
        </row>
        <row r="212">
          <cell r="G212">
            <v>2979426</v>
          </cell>
        </row>
        <row r="227">
          <cell r="G227">
            <v>2574693</v>
          </cell>
        </row>
        <row r="238">
          <cell r="G238">
            <v>7000000</v>
          </cell>
        </row>
        <row r="246">
          <cell r="G246">
            <v>53517400</v>
          </cell>
        </row>
        <row r="299">
          <cell r="G299">
            <v>44958070</v>
          </cell>
        </row>
        <row r="349">
          <cell r="G349">
            <v>29979401</v>
          </cell>
        </row>
        <row r="392">
          <cell r="G392">
            <v>9198009</v>
          </cell>
        </row>
        <row r="427">
          <cell r="G427">
            <v>13664360</v>
          </cell>
        </row>
        <row r="433">
          <cell r="G433">
            <v>741240</v>
          </cell>
        </row>
        <row r="439">
          <cell r="G439">
            <v>14878090</v>
          </cell>
        </row>
        <row r="453">
          <cell r="G453">
            <v>53847650</v>
          </cell>
        </row>
        <row r="485">
          <cell r="G485">
            <v>246846849</v>
          </cell>
        </row>
        <row r="512">
          <cell r="G512">
            <v>0</v>
          </cell>
        </row>
        <row r="517">
          <cell r="G517">
            <v>0</v>
          </cell>
        </row>
        <row r="526">
          <cell r="G526">
            <v>8020472</v>
          </cell>
        </row>
        <row r="536">
          <cell r="G536">
            <v>1464250</v>
          </cell>
        </row>
        <row r="548">
          <cell r="G548">
            <v>4984363</v>
          </cell>
        </row>
        <row r="559">
          <cell r="G559">
            <v>10391382</v>
          </cell>
        </row>
        <row r="574">
          <cell r="G574">
            <v>0</v>
          </cell>
        </row>
        <row r="581">
          <cell r="G581">
            <v>27772780</v>
          </cell>
        </row>
        <row r="595">
          <cell r="G595">
            <v>0</v>
          </cell>
        </row>
        <row r="600">
          <cell r="G600">
            <v>36702256</v>
          </cell>
        </row>
        <row r="614">
          <cell r="G614">
            <v>41945548</v>
          </cell>
        </row>
      </sheetData>
      <sheetData sheetId="9">
        <row r="9">
          <cell r="G9">
            <v>27623804</v>
          </cell>
        </row>
        <row r="26">
          <cell r="G26">
            <v>2241798</v>
          </cell>
        </row>
        <row r="35">
          <cell r="G35">
            <v>9469</v>
          </cell>
        </row>
        <row r="44">
          <cell r="G44">
            <v>2241798</v>
          </cell>
        </row>
        <row r="53">
          <cell r="G53">
            <v>1120899</v>
          </cell>
        </row>
        <row r="61">
          <cell r="G61">
            <v>13352885</v>
          </cell>
        </row>
        <row r="77">
          <cell r="G77">
            <v>5667757</v>
          </cell>
        </row>
        <row r="85">
          <cell r="G85">
            <v>973660</v>
          </cell>
        </row>
        <row r="92">
          <cell r="G92">
            <v>1217431</v>
          </cell>
        </row>
        <row r="99">
          <cell r="G99">
            <v>600000</v>
          </cell>
        </row>
        <row r="105">
          <cell r="G105">
            <v>18754100</v>
          </cell>
        </row>
        <row r="118">
          <cell r="G118">
            <v>33639125</v>
          </cell>
        </row>
        <row r="131">
          <cell r="G131">
            <v>1019480</v>
          </cell>
        </row>
        <row r="139">
          <cell r="G139">
            <v>4163090.8</v>
          </cell>
        </row>
        <row r="150">
          <cell r="G150">
            <v>2417139</v>
          </cell>
        </row>
        <row r="161">
          <cell r="G161">
            <v>6395546</v>
          </cell>
        </row>
        <row r="193">
          <cell r="G193">
            <v>10886324</v>
          </cell>
        </row>
        <row r="205">
          <cell r="G205">
            <v>1085497</v>
          </cell>
        </row>
        <row r="218">
          <cell r="G218">
            <v>3569826</v>
          </cell>
        </row>
        <row r="229">
          <cell r="G229">
            <v>1155810</v>
          </cell>
        </row>
        <row r="239">
          <cell r="G239">
            <v>912300</v>
          </cell>
        </row>
        <row r="308">
          <cell r="G308">
            <v>1182559</v>
          </cell>
        </row>
        <row r="323">
          <cell r="G323">
            <v>1612932</v>
          </cell>
        </row>
        <row r="336">
          <cell r="G336">
            <v>15544566.13</v>
          </cell>
        </row>
        <row r="352">
          <cell r="G352">
            <v>0</v>
          </cell>
        </row>
        <row r="357">
          <cell r="G357">
            <v>236955666.5</v>
          </cell>
        </row>
      </sheetData>
      <sheetData sheetId="10">
        <row r="9">
          <cell r="G9">
            <v>135579548</v>
          </cell>
        </row>
        <row r="25">
          <cell r="G25">
            <v>9817445</v>
          </cell>
        </row>
        <row r="32">
          <cell r="G32">
            <v>1431923</v>
          </cell>
        </row>
        <row r="39">
          <cell r="G39">
            <v>9817445</v>
          </cell>
        </row>
        <row r="46">
          <cell r="G46">
            <v>7495927</v>
          </cell>
        </row>
        <row r="53">
          <cell r="G53">
            <v>28014826</v>
          </cell>
        </row>
        <row r="60">
          <cell r="G60">
            <v>5166600</v>
          </cell>
        </row>
        <row r="67">
          <cell r="G67">
            <v>6459700</v>
          </cell>
        </row>
        <row r="74">
          <cell r="G74">
            <v>0</v>
          </cell>
        </row>
        <row r="79">
          <cell r="G79">
            <v>11214040</v>
          </cell>
        </row>
        <row r="94">
          <cell r="G94">
            <v>0</v>
          </cell>
        </row>
        <row r="102">
          <cell r="G102">
            <v>1545000</v>
          </cell>
        </row>
        <row r="109">
          <cell r="G109">
            <v>1970676.6800000002</v>
          </cell>
        </row>
        <row r="120">
          <cell r="G120">
            <v>0</v>
          </cell>
        </row>
        <row r="124">
          <cell r="G124">
            <v>2920225</v>
          </cell>
        </row>
        <row r="136">
          <cell r="G136">
            <v>8091968</v>
          </cell>
        </row>
        <row r="144">
          <cell r="G144">
            <v>6763317</v>
          </cell>
        </row>
        <row r="168">
          <cell r="G168">
            <v>162328648.39999995</v>
          </cell>
        </row>
        <row r="300">
          <cell r="G300">
            <v>127033349.6000002</v>
          </cell>
        </row>
        <row r="433">
          <cell r="G433">
            <v>0</v>
          </cell>
        </row>
        <row r="437">
          <cell r="G437">
            <v>0</v>
          </cell>
        </row>
        <row r="441">
          <cell r="G441">
            <v>2336412</v>
          </cell>
        </row>
        <row r="450">
          <cell r="G450">
            <v>34589357</v>
          </cell>
        </row>
        <row r="495">
          <cell r="G495">
            <v>13759601</v>
          </cell>
        </row>
        <row r="521">
          <cell r="G521">
            <v>5891600</v>
          </cell>
        </row>
        <row r="527">
          <cell r="G527">
            <v>1322657</v>
          </cell>
        </row>
        <row r="532">
          <cell r="G532">
            <v>15208554</v>
          </cell>
        </row>
        <row r="546">
          <cell r="G546">
            <v>19028077</v>
          </cell>
        </row>
        <row r="589">
          <cell r="G589">
            <v>5949289</v>
          </cell>
        </row>
        <row r="601">
          <cell r="G601">
            <v>16992677</v>
          </cell>
        </row>
        <row r="611">
          <cell r="G611">
            <v>25608908</v>
          </cell>
        </row>
        <row r="650">
          <cell r="G650">
            <v>0</v>
          </cell>
        </row>
        <row r="654">
          <cell r="G654">
            <v>6847303</v>
          </cell>
        </row>
        <row r="679">
          <cell r="G679">
            <v>17107401</v>
          </cell>
        </row>
      </sheetData>
      <sheetData sheetId="11">
        <row r="9">
          <cell r="G9">
            <v>46754700</v>
          </cell>
        </row>
        <row r="21">
          <cell r="G21">
            <v>2576325</v>
          </cell>
        </row>
        <row r="28">
          <cell r="G28">
            <v>336546</v>
          </cell>
        </row>
        <row r="35">
          <cell r="G35">
            <v>2576325</v>
          </cell>
        </row>
        <row r="42">
          <cell r="G42">
            <v>2134663</v>
          </cell>
        </row>
        <row r="50">
          <cell r="G50">
            <v>8565902</v>
          </cell>
        </row>
        <row r="57">
          <cell r="G57">
            <v>1611000</v>
          </cell>
        </row>
        <row r="64">
          <cell r="G64">
            <v>2013600</v>
          </cell>
        </row>
        <row r="71">
          <cell r="G71">
            <v>0</v>
          </cell>
        </row>
        <row r="79">
          <cell r="G79">
            <v>1545000</v>
          </cell>
        </row>
        <row r="86">
          <cell r="G86">
            <v>951182.5599999999</v>
          </cell>
        </row>
        <row r="99">
          <cell r="G99">
            <v>1506779</v>
          </cell>
        </row>
        <row r="116">
          <cell r="G116">
            <v>0</v>
          </cell>
        </row>
        <row r="122">
          <cell r="G122">
            <v>3000000</v>
          </cell>
        </row>
        <row r="131">
          <cell r="G131">
            <v>0</v>
          </cell>
        </row>
        <row r="142">
          <cell r="G142">
            <v>57792321</v>
          </cell>
        </row>
        <row r="148">
          <cell r="G148">
            <v>0</v>
          </cell>
        </row>
        <row r="152">
          <cell r="G152">
            <v>0</v>
          </cell>
        </row>
        <row r="156">
          <cell r="G156">
            <v>13000</v>
          </cell>
        </row>
        <row r="164">
          <cell r="G164">
            <v>0</v>
          </cell>
        </row>
        <row r="168">
          <cell r="G168">
            <v>1675800</v>
          </cell>
        </row>
        <row r="179">
          <cell r="G179">
            <v>1483120</v>
          </cell>
        </row>
        <row r="185">
          <cell r="G185">
            <v>5976782</v>
          </cell>
        </row>
        <row r="202">
          <cell r="G202">
            <v>6849350</v>
          </cell>
        </row>
        <row r="212">
          <cell r="G212">
            <v>0</v>
          </cell>
        </row>
        <row r="216">
          <cell r="G216">
            <v>2000000</v>
          </cell>
        </row>
        <row r="224">
          <cell r="G224">
            <v>6195675</v>
          </cell>
        </row>
        <row r="230">
          <cell r="G230">
            <v>13945984</v>
          </cell>
        </row>
        <row r="248">
          <cell r="G248">
            <v>5769768</v>
          </cell>
        </row>
        <row r="272">
          <cell r="G272">
            <v>39201336</v>
          </cell>
        </row>
        <row r="313">
          <cell r="G313">
            <v>46888196</v>
          </cell>
        </row>
        <row r="336">
          <cell r="G336">
            <v>62988319</v>
          </cell>
        </row>
      </sheetData>
      <sheetData sheetId="12">
        <row r="10">
          <cell r="G10">
            <v>149265903</v>
          </cell>
        </row>
        <row r="22">
          <cell r="G22">
            <v>10715371</v>
          </cell>
        </row>
        <row r="29">
          <cell r="G29">
            <v>1497697</v>
          </cell>
        </row>
        <row r="36">
          <cell r="G36">
            <v>10715371</v>
          </cell>
        </row>
        <row r="43">
          <cell r="G43">
            <v>6093253</v>
          </cell>
        </row>
        <row r="50">
          <cell r="G50">
            <v>30566053</v>
          </cell>
        </row>
        <row r="57">
          <cell r="G57">
            <v>5704700</v>
          </cell>
        </row>
        <row r="64">
          <cell r="G64">
            <v>7132500</v>
          </cell>
        </row>
        <row r="71">
          <cell r="G71">
            <v>0</v>
          </cell>
        </row>
        <row r="75">
          <cell r="G75">
            <v>0</v>
          </cell>
        </row>
        <row r="80">
          <cell r="G80">
            <v>0</v>
          </cell>
        </row>
        <row r="84">
          <cell r="G84">
            <v>1225327.8</v>
          </cell>
        </row>
        <row r="93">
          <cell r="G93">
            <v>1545000</v>
          </cell>
        </row>
        <row r="100">
          <cell r="G100">
            <v>1142051</v>
          </cell>
        </row>
        <row r="113">
          <cell r="G113">
            <v>413253</v>
          </cell>
        </row>
        <row r="120">
          <cell r="G120">
            <v>48722918</v>
          </cell>
        </row>
        <row r="176">
          <cell r="G176">
            <v>3320000</v>
          </cell>
        </row>
        <row r="184">
          <cell r="G184">
            <v>12245707</v>
          </cell>
        </row>
        <row r="200">
          <cell r="G200">
            <v>396000</v>
          </cell>
        </row>
        <row r="217">
          <cell r="G217">
            <v>12502918</v>
          </cell>
        </row>
        <row r="229">
          <cell r="G229">
            <v>5696328.469999999</v>
          </cell>
        </row>
        <row r="248">
          <cell r="G248">
            <v>422270900</v>
          </cell>
        </row>
        <row r="324">
          <cell r="G324">
            <v>11981008</v>
          </cell>
        </row>
        <row r="342">
          <cell r="G342">
            <v>164458149</v>
          </cell>
        </row>
        <row r="455">
          <cell r="G455">
            <v>52145320</v>
          </cell>
        </row>
        <row r="512">
          <cell r="G512">
            <v>0</v>
          </cell>
        </row>
        <row r="516">
          <cell r="G516">
            <v>61351833</v>
          </cell>
        </row>
        <row r="560">
          <cell r="G560">
            <v>9531145</v>
          </cell>
        </row>
        <row r="569">
          <cell r="G569">
            <v>24399620</v>
          </cell>
        </row>
        <row r="591">
          <cell r="G591">
            <v>63636000</v>
          </cell>
        </row>
        <row r="671">
          <cell r="G671">
            <v>0</v>
          </cell>
        </row>
        <row r="675">
          <cell r="G675">
            <v>9610644</v>
          </cell>
        </row>
        <row r="682">
          <cell r="G682">
            <v>0</v>
          </cell>
        </row>
        <row r="687">
          <cell r="G687">
            <v>61125053</v>
          </cell>
        </row>
        <row r="704">
          <cell r="G704">
            <v>234805427</v>
          </cell>
        </row>
        <row r="711">
          <cell r="G711">
            <v>2672392</v>
          </cell>
        </row>
        <row r="720">
          <cell r="G720">
            <v>16274000</v>
          </cell>
        </row>
        <row r="752">
          <cell r="G752">
            <v>7261120</v>
          </cell>
        </row>
        <row r="774">
          <cell r="G774">
            <v>1950000</v>
          </cell>
        </row>
      </sheetData>
      <sheetData sheetId="13">
        <row r="9">
          <cell r="G9">
            <v>46507700</v>
          </cell>
        </row>
        <row r="20">
          <cell r="G20">
            <v>2136878</v>
          </cell>
        </row>
        <row r="27">
          <cell r="G27">
            <v>320532</v>
          </cell>
        </row>
        <row r="34">
          <cell r="G34">
            <v>2136878</v>
          </cell>
        </row>
        <row r="41">
          <cell r="G41">
            <v>1914940</v>
          </cell>
        </row>
        <row r="48">
          <cell r="G48">
            <v>8422384</v>
          </cell>
        </row>
        <row r="55">
          <cell r="G55">
            <v>1592500</v>
          </cell>
        </row>
        <row r="62">
          <cell r="G62">
            <v>1990600</v>
          </cell>
        </row>
        <row r="69">
          <cell r="G69">
            <v>0</v>
          </cell>
        </row>
        <row r="74">
          <cell r="G74">
            <v>0</v>
          </cell>
        </row>
        <row r="78">
          <cell r="G78">
            <v>1545000</v>
          </cell>
        </row>
        <row r="85">
          <cell r="G85">
            <v>2213003.4</v>
          </cell>
        </row>
        <row r="105">
          <cell r="G105">
            <v>2631040</v>
          </cell>
        </row>
        <row r="121">
          <cell r="G121">
            <v>2500000</v>
          </cell>
        </row>
        <row r="133">
          <cell r="G133">
            <v>0</v>
          </cell>
        </row>
        <row r="137">
          <cell r="G137">
            <v>0</v>
          </cell>
        </row>
        <row r="141">
          <cell r="G141">
            <v>0</v>
          </cell>
        </row>
        <row r="145">
          <cell r="G145">
            <v>3225960</v>
          </cell>
        </row>
        <row r="153">
          <cell r="G153">
            <v>0</v>
          </cell>
        </row>
        <row r="159">
          <cell r="G159">
            <v>19701222</v>
          </cell>
        </row>
        <row r="181">
          <cell r="G181">
            <v>2565186</v>
          </cell>
        </row>
        <row r="193">
          <cell r="G193">
            <v>371200</v>
          </cell>
        </row>
        <row r="199">
          <cell r="G199">
            <v>0</v>
          </cell>
        </row>
        <row r="203">
          <cell r="G203">
            <v>50020330</v>
          </cell>
        </row>
        <row r="248">
          <cell r="G248">
            <v>46659308</v>
          </cell>
        </row>
        <row r="295">
          <cell r="G295">
            <v>31546764</v>
          </cell>
        </row>
        <row r="342">
          <cell r="G342">
            <v>12977386</v>
          </cell>
        </row>
        <row r="371">
          <cell r="G371">
            <v>10751954</v>
          </cell>
        </row>
        <row r="382">
          <cell r="G382">
            <v>1695400</v>
          </cell>
        </row>
        <row r="389">
          <cell r="G389">
            <v>0</v>
          </cell>
        </row>
        <row r="395">
          <cell r="G395">
            <v>46781253</v>
          </cell>
        </row>
        <row r="420">
          <cell r="G420">
            <v>319909290</v>
          </cell>
        </row>
        <row r="447">
          <cell r="G447">
            <v>0</v>
          </cell>
        </row>
        <row r="450">
          <cell r="G450">
            <v>0</v>
          </cell>
        </row>
        <row r="454">
          <cell r="G454">
            <v>9651199.6</v>
          </cell>
        </row>
        <row r="461">
          <cell r="G461">
            <v>2000000</v>
          </cell>
        </row>
        <row r="468">
          <cell r="G468">
            <v>4588888</v>
          </cell>
        </row>
        <row r="486">
          <cell r="G486">
            <v>11518056</v>
          </cell>
        </row>
        <row r="499">
          <cell r="G499">
            <v>0</v>
          </cell>
        </row>
        <row r="504">
          <cell r="G504">
            <v>17956908</v>
          </cell>
        </row>
        <row r="515">
          <cell r="G515">
            <v>0</v>
          </cell>
        </row>
        <row r="519">
          <cell r="G519">
            <v>219963359</v>
          </cell>
        </row>
        <row r="608">
          <cell r="G608">
            <v>37222055.2</v>
          </cell>
        </row>
        <row r="664">
          <cell r="G664">
            <v>0</v>
          </cell>
        </row>
      </sheetData>
      <sheetData sheetId="14">
        <row r="9">
          <cell r="G9">
            <v>27985213</v>
          </cell>
        </row>
        <row r="21">
          <cell r="G21">
            <v>2160337</v>
          </cell>
        </row>
        <row r="30">
          <cell r="G30">
            <v>286598</v>
          </cell>
        </row>
        <row r="37">
          <cell r="G37">
            <v>2160337</v>
          </cell>
        </row>
        <row r="46">
          <cell r="G46">
            <v>1009238</v>
          </cell>
        </row>
        <row r="53">
          <cell r="G53">
            <v>0</v>
          </cell>
        </row>
        <row r="60">
          <cell r="G60">
            <v>5750728</v>
          </cell>
        </row>
        <row r="68">
          <cell r="G68">
            <v>1015020</v>
          </cell>
        </row>
        <row r="75">
          <cell r="G75">
            <v>1269070</v>
          </cell>
        </row>
        <row r="82">
          <cell r="G82">
            <v>300000</v>
          </cell>
        </row>
        <row r="88">
          <cell r="G88">
            <v>17434000</v>
          </cell>
        </row>
        <row r="98">
          <cell r="G98">
            <v>4203958</v>
          </cell>
        </row>
        <row r="104">
          <cell r="G104">
            <v>1104900</v>
          </cell>
        </row>
        <row r="110">
          <cell r="G110">
            <v>4257234</v>
          </cell>
        </row>
        <row r="121">
          <cell r="G121">
            <v>3862010</v>
          </cell>
        </row>
        <row r="132">
          <cell r="G132">
            <v>6395545.9</v>
          </cell>
        </row>
        <row r="160">
          <cell r="G160">
            <v>10291873</v>
          </cell>
        </row>
        <row r="170">
          <cell r="G170">
            <v>3984689</v>
          </cell>
        </row>
        <row r="187">
          <cell r="G187">
            <v>1459000</v>
          </cell>
        </row>
        <row r="199">
          <cell r="G199">
            <v>3572910</v>
          </cell>
        </row>
        <row r="213">
          <cell r="G213">
            <v>997500</v>
          </cell>
        </row>
        <row r="291">
          <cell r="G291">
            <v>1999094</v>
          </cell>
        </row>
        <row r="301">
          <cell r="G301">
            <v>2184579</v>
          </cell>
        </row>
        <row r="309">
          <cell r="G309">
            <v>15717305.51</v>
          </cell>
        </row>
        <row r="325">
          <cell r="G325">
            <v>27390843</v>
          </cell>
        </row>
        <row r="331">
          <cell r="G331">
            <v>251791255</v>
          </cell>
        </row>
      </sheetData>
      <sheetData sheetId="15">
        <row r="9">
          <cell r="G9">
            <v>133385336</v>
          </cell>
        </row>
        <row r="26">
          <cell r="G26">
            <v>9787202</v>
          </cell>
        </row>
        <row r="33">
          <cell r="G33">
            <v>2015091</v>
          </cell>
        </row>
        <row r="40">
          <cell r="G40">
            <v>9787202</v>
          </cell>
        </row>
        <row r="47">
          <cell r="G47">
            <v>5140080</v>
          </cell>
        </row>
        <row r="55">
          <cell r="G55">
            <v>27930532</v>
          </cell>
        </row>
        <row r="64">
          <cell r="G64">
            <v>5219300</v>
          </cell>
        </row>
        <row r="71">
          <cell r="G71">
            <v>6525800</v>
          </cell>
        </row>
        <row r="78">
          <cell r="G78">
            <v>0</v>
          </cell>
        </row>
        <row r="83">
          <cell r="G83">
            <v>11616380</v>
          </cell>
        </row>
        <row r="97">
          <cell r="G97">
            <v>0</v>
          </cell>
        </row>
        <row r="105">
          <cell r="G105">
            <v>1545000</v>
          </cell>
        </row>
        <row r="113">
          <cell r="G113">
            <v>3211433</v>
          </cell>
        </row>
        <row r="130">
          <cell r="G130">
            <v>0</v>
          </cell>
        </row>
        <row r="134">
          <cell r="G134">
            <v>2687680</v>
          </cell>
        </row>
        <row r="146">
          <cell r="G146">
            <v>13435139</v>
          </cell>
        </row>
        <row r="160">
          <cell r="G160">
            <v>6232330</v>
          </cell>
        </row>
        <row r="183">
          <cell r="G183">
            <v>61950</v>
          </cell>
        </row>
        <row r="194">
          <cell r="G194">
            <v>214885774.40000007</v>
          </cell>
        </row>
        <row r="377">
          <cell r="G377">
            <v>119164217.60000011</v>
          </cell>
        </row>
        <row r="561">
          <cell r="G561">
            <v>0</v>
          </cell>
        </row>
        <row r="565">
          <cell r="G565">
            <v>0</v>
          </cell>
        </row>
        <row r="569">
          <cell r="G569">
            <v>19563408</v>
          </cell>
        </row>
        <row r="586">
          <cell r="G586">
            <v>29924278</v>
          </cell>
        </row>
        <row r="629">
          <cell r="G629">
            <v>11675885</v>
          </cell>
        </row>
        <row r="650">
          <cell r="G650">
            <v>11783200</v>
          </cell>
        </row>
        <row r="659">
          <cell r="G659">
            <v>18267558.95</v>
          </cell>
        </row>
        <row r="672">
          <cell r="G672">
            <v>17560210</v>
          </cell>
        </row>
        <row r="690">
          <cell r="G690">
            <v>18956867</v>
          </cell>
        </row>
        <row r="735">
          <cell r="G735">
            <v>8710303</v>
          </cell>
        </row>
        <row r="750">
          <cell r="G750">
            <v>0</v>
          </cell>
        </row>
        <row r="761">
          <cell r="G761">
            <v>2148423</v>
          </cell>
        </row>
        <row r="773">
          <cell r="G773">
            <v>29415553</v>
          </cell>
        </row>
        <row r="821">
          <cell r="G821">
            <v>0</v>
          </cell>
        </row>
        <row r="827">
          <cell r="G827">
            <v>5867639</v>
          </cell>
        </row>
        <row r="856">
          <cell r="G856">
            <v>29815118</v>
          </cell>
        </row>
      </sheetData>
      <sheetData sheetId="16">
        <row r="9">
          <cell r="G9">
            <v>45651865</v>
          </cell>
        </row>
        <row r="22">
          <cell r="G22">
            <v>2195173</v>
          </cell>
        </row>
        <row r="29">
          <cell r="G29">
            <v>447418</v>
          </cell>
        </row>
        <row r="36">
          <cell r="G36">
            <v>1814018</v>
          </cell>
        </row>
        <row r="43">
          <cell r="G43">
            <v>2038674</v>
          </cell>
        </row>
        <row r="50">
          <cell r="G50">
            <v>8559402</v>
          </cell>
        </row>
        <row r="57">
          <cell r="G57">
            <v>1631400</v>
          </cell>
        </row>
        <row r="64">
          <cell r="G64">
            <v>2039100</v>
          </cell>
        </row>
        <row r="71">
          <cell r="G71">
            <v>0</v>
          </cell>
        </row>
        <row r="79">
          <cell r="G79">
            <v>1545000</v>
          </cell>
        </row>
        <row r="87">
          <cell r="G87">
            <v>1699698</v>
          </cell>
        </row>
        <row r="103">
          <cell r="G103">
            <v>6265379</v>
          </cell>
        </row>
        <row r="129">
          <cell r="G129">
            <v>1532790</v>
          </cell>
        </row>
        <row r="145">
          <cell r="G145">
            <v>0</v>
          </cell>
        </row>
        <row r="150">
          <cell r="G150">
            <v>0</v>
          </cell>
        </row>
        <row r="155">
          <cell r="G155">
            <v>0</v>
          </cell>
        </row>
        <row r="159">
          <cell r="G159">
            <v>9899403</v>
          </cell>
        </row>
        <row r="173">
          <cell r="G173">
            <v>0</v>
          </cell>
        </row>
        <row r="178">
          <cell r="G178">
            <v>2861450</v>
          </cell>
        </row>
        <row r="189">
          <cell r="G189">
            <v>2189062</v>
          </cell>
        </row>
        <row r="197">
          <cell r="G197">
            <v>8983206</v>
          </cell>
        </row>
        <row r="223">
          <cell r="G223">
            <v>19081805</v>
          </cell>
        </row>
        <row r="236">
          <cell r="G236">
            <v>8167788</v>
          </cell>
        </row>
        <row r="245">
          <cell r="G245">
            <v>0</v>
          </cell>
        </row>
        <row r="254">
          <cell r="G254">
            <v>42030010</v>
          </cell>
        </row>
        <row r="292">
          <cell r="G292">
            <v>8997997</v>
          </cell>
        </row>
        <row r="307">
          <cell r="G307">
            <v>53387856</v>
          </cell>
        </row>
        <row r="329">
          <cell r="G329">
            <v>39469486</v>
          </cell>
        </row>
        <row r="370">
          <cell r="G370">
            <v>69122408</v>
          </cell>
        </row>
        <row r="430">
          <cell r="G430">
            <v>14042589</v>
          </cell>
        </row>
      </sheetData>
      <sheetData sheetId="17">
        <row r="10">
          <cell r="G10">
            <v>138971568</v>
          </cell>
        </row>
        <row r="26">
          <cell r="G26">
            <v>10594377</v>
          </cell>
        </row>
        <row r="34">
          <cell r="G34">
            <v>2095583</v>
          </cell>
        </row>
        <row r="41">
          <cell r="G41">
            <v>10594377</v>
          </cell>
        </row>
        <row r="49">
          <cell r="G49">
            <v>6452683</v>
          </cell>
        </row>
        <row r="56">
          <cell r="G56">
            <v>30115908</v>
          </cell>
        </row>
        <row r="65">
          <cell r="G65">
            <v>5646600</v>
          </cell>
        </row>
        <row r="74">
          <cell r="G74">
            <v>7059900</v>
          </cell>
        </row>
        <row r="82">
          <cell r="G82">
            <v>0</v>
          </cell>
        </row>
        <row r="88">
          <cell r="G88">
            <v>0</v>
          </cell>
        </row>
        <row r="97">
          <cell r="G97">
            <v>2878284</v>
          </cell>
        </row>
        <row r="107">
          <cell r="G107">
            <v>1265886</v>
          </cell>
        </row>
        <row r="119">
          <cell r="G119">
            <v>1545000</v>
          </cell>
        </row>
        <row r="127">
          <cell r="G127">
            <v>2018743</v>
          </cell>
        </row>
        <row r="145">
          <cell r="G145">
            <v>413253</v>
          </cell>
        </row>
        <row r="155">
          <cell r="G155">
            <v>33099619</v>
          </cell>
        </row>
        <row r="177">
          <cell r="G177">
            <v>2017510</v>
          </cell>
        </row>
        <row r="187">
          <cell r="G187">
            <v>6930815</v>
          </cell>
        </row>
        <row r="202">
          <cell r="G202">
            <v>394000</v>
          </cell>
        </row>
        <row r="223">
          <cell r="G223">
            <v>12458174</v>
          </cell>
        </row>
        <row r="232">
          <cell r="G232">
            <v>7400412.22</v>
          </cell>
        </row>
        <row r="252">
          <cell r="G252">
            <v>784687978.68</v>
          </cell>
        </row>
        <row r="253">
          <cell r="G253">
            <v>530863202</v>
          </cell>
        </row>
        <row r="363">
          <cell r="G363">
            <v>6944766.68</v>
          </cell>
        </row>
        <row r="375">
          <cell r="G375">
            <v>164591040</v>
          </cell>
        </row>
        <row r="483">
          <cell r="G483">
            <v>82288970</v>
          </cell>
        </row>
        <row r="543">
          <cell r="G543">
            <v>50924205</v>
          </cell>
        </row>
        <row r="544">
          <cell r="G544">
            <v>44396715</v>
          </cell>
        </row>
        <row r="545">
          <cell r="G545">
            <v>0</v>
          </cell>
        </row>
        <row r="550">
          <cell r="G550">
            <v>14775272</v>
          </cell>
        </row>
        <row r="574">
          <cell r="G574">
            <v>29621443</v>
          </cell>
        </row>
        <row r="590">
          <cell r="G590">
            <v>6527490</v>
          </cell>
        </row>
        <row r="591">
          <cell r="G591">
            <v>6527490</v>
          </cell>
        </row>
        <row r="607">
          <cell r="G607">
            <v>383890</v>
          </cell>
        </row>
        <row r="608">
          <cell r="G608">
            <v>0</v>
          </cell>
        </row>
        <row r="621">
          <cell r="G621">
            <v>0</v>
          </cell>
        </row>
        <row r="627">
          <cell r="G627">
            <v>383890</v>
          </cell>
        </row>
        <row r="634">
          <cell r="G634">
            <v>0</v>
          </cell>
        </row>
        <row r="639">
          <cell r="G639">
            <v>69793099</v>
          </cell>
        </row>
        <row r="640">
          <cell r="G640">
            <v>69793099</v>
          </cell>
        </row>
        <row r="655">
          <cell r="G655">
            <v>436674568</v>
          </cell>
        </row>
        <row r="656">
          <cell r="G656">
            <v>395572682</v>
          </cell>
        </row>
        <row r="663">
          <cell r="G663">
            <v>3671319</v>
          </cell>
        </row>
        <row r="674">
          <cell r="G674">
            <v>25405000</v>
          </cell>
        </row>
        <row r="710">
          <cell r="G710">
            <v>8091560</v>
          </cell>
        </row>
        <row r="734">
          <cell r="G734">
            <v>3934007</v>
          </cell>
        </row>
      </sheetData>
      <sheetData sheetId="18">
        <row r="6">
          <cell r="G6">
            <v>752175128</v>
          </cell>
        </row>
        <row r="9">
          <cell r="G9">
            <v>44499798</v>
          </cell>
        </row>
        <row r="22">
          <cell r="G22">
            <v>2067479</v>
          </cell>
        </row>
        <row r="29">
          <cell r="G29">
            <v>384121</v>
          </cell>
        </row>
        <row r="36">
          <cell r="G36">
            <v>2067481</v>
          </cell>
        </row>
        <row r="43">
          <cell r="G43">
            <v>1939761</v>
          </cell>
        </row>
        <row r="50">
          <cell r="G50">
            <v>8240296</v>
          </cell>
        </row>
        <row r="57">
          <cell r="G57">
            <v>1569800</v>
          </cell>
        </row>
        <row r="64">
          <cell r="G64">
            <v>1962300</v>
          </cell>
        </row>
        <row r="71">
          <cell r="G71">
            <v>0</v>
          </cell>
        </row>
        <row r="77">
          <cell r="G77">
            <v>0</v>
          </cell>
        </row>
        <row r="82">
          <cell r="G82">
            <v>1545000</v>
          </cell>
        </row>
        <row r="90">
          <cell r="G90">
            <v>2196777</v>
          </cell>
        </row>
        <row r="115">
          <cell r="G115">
            <v>2548748</v>
          </cell>
        </row>
        <row r="131">
          <cell r="G131">
            <v>3204670</v>
          </cell>
        </row>
        <row r="148">
          <cell r="G148">
            <v>34507019</v>
          </cell>
        </row>
        <row r="154">
          <cell r="G154">
            <v>56758150</v>
          </cell>
        </row>
        <row r="160">
          <cell r="G160">
            <v>0</v>
          </cell>
        </row>
        <row r="167">
          <cell r="G167">
            <v>2150640</v>
          </cell>
        </row>
        <row r="175">
          <cell r="G175">
            <v>28658957</v>
          </cell>
        </row>
        <row r="183">
          <cell r="G183">
            <v>13134148</v>
          </cell>
        </row>
        <row r="203">
          <cell r="G203">
            <v>2432853</v>
          </cell>
        </row>
        <row r="218">
          <cell r="G218">
            <v>0</v>
          </cell>
        </row>
        <row r="223">
          <cell r="G223">
            <v>0</v>
          </cell>
        </row>
        <row r="228">
          <cell r="G228">
            <v>35295111</v>
          </cell>
        </row>
        <row r="268">
          <cell r="G268">
            <v>39817328</v>
          </cell>
        </row>
        <row r="315">
          <cell r="G315">
            <v>27403995</v>
          </cell>
        </row>
        <row r="367">
          <cell r="G367">
            <v>20330470</v>
          </cell>
        </row>
        <row r="408">
          <cell r="G408">
            <v>3244054</v>
          </cell>
        </row>
        <row r="418">
          <cell r="G418">
            <v>6687922</v>
          </cell>
        </row>
        <row r="430">
          <cell r="G430">
            <v>1230864</v>
          </cell>
        </row>
        <row r="440">
          <cell r="G440">
            <v>20016136</v>
          </cell>
        </row>
        <row r="451">
          <cell r="G451">
            <v>203837511</v>
          </cell>
        </row>
        <row r="469">
          <cell r="G469">
            <v>0</v>
          </cell>
        </row>
        <row r="474">
          <cell r="G474">
            <v>14056068</v>
          </cell>
        </row>
        <row r="483">
          <cell r="G483">
            <v>9643998</v>
          </cell>
        </row>
        <row r="492">
          <cell r="G492">
            <v>350000</v>
          </cell>
        </row>
        <row r="500">
          <cell r="G500">
            <v>1423356</v>
          </cell>
        </row>
        <row r="514">
          <cell r="G514">
            <v>12505169</v>
          </cell>
        </row>
        <row r="531">
          <cell r="G531">
            <v>69998856</v>
          </cell>
        </row>
        <row r="572">
          <cell r="G572">
            <v>20135623</v>
          </cell>
        </row>
        <row r="587">
          <cell r="G587">
            <v>28400000</v>
          </cell>
        </row>
        <row r="593">
          <cell r="G593">
            <v>5953380</v>
          </cell>
        </row>
        <row r="604">
          <cell r="G604">
            <v>21977289</v>
          </cell>
        </row>
        <row r="641">
          <cell r="G641">
            <v>0</v>
          </cell>
        </row>
      </sheetData>
      <sheetData sheetId="19">
        <row r="9">
          <cell r="G9">
            <v>25915428</v>
          </cell>
        </row>
        <row r="28">
          <cell r="G28">
            <v>2054802</v>
          </cell>
        </row>
        <row r="38">
          <cell r="G38">
            <v>276003</v>
          </cell>
        </row>
        <row r="47">
          <cell r="G47">
            <v>2054802</v>
          </cell>
        </row>
        <row r="57">
          <cell r="G57">
            <v>1047107</v>
          </cell>
        </row>
        <row r="64">
          <cell r="G64">
            <v>3853001</v>
          </cell>
        </row>
        <row r="72">
          <cell r="G72">
            <v>5465465</v>
          </cell>
        </row>
        <row r="80">
          <cell r="G80">
            <v>963820</v>
          </cell>
        </row>
        <row r="88">
          <cell r="G88">
            <v>1204890</v>
          </cell>
        </row>
        <row r="95">
          <cell r="G95">
            <v>0</v>
          </cell>
        </row>
        <row r="101">
          <cell r="G101">
            <v>17400000</v>
          </cell>
        </row>
        <row r="110">
          <cell r="G110">
            <v>10659163</v>
          </cell>
        </row>
        <row r="123">
          <cell r="G123">
            <v>1107550</v>
          </cell>
        </row>
        <row r="131">
          <cell r="G131">
            <v>4367516</v>
          </cell>
        </row>
        <row r="144">
          <cell r="G144">
            <v>7171890</v>
          </cell>
        </row>
        <row r="157">
          <cell r="G157">
            <v>3550969</v>
          </cell>
        </row>
        <row r="187">
          <cell r="G187">
            <v>10291875</v>
          </cell>
        </row>
        <row r="198">
          <cell r="G198">
            <v>6980258</v>
          </cell>
        </row>
        <row r="224">
          <cell r="G224">
            <v>2932346</v>
          </cell>
        </row>
        <row r="232">
          <cell r="G232">
            <v>787090</v>
          </cell>
        </row>
        <row r="242">
          <cell r="G242">
            <v>574600</v>
          </cell>
        </row>
        <row r="285">
          <cell r="G285">
            <v>11641767</v>
          </cell>
        </row>
        <row r="296">
          <cell r="G296">
            <v>2556372</v>
          </cell>
        </row>
        <row r="307">
          <cell r="G307">
            <v>14800073.819999998</v>
          </cell>
        </row>
        <row r="334">
          <cell r="G334">
            <v>269310139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 1 Minagricultura"/>
      <sheetName val="Presupuesto general"/>
      <sheetName val="2004VS2005"/>
      <sheetName val="Otros ingresos"/>
      <sheetName val="Anexo 2 "/>
      <sheetName val="Funcionamiento"/>
      <sheetName val="Nómina y honorarios II TRIM."/>
      <sheetName val="Inversión total en programas"/>
      <sheetName val="MODELO CONTRATISTAS"/>
      <sheetName val="Servicios personal 2005"/>
      <sheetName val="Nómina 2004"/>
    </sheetNames>
    <sheetDataSet>
      <sheetData sheetId="7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10">
        <row r="5">
          <cell r="E5" t="str">
            <v>FECHA </v>
          </cell>
          <cell r="H5" t="str">
            <v>DIAS</v>
          </cell>
          <cell r="I5" t="str">
            <v>SIN AUMENTO</v>
          </cell>
          <cell r="L5" t="str">
            <v>VAC</v>
          </cell>
          <cell r="M5" t="str">
            <v>DIAS REALES</v>
          </cell>
          <cell r="N5" t="str">
            <v>CON AUMENTO</v>
          </cell>
          <cell r="O5" t="str">
            <v>TOTAL SUELDO</v>
          </cell>
          <cell r="P5" t="str">
            <v>SUELDO MENOS</v>
          </cell>
        </row>
        <row r="6">
          <cell r="E6" t="str">
            <v>INGRESO</v>
          </cell>
          <cell r="N6" t="str">
            <v>SUELDO</v>
          </cell>
          <cell r="P6" t="str">
            <v>VACACIONES</v>
          </cell>
        </row>
        <row r="8">
          <cell r="L8">
            <v>0</v>
          </cell>
          <cell r="M8">
            <v>360</v>
          </cell>
          <cell r="N8" t="e">
            <v>#REF!</v>
          </cell>
          <cell r="O8" t="e">
            <v>#REF!</v>
          </cell>
          <cell r="P8" t="e">
            <v>#REF!</v>
          </cell>
        </row>
        <row r="9">
          <cell r="L9">
            <v>0</v>
          </cell>
          <cell r="M9">
            <v>360</v>
          </cell>
          <cell r="N9" t="e">
            <v>#REF!</v>
          </cell>
          <cell r="O9" t="e">
            <v>#REF!</v>
          </cell>
          <cell r="P9" t="e">
            <v>#REF!</v>
          </cell>
        </row>
        <row r="11">
          <cell r="L11">
            <v>0</v>
          </cell>
          <cell r="M11">
            <v>360</v>
          </cell>
          <cell r="N11" t="e">
            <v>#REF!</v>
          </cell>
          <cell r="O11" t="e">
            <v>#REF!</v>
          </cell>
          <cell r="P11" t="e">
            <v>#REF!</v>
          </cell>
        </row>
        <row r="12">
          <cell r="L12">
            <v>0</v>
          </cell>
          <cell r="M12">
            <v>360</v>
          </cell>
          <cell r="N12" t="e">
            <v>#REF!</v>
          </cell>
          <cell r="O12" t="e">
            <v>#REF!</v>
          </cell>
          <cell r="P12" t="e">
            <v>#REF!</v>
          </cell>
        </row>
        <row r="14">
          <cell r="C14" t="str">
            <v>*</v>
          </cell>
          <cell r="L14">
            <v>0</v>
          </cell>
          <cell r="M14">
            <v>360</v>
          </cell>
          <cell r="N14" t="e">
            <v>#REF!</v>
          </cell>
          <cell r="O14" t="e">
            <v>#REF!</v>
          </cell>
          <cell r="P14" t="e">
            <v>#REF!</v>
          </cell>
        </row>
        <row r="16">
          <cell r="C16" t="str">
            <v>*</v>
          </cell>
          <cell r="L16">
            <v>0</v>
          </cell>
          <cell r="M16">
            <v>360</v>
          </cell>
          <cell r="N16" t="e">
            <v>#REF!</v>
          </cell>
          <cell r="O16" t="e">
            <v>#REF!</v>
          </cell>
          <cell r="P16" t="e">
            <v>#REF!</v>
          </cell>
        </row>
        <row r="17">
          <cell r="C17" t="str">
            <v> </v>
          </cell>
          <cell r="L17">
            <v>0</v>
          </cell>
          <cell r="M17">
            <v>360</v>
          </cell>
          <cell r="N17" t="e">
            <v>#REF!</v>
          </cell>
          <cell r="O17" t="e">
            <v>#REF!</v>
          </cell>
          <cell r="P17" t="e">
            <v>#REF!</v>
          </cell>
        </row>
        <row r="18">
          <cell r="C18" t="str">
            <v>*</v>
          </cell>
          <cell r="L18">
            <v>0</v>
          </cell>
          <cell r="M18">
            <v>360</v>
          </cell>
          <cell r="N18" t="e">
            <v>#REF!</v>
          </cell>
          <cell r="O18" t="e">
            <v>#REF!</v>
          </cell>
          <cell r="P18" t="e">
            <v>#REF!</v>
          </cell>
        </row>
        <row r="20">
          <cell r="L20">
            <v>0</v>
          </cell>
          <cell r="M20">
            <v>360</v>
          </cell>
          <cell r="N20" t="e">
            <v>#REF!</v>
          </cell>
          <cell r="O20" t="e">
            <v>#REF!</v>
          </cell>
          <cell r="P20" t="e">
            <v>#REF!</v>
          </cell>
        </row>
        <row r="21">
          <cell r="L21">
            <v>0</v>
          </cell>
          <cell r="M21">
            <v>1800</v>
          </cell>
          <cell r="N21" t="e">
            <v>#REF!</v>
          </cell>
          <cell r="O21" t="e">
            <v>#REF!</v>
          </cell>
          <cell r="P21" t="e">
            <v>#REF!</v>
          </cell>
        </row>
        <row r="22">
          <cell r="N22" t="e">
            <v>#REF!</v>
          </cell>
          <cell r="O22" t="e">
            <v>#REF!</v>
          </cell>
          <cell r="P22" t="e">
            <v>#REF!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95"/>
  <sheetViews>
    <sheetView tabSelected="1" view="pageBreakPreview" zoomScale="60" zoomScaleNormal="8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7" sqref="A17"/>
    </sheetView>
  </sheetViews>
  <sheetFormatPr defaultColWidth="11.421875" defaultRowHeight="12.75" outlineLevelRow="1" outlineLevelCol="1"/>
  <cols>
    <col min="1" max="1" width="48.28125" style="239" customWidth="1"/>
    <col min="2" max="2" width="23.421875" style="239" bestFit="1" customWidth="1"/>
    <col min="3" max="4" width="19.8515625" style="239" hidden="1" customWidth="1" outlineLevel="1"/>
    <col min="5" max="5" width="17.421875" style="239" hidden="1" customWidth="1" outlineLevel="1"/>
    <col min="6" max="6" width="4.8515625" style="239" hidden="1" customWidth="1" outlineLevel="1"/>
    <col min="7" max="7" width="11.7109375" style="239" hidden="1" customWidth="1" outlineLevel="1"/>
    <col min="8" max="8" width="23.421875" style="238" bestFit="1" customWidth="1" collapsed="1"/>
    <col min="9" max="10" width="22.00390625" style="238" hidden="1" customWidth="1" outlineLevel="1"/>
    <col min="11" max="11" width="28.00390625" style="238" hidden="1" customWidth="1" outlineLevel="1"/>
    <col min="12" max="12" width="22.57421875" style="238" hidden="1" customWidth="1" outlineLevel="1" collapsed="1"/>
    <col min="13" max="13" width="22.57421875" style="238" hidden="1" customWidth="1" outlineLevel="1"/>
    <col min="14" max="14" width="27.00390625" style="238" hidden="1" customWidth="1" outlineLevel="1"/>
    <col min="15" max="15" width="22.421875" style="238" hidden="1" customWidth="1" outlineLevel="1"/>
    <col min="16" max="16" width="20.28125" style="238" hidden="1" customWidth="1" outlineLevel="1"/>
    <col min="17" max="17" width="25.57421875" style="238" hidden="1" customWidth="1" outlineLevel="1"/>
    <col min="18" max="18" width="31.00390625" style="238" hidden="1" customWidth="1" outlineLevel="1"/>
    <col min="19" max="19" width="21.8515625" style="238" hidden="1" customWidth="1" outlineLevel="1"/>
    <col min="20" max="20" width="29.8515625" style="238" hidden="1" customWidth="1" outlineLevel="1"/>
    <col min="21" max="21" width="23.421875" style="238" hidden="1" customWidth="1" collapsed="1"/>
    <col min="22" max="22" width="21.7109375" style="238" hidden="1" customWidth="1"/>
    <col min="23" max="23" width="22.28125" style="238" hidden="1" customWidth="1"/>
    <col min="24" max="24" width="22.421875" style="238" hidden="1" customWidth="1"/>
    <col min="25" max="25" width="21.421875" style="238" hidden="1" customWidth="1"/>
    <col min="26" max="26" width="23.421875" style="238" bestFit="1" customWidth="1"/>
    <col min="27" max="27" width="19.8515625" style="238" hidden="1" customWidth="1"/>
    <col min="28" max="28" width="26.00390625" style="238" hidden="1" customWidth="1" outlineLevel="1"/>
    <col min="29" max="32" width="17.28125" style="238" hidden="1" customWidth="1" outlineLevel="1"/>
    <col min="33" max="33" width="20.57421875" style="238" bestFit="1" customWidth="1" outlineLevel="1"/>
    <col min="34" max="34" width="18.7109375" style="238" customWidth="1"/>
    <col min="35" max="35" width="12.421875" style="239" hidden="1" customWidth="1"/>
    <col min="36" max="16384" width="11.421875" style="239" customWidth="1"/>
  </cols>
  <sheetData>
    <row r="1" ht="15"/>
    <row r="2" spans="1:34" s="238" customFormat="1" ht="15">
      <c r="A2" s="765" t="s">
        <v>0</v>
      </c>
      <c r="B2" s="765"/>
      <c r="C2" s="765"/>
      <c r="D2" s="765"/>
      <c r="E2" s="765"/>
      <c r="F2" s="765"/>
      <c r="G2" s="765"/>
      <c r="H2" s="765"/>
      <c r="I2" s="765"/>
      <c r="J2" s="765"/>
      <c r="K2" s="765"/>
      <c r="L2" s="765"/>
      <c r="M2" s="765"/>
      <c r="N2" s="765"/>
      <c r="O2" s="765"/>
      <c r="P2" s="765"/>
      <c r="Q2" s="765"/>
      <c r="R2" s="765"/>
      <c r="S2" s="765"/>
      <c r="T2" s="765"/>
      <c r="U2" s="765"/>
      <c r="V2" s="765"/>
      <c r="W2" s="765"/>
      <c r="X2" s="765"/>
      <c r="Y2" s="765"/>
      <c r="Z2" s="765"/>
      <c r="AA2" s="765"/>
      <c r="AB2" s="765"/>
      <c r="AC2" s="765"/>
      <c r="AD2" s="765"/>
      <c r="AE2" s="765"/>
      <c r="AF2" s="765"/>
      <c r="AG2" s="765"/>
      <c r="AH2" s="765"/>
    </row>
    <row r="3" spans="1:34" s="238" customFormat="1" ht="15">
      <c r="A3" s="765" t="s">
        <v>506</v>
      </c>
      <c r="B3" s="765"/>
      <c r="C3" s="765"/>
      <c r="D3" s="765"/>
      <c r="E3" s="765"/>
      <c r="F3" s="765"/>
      <c r="G3" s="765"/>
      <c r="H3" s="765"/>
      <c r="I3" s="765"/>
      <c r="J3" s="765"/>
      <c r="K3" s="765"/>
      <c r="L3" s="765"/>
      <c r="M3" s="765"/>
      <c r="N3" s="765"/>
      <c r="O3" s="765"/>
      <c r="P3" s="765"/>
      <c r="Q3" s="765"/>
      <c r="R3" s="765"/>
      <c r="S3" s="765"/>
      <c r="T3" s="765"/>
      <c r="U3" s="765"/>
      <c r="V3" s="765"/>
      <c r="W3" s="765"/>
      <c r="X3" s="765"/>
      <c r="Y3" s="765"/>
      <c r="Z3" s="765"/>
      <c r="AA3" s="765"/>
      <c r="AB3" s="765"/>
      <c r="AC3" s="765"/>
      <c r="AD3" s="765"/>
      <c r="AE3" s="765"/>
      <c r="AF3" s="765"/>
      <c r="AG3" s="765"/>
      <c r="AH3" s="765"/>
    </row>
    <row r="4" spans="1:34" s="238" customFormat="1" ht="15">
      <c r="A4" s="765" t="s">
        <v>546</v>
      </c>
      <c r="B4" s="765"/>
      <c r="C4" s="765"/>
      <c r="D4" s="765"/>
      <c r="E4" s="765"/>
      <c r="F4" s="765"/>
      <c r="G4" s="765"/>
      <c r="H4" s="765"/>
      <c r="I4" s="765"/>
      <c r="J4" s="765"/>
      <c r="K4" s="765"/>
      <c r="L4" s="765"/>
      <c r="M4" s="765"/>
      <c r="N4" s="765"/>
      <c r="O4" s="765"/>
      <c r="P4" s="765"/>
      <c r="Q4" s="765"/>
      <c r="R4" s="765"/>
      <c r="S4" s="765"/>
      <c r="T4" s="765"/>
      <c r="U4" s="765"/>
      <c r="V4" s="765"/>
      <c r="W4" s="765"/>
      <c r="X4" s="765"/>
      <c r="Y4" s="765"/>
      <c r="Z4" s="765"/>
      <c r="AA4" s="765"/>
      <c r="AB4" s="765"/>
      <c r="AC4" s="765"/>
      <c r="AD4" s="765"/>
      <c r="AE4" s="765"/>
      <c r="AF4" s="765"/>
      <c r="AG4" s="765"/>
      <c r="AH4" s="765"/>
    </row>
    <row r="5" spans="1:29" s="238" customFormat="1" ht="15.75" thickBot="1">
      <c r="A5" s="240"/>
      <c r="B5" s="240"/>
      <c r="C5" s="240"/>
      <c r="D5" s="240"/>
      <c r="E5" s="240"/>
      <c r="F5" s="240"/>
      <c r="G5" s="240"/>
      <c r="H5" s="240"/>
      <c r="N5" s="448"/>
      <c r="U5" s="248"/>
      <c r="V5" s="248"/>
      <c r="W5" s="248"/>
      <c r="AC5" s="248"/>
    </row>
    <row r="6" spans="1:34" s="238" customFormat="1" ht="15.75" customHeight="1">
      <c r="A6" s="754" t="s">
        <v>235</v>
      </c>
      <c r="B6" s="241" t="s">
        <v>3</v>
      </c>
      <c r="C6" s="754" t="s">
        <v>375</v>
      </c>
      <c r="D6" s="754" t="s">
        <v>376</v>
      </c>
      <c r="E6" s="754" t="s">
        <v>377</v>
      </c>
      <c r="F6" s="754"/>
      <c r="G6" s="754" t="s">
        <v>378</v>
      </c>
      <c r="H6" s="396" t="s">
        <v>3</v>
      </c>
      <c r="I6" s="396" t="s">
        <v>5</v>
      </c>
      <c r="J6" s="754" t="s">
        <v>379</v>
      </c>
      <c r="K6" s="396" t="s">
        <v>380</v>
      </c>
      <c r="L6" s="396" t="s">
        <v>5</v>
      </c>
      <c r="M6" s="754" t="s">
        <v>381</v>
      </c>
      <c r="N6" s="396" t="s">
        <v>380</v>
      </c>
      <c r="O6" s="396" t="s">
        <v>5</v>
      </c>
      <c r="P6" s="762" t="s">
        <v>382</v>
      </c>
      <c r="Q6" s="396" t="s">
        <v>380</v>
      </c>
      <c r="R6" s="396" t="s">
        <v>5</v>
      </c>
      <c r="S6" s="762" t="s">
        <v>383</v>
      </c>
      <c r="T6" s="396" t="s">
        <v>380</v>
      </c>
      <c r="U6" s="396" t="s">
        <v>7</v>
      </c>
      <c r="V6" s="396" t="s">
        <v>236</v>
      </c>
      <c r="W6" s="396" t="s">
        <v>236</v>
      </c>
      <c r="X6" s="396" t="s">
        <v>236</v>
      </c>
      <c r="Y6" s="396" t="s">
        <v>236</v>
      </c>
      <c r="Z6" s="396" t="s">
        <v>505</v>
      </c>
      <c r="AA6" s="757" t="s">
        <v>384</v>
      </c>
      <c r="AB6" s="757" t="s">
        <v>156</v>
      </c>
      <c r="AC6" s="757" t="s">
        <v>237</v>
      </c>
      <c r="AD6" s="757" t="s">
        <v>238</v>
      </c>
      <c r="AE6" s="757" t="s">
        <v>385</v>
      </c>
      <c r="AF6" s="757" t="s">
        <v>239</v>
      </c>
      <c r="AG6" s="396"/>
      <c r="AH6" s="757" t="s">
        <v>547</v>
      </c>
    </row>
    <row r="7" spans="1:34" s="238" customFormat="1" ht="15">
      <c r="A7" s="755"/>
      <c r="B7" s="242" t="s">
        <v>240</v>
      </c>
      <c r="C7" s="755"/>
      <c r="D7" s="755"/>
      <c r="E7" s="755"/>
      <c r="F7" s="755"/>
      <c r="G7" s="755"/>
      <c r="H7" s="397" t="s">
        <v>83</v>
      </c>
      <c r="I7" s="397" t="s">
        <v>241</v>
      </c>
      <c r="J7" s="755"/>
      <c r="K7" s="397" t="s">
        <v>241</v>
      </c>
      <c r="L7" s="397" t="s">
        <v>242</v>
      </c>
      <c r="M7" s="755"/>
      <c r="N7" s="397" t="s">
        <v>242</v>
      </c>
      <c r="O7" s="397" t="s">
        <v>243</v>
      </c>
      <c r="P7" s="763"/>
      <c r="Q7" s="397" t="s">
        <v>243</v>
      </c>
      <c r="R7" s="397" t="s">
        <v>244</v>
      </c>
      <c r="S7" s="763"/>
      <c r="T7" s="397" t="s">
        <v>244</v>
      </c>
      <c r="U7" s="397" t="s">
        <v>5</v>
      </c>
      <c r="V7" s="397" t="s">
        <v>241</v>
      </c>
      <c r="W7" s="397" t="s">
        <v>242</v>
      </c>
      <c r="X7" s="397" t="s">
        <v>245</v>
      </c>
      <c r="Y7" s="397" t="s">
        <v>246</v>
      </c>
      <c r="Z7" s="397" t="s">
        <v>374</v>
      </c>
      <c r="AA7" s="760"/>
      <c r="AB7" s="760"/>
      <c r="AC7" s="760"/>
      <c r="AD7" s="758"/>
      <c r="AE7" s="758"/>
      <c r="AF7" s="758"/>
      <c r="AG7" s="397" t="s">
        <v>536</v>
      </c>
      <c r="AH7" s="760"/>
    </row>
    <row r="8" spans="1:34" s="238" customFormat="1" ht="25.5" customHeight="1" thickBot="1">
      <c r="A8" s="756"/>
      <c r="B8" s="243" t="s">
        <v>386</v>
      </c>
      <c r="C8" s="756"/>
      <c r="D8" s="756"/>
      <c r="E8" s="756"/>
      <c r="F8" s="756"/>
      <c r="G8" s="756"/>
      <c r="H8" s="398" t="s">
        <v>386</v>
      </c>
      <c r="I8" s="398" t="s">
        <v>386</v>
      </c>
      <c r="J8" s="756"/>
      <c r="K8" s="398" t="s">
        <v>386</v>
      </c>
      <c r="L8" s="398" t="s">
        <v>386</v>
      </c>
      <c r="M8" s="756"/>
      <c r="N8" s="398" t="s">
        <v>386</v>
      </c>
      <c r="O8" s="398" t="s">
        <v>386</v>
      </c>
      <c r="P8" s="764"/>
      <c r="Q8" s="398" t="s">
        <v>386</v>
      </c>
      <c r="R8" s="398" t="s">
        <v>386</v>
      </c>
      <c r="S8" s="764"/>
      <c r="T8" s="398" t="s">
        <v>386</v>
      </c>
      <c r="U8" s="398" t="s">
        <v>85</v>
      </c>
      <c r="V8" s="398" t="s">
        <v>386</v>
      </c>
      <c r="W8" s="398" t="s">
        <v>386</v>
      </c>
      <c r="X8" s="398" t="s">
        <v>386</v>
      </c>
      <c r="Y8" s="398" t="s">
        <v>386</v>
      </c>
      <c r="Z8" s="398" t="s">
        <v>386</v>
      </c>
      <c r="AA8" s="761"/>
      <c r="AB8" s="761"/>
      <c r="AC8" s="761"/>
      <c r="AD8" s="759"/>
      <c r="AE8" s="759"/>
      <c r="AF8" s="759"/>
      <c r="AG8" s="398"/>
      <c r="AH8" s="761"/>
    </row>
    <row r="9" spans="1:34" s="238" customFormat="1" ht="15">
      <c r="A9" s="244" t="s">
        <v>247</v>
      </c>
      <c r="B9" s="449">
        <f>+B11+B15+B19</f>
        <v>19251236893</v>
      </c>
      <c r="C9" s="449">
        <f aca="true" t="shared" si="0" ref="C9:AB9">+C11+C15+C19</f>
        <v>911362369</v>
      </c>
      <c r="D9" s="449">
        <f t="shared" si="0"/>
        <v>0</v>
      </c>
      <c r="E9" s="449">
        <f t="shared" si="0"/>
        <v>994825650</v>
      </c>
      <c r="F9" s="450">
        <f t="shared" si="0"/>
        <v>0</v>
      </c>
      <c r="G9" s="450">
        <f t="shared" si="0"/>
        <v>0</v>
      </c>
      <c r="H9" s="451">
        <f t="shared" si="0"/>
        <v>21157424912</v>
      </c>
      <c r="I9" s="452">
        <f t="shared" si="0"/>
        <v>3871622385</v>
      </c>
      <c r="J9" s="452">
        <f t="shared" si="0"/>
        <v>178022515</v>
      </c>
      <c r="K9" s="453">
        <f t="shared" si="0"/>
        <v>4049644900</v>
      </c>
      <c r="L9" s="452">
        <f t="shared" si="0"/>
        <v>4939554541</v>
      </c>
      <c r="M9" s="452">
        <f t="shared" si="0"/>
        <v>-563301919</v>
      </c>
      <c r="N9" s="452">
        <f t="shared" si="0"/>
        <v>4376252622</v>
      </c>
      <c r="O9" s="452">
        <f t="shared" si="0"/>
        <v>5547447403</v>
      </c>
      <c r="P9" s="452">
        <f t="shared" si="0"/>
        <v>-650296504.25</v>
      </c>
      <c r="Q9" s="452">
        <f t="shared" si="0"/>
        <v>4897150898.75</v>
      </c>
      <c r="R9" s="452">
        <f t="shared" si="0"/>
        <v>5550272786</v>
      </c>
      <c r="S9" s="452">
        <f>+S11+S15+S19</f>
        <v>2719983767</v>
      </c>
      <c r="T9" s="452">
        <f>+T11+T15+T19</f>
        <v>7775137055</v>
      </c>
      <c r="U9" s="452">
        <f t="shared" si="0"/>
        <v>21098185475.75</v>
      </c>
      <c r="V9" s="452">
        <f t="shared" si="0"/>
        <v>4049644900</v>
      </c>
      <c r="W9" s="454">
        <f t="shared" si="0"/>
        <v>4369951121</v>
      </c>
      <c r="X9" s="454">
        <f t="shared" si="0"/>
        <v>4897150899</v>
      </c>
      <c r="Y9" s="454">
        <f>+Y11+Y15+Y19</f>
        <v>7781438556</v>
      </c>
      <c r="Z9" s="455">
        <f>+Z11+Z15+Z19</f>
        <v>21098185476</v>
      </c>
      <c r="AA9" s="455">
        <f t="shared" si="0"/>
        <v>59239436</v>
      </c>
      <c r="AB9" s="455">
        <f t="shared" si="0"/>
        <v>59239436.25</v>
      </c>
      <c r="AC9" s="456">
        <f>+V9/K9</f>
        <v>1</v>
      </c>
      <c r="AD9" s="457">
        <f>+W9/N9</f>
        <v>0.9985600691860608</v>
      </c>
      <c r="AE9" s="457">
        <f>+X9/Q9</f>
        <v>1.00000000005105</v>
      </c>
      <c r="AF9" s="457">
        <f>+Y9/T9</f>
        <v>1.0008104681570786</v>
      </c>
      <c r="AG9" s="745">
        <f>+Z9-H9</f>
        <v>-59239436</v>
      </c>
      <c r="AH9" s="751">
        <f>+Z9/H9</f>
        <v>0.9972000639847999</v>
      </c>
    </row>
    <row r="10" spans="1:34" s="238" customFormat="1" ht="13.5" customHeight="1">
      <c r="A10" s="245"/>
      <c r="B10" s="458"/>
      <c r="C10" s="459"/>
      <c r="D10" s="459"/>
      <c r="E10" s="459"/>
      <c r="F10" s="459"/>
      <c r="G10" s="459"/>
      <c r="H10" s="460">
        <f>+B10+C10+D10+E10+F10+G10</f>
        <v>0</v>
      </c>
      <c r="I10" s="461"/>
      <c r="J10" s="462"/>
      <c r="K10" s="463">
        <f>+I10+J10</f>
        <v>0</v>
      </c>
      <c r="L10" s="461">
        <v>0</v>
      </c>
      <c r="M10" s="461"/>
      <c r="N10" s="461">
        <f>+L10+M10</f>
        <v>0</v>
      </c>
      <c r="O10" s="461"/>
      <c r="P10" s="461"/>
      <c r="Q10" s="461">
        <f>+O10+P10</f>
        <v>0</v>
      </c>
      <c r="R10" s="461"/>
      <c r="S10" s="461"/>
      <c r="T10" s="461">
        <f>+R10+S10</f>
        <v>0</v>
      </c>
      <c r="U10" s="464">
        <f>+K10+N10+Q10+T10</f>
        <v>0</v>
      </c>
      <c r="V10" s="464"/>
      <c r="W10" s="460"/>
      <c r="X10" s="460"/>
      <c r="Y10" s="460"/>
      <c r="Z10" s="460"/>
      <c r="AA10" s="460"/>
      <c r="AB10" s="460"/>
      <c r="AC10" s="465"/>
      <c r="AD10" s="466"/>
      <c r="AE10" s="466"/>
      <c r="AF10" s="466"/>
      <c r="AG10" s="466">
        <f aca="true" t="shared" si="1" ref="AG10:AG37">+Z10-H10</f>
        <v>0</v>
      </c>
      <c r="AH10" s="752"/>
    </row>
    <row r="11" spans="1:34" s="238" customFormat="1" ht="15">
      <c r="A11" s="246" t="s">
        <v>248</v>
      </c>
      <c r="B11" s="467">
        <f>+B12+CUOTAPPC2005</f>
        <v>16957483515</v>
      </c>
      <c r="C11" s="467">
        <v>0</v>
      </c>
      <c r="D11" s="468"/>
      <c r="E11" s="468">
        <f>SUM(E13+E12)</f>
        <v>994825650</v>
      </c>
      <c r="F11" s="468">
        <f>SUM(F13+F12)</f>
        <v>0</v>
      </c>
      <c r="G11" s="468"/>
      <c r="H11" s="451">
        <f>+H12+H13</f>
        <v>17952309165</v>
      </c>
      <c r="I11" s="451">
        <f>+SUM(I12:I13)</f>
        <v>3721622385</v>
      </c>
      <c r="J11" s="451">
        <f>+SUM(J12:J13)</f>
        <v>215150209</v>
      </c>
      <c r="K11" s="451">
        <f>+SUM(K12:K13)</f>
        <v>3936772594</v>
      </c>
      <c r="L11" s="451">
        <f aca="true" t="shared" si="2" ref="L11:AB11">+SUM(L12:L13)</f>
        <v>4134115050</v>
      </c>
      <c r="M11" s="451">
        <f t="shared" si="2"/>
        <v>236629484</v>
      </c>
      <c r="N11" s="451">
        <f t="shared" si="2"/>
        <v>4370744534</v>
      </c>
      <c r="O11" s="451">
        <f t="shared" si="2"/>
        <v>4301416470</v>
      </c>
      <c r="P11" s="451">
        <f t="shared" si="2"/>
        <v>196724603.75</v>
      </c>
      <c r="Q11" s="451">
        <f t="shared" si="2"/>
        <v>4498141073.75</v>
      </c>
      <c r="R11" s="451">
        <f>+SUM(R12:R13)</f>
        <v>5055153288</v>
      </c>
      <c r="S11" s="451">
        <f>+SUM(S12:S13)</f>
        <v>-42093839</v>
      </c>
      <c r="T11" s="451">
        <f>+SUM(T12:T13)</f>
        <v>5013059449</v>
      </c>
      <c r="U11" s="451">
        <f t="shared" si="2"/>
        <v>17818717650.75</v>
      </c>
      <c r="V11" s="451">
        <f t="shared" si="2"/>
        <v>3936772594</v>
      </c>
      <c r="W11" s="451">
        <f t="shared" si="2"/>
        <v>4364443033</v>
      </c>
      <c r="X11" s="451">
        <f t="shared" si="2"/>
        <v>4498141074</v>
      </c>
      <c r="Y11" s="451">
        <f>+SUM(Y12:Y13)</f>
        <v>5019360950</v>
      </c>
      <c r="Z11" s="451">
        <f>+SUM(Z12:Z13)</f>
        <v>17818717651</v>
      </c>
      <c r="AA11" s="451">
        <f t="shared" si="2"/>
        <v>133591514</v>
      </c>
      <c r="AB11" s="451">
        <f t="shared" si="2"/>
        <v>133591514.25</v>
      </c>
      <c r="AC11" s="456">
        <f>+V11/K11</f>
        <v>1</v>
      </c>
      <c r="AD11" s="457">
        <f>+W11/N11</f>
        <v>0.9985582545602973</v>
      </c>
      <c r="AE11" s="457">
        <f>+X11/Q11</f>
        <v>1.0000000000555784</v>
      </c>
      <c r="AF11" s="457">
        <f>+Y11/T11</f>
        <v>1.001257017010093</v>
      </c>
      <c r="AG11" s="745">
        <f t="shared" si="1"/>
        <v>-133591514</v>
      </c>
      <c r="AH11" s="751">
        <f>+Z11/H11</f>
        <v>0.9925585331239476</v>
      </c>
    </row>
    <row r="12" spans="1:34" s="238" customFormat="1" ht="15">
      <c r="A12" s="245" t="s">
        <v>249</v>
      </c>
      <c r="B12" s="458">
        <v>10598076546</v>
      </c>
      <c r="C12" s="459"/>
      <c r="D12" s="459"/>
      <c r="E12" s="459">
        <v>621745460</v>
      </c>
      <c r="F12" s="459">
        <v>0</v>
      </c>
      <c r="G12" s="459"/>
      <c r="H12" s="460">
        <f>+B12+C12+D12+E12+F12+G12</f>
        <v>11219822006</v>
      </c>
      <c r="I12" s="464">
        <v>2326013991</v>
      </c>
      <c r="J12" s="469">
        <v>133940372</v>
      </c>
      <c r="K12" s="470">
        <f>+I12+J12</f>
        <v>2459954363</v>
      </c>
      <c r="L12" s="471">
        <v>2583821906</v>
      </c>
      <c r="M12" s="471">
        <f>144270258.75+3938438</f>
        <v>148208696.75</v>
      </c>
      <c r="N12" s="472">
        <f>+L12+M12</f>
        <v>2732030602.75</v>
      </c>
      <c r="O12" s="473">
        <v>2688385293.75</v>
      </c>
      <c r="P12" s="473">
        <v>130034966</v>
      </c>
      <c r="Q12" s="464">
        <f>+O12+P12</f>
        <v>2818420259.75</v>
      </c>
      <c r="R12" s="464">
        <v>3159470805</v>
      </c>
      <c r="S12" s="464">
        <f>19307448-3938438-48546509</f>
        <v>-33177499</v>
      </c>
      <c r="T12" s="464">
        <f>+R12+S12</f>
        <v>3126293306</v>
      </c>
      <c r="U12" s="464">
        <f>+K12+N12+Q12+T12</f>
        <v>11136698531.5</v>
      </c>
      <c r="V12" s="464">
        <v>2459954363</v>
      </c>
      <c r="W12" s="474">
        <v>2728092164.75</v>
      </c>
      <c r="X12" s="475">
        <v>2818420260</v>
      </c>
      <c r="Y12" s="464">
        <f>3126293306+3938438</f>
        <v>3130231744</v>
      </c>
      <c r="Z12" s="464">
        <f>+V12+W12+X12+Y12</f>
        <v>11136698531.75</v>
      </c>
      <c r="AA12" s="464">
        <f>+H12-Z12</f>
        <v>83123474.25</v>
      </c>
      <c r="AB12" s="464">
        <f>+H12-U12</f>
        <v>83123474.5</v>
      </c>
      <c r="AC12" s="465">
        <f>+V12/K12</f>
        <v>1</v>
      </c>
      <c r="AD12" s="476">
        <f>+W12/N12</f>
        <v>0.9985584209796056</v>
      </c>
      <c r="AE12" s="476">
        <f>+X12/Q12</f>
        <v>1.0000000000887022</v>
      </c>
      <c r="AF12" s="476">
        <f>+Y12/T12</f>
        <v>1.0012597787905702</v>
      </c>
      <c r="AG12" s="746">
        <f t="shared" si="1"/>
        <v>-83123474.25</v>
      </c>
      <c r="AH12" s="752">
        <f>+Z12/H12</f>
        <v>0.992591373178153</v>
      </c>
    </row>
    <row r="13" spans="1:34" s="238" customFormat="1" ht="15">
      <c r="A13" s="245" t="s">
        <v>250</v>
      </c>
      <c r="B13" s="458">
        <v>6359406969</v>
      </c>
      <c r="C13" s="459"/>
      <c r="D13" s="459"/>
      <c r="E13" s="459">
        <v>373080190</v>
      </c>
      <c r="F13" s="459">
        <v>0</v>
      </c>
      <c r="G13" s="459"/>
      <c r="H13" s="460">
        <f>+B13+C13+D13+E13+F13+G13</f>
        <v>6732487159</v>
      </c>
      <c r="I13" s="464">
        <v>1395608394</v>
      </c>
      <c r="J13" s="469">
        <v>81209837</v>
      </c>
      <c r="K13" s="470">
        <f>+I13+J13</f>
        <v>1476818231</v>
      </c>
      <c r="L13" s="471">
        <v>1550293144</v>
      </c>
      <c r="M13" s="471">
        <f>86057724.25+2363063</f>
        <v>88420787.25</v>
      </c>
      <c r="N13" s="472">
        <f>+L13+M13</f>
        <v>1638713931.25</v>
      </c>
      <c r="O13" s="473">
        <v>1613031176.25</v>
      </c>
      <c r="P13" s="473">
        <v>66689637.75</v>
      </c>
      <c r="Q13" s="464">
        <f>+O13+P13</f>
        <v>1679720814</v>
      </c>
      <c r="R13" s="464">
        <v>1895682483</v>
      </c>
      <c r="S13" s="464">
        <f>-55099786-2363063+48546509</f>
        <v>-8916340</v>
      </c>
      <c r="T13" s="464">
        <f>+R13+S13</f>
        <v>1886766143</v>
      </c>
      <c r="U13" s="464">
        <f>+K13+N13+Q13+T13</f>
        <v>6682019119.25</v>
      </c>
      <c r="V13" s="464">
        <v>1476818231</v>
      </c>
      <c r="W13" s="474">
        <v>1636350868.25</v>
      </c>
      <c r="X13" s="475">
        <v>1679720814</v>
      </c>
      <c r="Y13" s="464">
        <f>1886766143+2363063</f>
        <v>1889129206</v>
      </c>
      <c r="Z13" s="464">
        <f>+V13+W13+X13+Y13</f>
        <v>6682019119.25</v>
      </c>
      <c r="AA13" s="464">
        <f>+H13-Z13</f>
        <v>50468039.75</v>
      </c>
      <c r="AB13" s="464">
        <f>+H13-U13</f>
        <v>50468039.75</v>
      </c>
      <c r="AC13" s="465">
        <f>+V13/K13</f>
        <v>1</v>
      </c>
      <c r="AD13" s="476">
        <f>+W13/N13</f>
        <v>0.9985579771094046</v>
      </c>
      <c r="AE13" s="476">
        <f>+X13/Q13</f>
        <v>1</v>
      </c>
      <c r="AF13" s="476">
        <f>+Y13/T13</f>
        <v>1.0012524408542982</v>
      </c>
      <c r="AG13" s="746">
        <f t="shared" si="1"/>
        <v>-50468039.75</v>
      </c>
      <c r="AH13" s="752">
        <f>+Z13/H13</f>
        <v>0.9925038045289795</v>
      </c>
    </row>
    <row r="14" spans="1:34" s="238" customFormat="1" ht="15">
      <c r="A14" s="245"/>
      <c r="B14" s="458"/>
      <c r="C14" s="459"/>
      <c r="D14" s="459"/>
      <c r="E14" s="459"/>
      <c r="F14" s="459"/>
      <c r="G14" s="459"/>
      <c r="H14" s="460"/>
      <c r="I14" s="464"/>
      <c r="J14" s="469"/>
      <c r="K14" s="470"/>
      <c r="L14" s="464"/>
      <c r="M14" s="464"/>
      <c r="N14" s="464"/>
      <c r="O14" s="464"/>
      <c r="P14" s="464"/>
      <c r="Q14" s="464"/>
      <c r="R14" s="464"/>
      <c r="S14" s="464"/>
      <c r="T14" s="464"/>
      <c r="U14" s="464"/>
      <c r="V14" s="464"/>
      <c r="W14" s="460"/>
      <c r="X14" s="475"/>
      <c r="Y14" s="474"/>
      <c r="Z14" s="460"/>
      <c r="AA14" s="460"/>
      <c r="AB14" s="460"/>
      <c r="AC14" s="465"/>
      <c r="AD14" s="466"/>
      <c r="AE14" s="457"/>
      <c r="AF14" s="457"/>
      <c r="AG14" s="457"/>
      <c r="AH14" s="752"/>
    </row>
    <row r="15" spans="1:34" s="238" customFormat="1" ht="15">
      <c r="A15" s="249" t="s">
        <v>251</v>
      </c>
      <c r="B15" s="477">
        <f>+B16+B17</f>
        <v>50000000</v>
      </c>
      <c r="C15" s="477">
        <f>+C16+C17</f>
        <v>0</v>
      </c>
      <c r="D15" s="477">
        <f>+D16+D17</f>
        <v>0</v>
      </c>
      <c r="E15" s="478">
        <f>+E16+E17</f>
        <v>0</v>
      </c>
      <c r="F15" s="478"/>
      <c r="G15" s="478"/>
      <c r="H15" s="461">
        <f>+SUM(H16:H17)</f>
        <v>50000000</v>
      </c>
      <c r="I15" s="461">
        <f>+SUM(I16:I17)</f>
        <v>50000000</v>
      </c>
      <c r="J15" s="461">
        <f aca="true" t="shared" si="3" ref="J15:AB15">+SUM(J16:J17)</f>
        <v>62872306</v>
      </c>
      <c r="K15" s="461">
        <f t="shared" si="3"/>
        <v>112872306</v>
      </c>
      <c r="L15" s="461">
        <f t="shared" si="3"/>
        <v>0</v>
      </c>
      <c r="M15" s="461">
        <f t="shared" si="3"/>
        <v>5508088</v>
      </c>
      <c r="N15" s="461">
        <f t="shared" si="3"/>
        <v>5508088</v>
      </c>
      <c r="O15" s="461">
        <f t="shared" si="3"/>
        <v>0</v>
      </c>
      <c r="P15" s="461">
        <f t="shared" si="3"/>
        <v>4992562</v>
      </c>
      <c r="Q15" s="461">
        <f t="shared" si="3"/>
        <v>4992562</v>
      </c>
      <c r="R15" s="461">
        <f>+SUM(R16:R17)</f>
        <v>0</v>
      </c>
      <c r="S15" s="461">
        <f t="shared" si="3"/>
        <v>979122</v>
      </c>
      <c r="T15" s="461">
        <f>+SUM(T16:T17)</f>
        <v>979122</v>
      </c>
      <c r="U15" s="461">
        <f>+SUM(U16:U17)</f>
        <v>124352078</v>
      </c>
      <c r="V15" s="461">
        <f t="shared" si="3"/>
        <v>112872306</v>
      </c>
      <c r="W15" s="461">
        <f t="shared" si="3"/>
        <v>5508088</v>
      </c>
      <c r="X15" s="461">
        <f t="shared" si="3"/>
        <v>4992562</v>
      </c>
      <c r="Y15" s="461">
        <f t="shared" si="3"/>
        <v>979122</v>
      </c>
      <c r="Z15" s="461">
        <f>+SUM(Z16:Z17)</f>
        <v>124352078</v>
      </c>
      <c r="AA15" s="461">
        <f t="shared" si="3"/>
        <v>-74352078</v>
      </c>
      <c r="AB15" s="461">
        <f t="shared" si="3"/>
        <v>-74352078</v>
      </c>
      <c r="AC15" s="456">
        <f>+V15/K15</f>
        <v>1</v>
      </c>
      <c r="AD15" s="457">
        <f>+W15/N15</f>
        <v>1</v>
      </c>
      <c r="AE15" s="457">
        <f>_xlfn.IFERROR(X15/Q15,0)</f>
        <v>1</v>
      </c>
      <c r="AF15" s="457">
        <f>+Y15/T15</f>
        <v>1</v>
      </c>
      <c r="AG15" s="745">
        <f t="shared" si="1"/>
        <v>74352078</v>
      </c>
      <c r="AH15" s="751">
        <f>+Z15/H15</f>
        <v>2.48704156</v>
      </c>
    </row>
    <row r="16" spans="1:34" s="238" customFormat="1" ht="15">
      <c r="A16" s="245" t="s">
        <v>249</v>
      </c>
      <c r="B16" s="458">
        <v>37500000</v>
      </c>
      <c r="C16" s="459"/>
      <c r="D16" s="459"/>
      <c r="E16" s="459"/>
      <c r="F16" s="459"/>
      <c r="G16" s="459"/>
      <c r="H16" s="460">
        <f>+B16+C16+D16+E16+F16+G16</f>
        <v>37500000</v>
      </c>
      <c r="I16" s="464">
        <v>37500000</v>
      </c>
      <c r="J16" s="469">
        <v>42750998</v>
      </c>
      <c r="K16" s="470">
        <f>+I16+J16</f>
        <v>80250998</v>
      </c>
      <c r="L16" s="464">
        <v>0</v>
      </c>
      <c r="M16" s="464">
        <v>2762307</v>
      </c>
      <c r="N16" s="472">
        <f>+L16+M16</f>
        <v>2762307</v>
      </c>
      <c r="O16" s="464"/>
      <c r="P16" s="464">
        <v>3738171</v>
      </c>
      <c r="Q16" s="464">
        <f>+O16+P16</f>
        <v>3738171</v>
      </c>
      <c r="R16" s="464">
        <v>0</v>
      </c>
      <c r="S16" s="464">
        <v>741571</v>
      </c>
      <c r="T16" s="464">
        <f>+R16+S16</f>
        <v>741571</v>
      </c>
      <c r="U16" s="464">
        <f>+K16+N16+Q16+T16</f>
        <v>87493047</v>
      </c>
      <c r="V16" s="464">
        <v>80250998</v>
      </c>
      <c r="W16" s="460">
        <v>2762307</v>
      </c>
      <c r="X16" s="475">
        <v>3738171</v>
      </c>
      <c r="Y16" s="474">
        <v>741571</v>
      </c>
      <c r="Z16" s="464">
        <f>+V16+W16+X16+Y16</f>
        <v>87493047</v>
      </c>
      <c r="AA16" s="464">
        <f>+H16-Z16</f>
        <v>-49993047</v>
      </c>
      <c r="AB16" s="464">
        <f>+H16-U16</f>
        <v>-49993047</v>
      </c>
      <c r="AC16" s="465">
        <f>+V16/K16</f>
        <v>1</v>
      </c>
      <c r="AD16" s="476">
        <f>+W16/N16</f>
        <v>1</v>
      </c>
      <c r="AE16" s="476">
        <f>_xlfn.IFERROR(X16/Q16,0)</f>
        <v>1</v>
      </c>
      <c r="AF16" s="476">
        <f>+Y16/T16</f>
        <v>1</v>
      </c>
      <c r="AG16" s="746">
        <f t="shared" si="1"/>
        <v>49993047</v>
      </c>
      <c r="AH16" s="752">
        <f>+Z16/H16</f>
        <v>2.33314792</v>
      </c>
    </row>
    <row r="17" spans="1:34" s="238" customFormat="1" ht="15">
      <c r="A17" s="245" t="s">
        <v>250</v>
      </c>
      <c r="B17" s="458">
        <v>12500000</v>
      </c>
      <c r="C17" s="459"/>
      <c r="D17" s="459"/>
      <c r="E17" s="459"/>
      <c r="F17" s="459"/>
      <c r="G17" s="459"/>
      <c r="H17" s="460">
        <f>+B17+C17+D17+E17+F17+G17</f>
        <v>12500000</v>
      </c>
      <c r="I17" s="464">
        <v>12500000</v>
      </c>
      <c r="J17" s="469">
        <v>20121308</v>
      </c>
      <c r="K17" s="470">
        <f>+I17+J17</f>
        <v>32621308</v>
      </c>
      <c r="L17" s="464">
        <v>0</v>
      </c>
      <c r="M17" s="464">
        <v>2745781</v>
      </c>
      <c r="N17" s="472">
        <f>+L17+M17</f>
        <v>2745781</v>
      </c>
      <c r="O17" s="464"/>
      <c r="P17" s="464">
        <v>1254391</v>
      </c>
      <c r="Q17" s="464">
        <f>+O17+P17</f>
        <v>1254391</v>
      </c>
      <c r="R17" s="464">
        <v>0</v>
      </c>
      <c r="S17" s="464">
        <v>237551</v>
      </c>
      <c r="T17" s="464">
        <f>+R17+S17</f>
        <v>237551</v>
      </c>
      <c r="U17" s="464">
        <f>+K17+N17+Q17+T17</f>
        <v>36859031</v>
      </c>
      <c r="V17" s="464">
        <v>32621308</v>
      </c>
      <c r="W17" s="460">
        <v>2745781</v>
      </c>
      <c r="X17" s="475">
        <v>1254391</v>
      </c>
      <c r="Y17" s="474">
        <v>237551</v>
      </c>
      <c r="Z17" s="464">
        <f>+V17+W17+X17+Y17</f>
        <v>36859031</v>
      </c>
      <c r="AA17" s="464">
        <f>+H17-Z17</f>
        <v>-24359031</v>
      </c>
      <c r="AB17" s="464">
        <f>+H17-U17</f>
        <v>-24359031</v>
      </c>
      <c r="AC17" s="465">
        <f>+V17/K17</f>
        <v>1</v>
      </c>
      <c r="AD17" s="476">
        <v>1</v>
      </c>
      <c r="AE17" s="476">
        <f>_xlfn.IFERROR(X17/Q17,0)</f>
        <v>1</v>
      </c>
      <c r="AF17" s="476">
        <f>_xlfn.IFERROR(Y17/T17,0)</f>
        <v>1</v>
      </c>
      <c r="AG17" s="746">
        <f t="shared" si="1"/>
        <v>24359031</v>
      </c>
      <c r="AH17" s="752">
        <f>+Z17/H17</f>
        <v>2.94872248</v>
      </c>
    </row>
    <row r="18" spans="1:34" s="238" customFormat="1" ht="15">
      <c r="A18" s="245"/>
      <c r="B18" s="458"/>
      <c r="C18" s="459"/>
      <c r="D18" s="459"/>
      <c r="E18" s="459"/>
      <c r="F18" s="459"/>
      <c r="G18" s="459"/>
      <c r="H18" s="460"/>
      <c r="I18" s="464"/>
      <c r="J18" s="469"/>
      <c r="K18" s="470"/>
      <c r="L18" s="464"/>
      <c r="M18" s="464"/>
      <c r="N18" s="464"/>
      <c r="O18" s="464"/>
      <c r="P18" s="464"/>
      <c r="Q18" s="464"/>
      <c r="R18" s="464"/>
      <c r="S18" s="464"/>
      <c r="T18" s="464"/>
      <c r="U18" s="464"/>
      <c r="V18" s="464"/>
      <c r="W18" s="474"/>
      <c r="X18" s="460"/>
      <c r="Y18" s="460"/>
      <c r="Z18" s="460"/>
      <c r="AA18" s="460"/>
      <c r="AB18" s="460"/>
      <c r="AC18" s="465"/>
      <c r="AD18" s="466"/>
      <c r="AE18" s="457"/>
      <c r="AF18" s="457"/>
      <c r="AG18" s="745">
        <f t="shared" si="1"/>
        <v>0</v>
      </c>
      <c r="AH18" s="752"/>
    </row>
    <row r="19" spans="1:34" s="238" customFormat="1" ht="15">
      <c r="A19" s="249" t="s">
        <v>252</v>
      </c>
      <c r="B19" s="477">
        <f>+B20+B21</f>
        <v>2243753378</v>
      </c>
      <c r="C19" s="477">
        <f>+C20+C21</f>
        <v>911362369</v>
      </c>
      <c r="D19" s="477">
        <f>+D20+D21</f>
        <v>0</v>
      </c>
      <c r="E19" s="478">
        <f>+E20+E21</f>
        <v>0</v>
      </c>
      <c r="F19" s="478"/>
      <c r="G19" s="478"/>
      <c r="H19" s="461">
        <f>+H20+H21</f>
        <v>3155115747</v>
      </c>
      <c r="I19" s="461">
        <f aca="true" t="shared" si="4" ref="I19:AB19">+I20+I21</f>
        <v>100000000</v>
      </c>
      <c r="J19" s="461">
        <f t="shared" si="4"/>
        <v>-100000000</v>
      </c>
      <c r="K19" s="461">
        <f t="shared" si="4"/>
        <v>0</v>
      </c>
      <c r="L19" s="461">
        <f t="shared" si="4"/>
        <v>805439491</v>
      </c>
      <c r="M19" s="461">
        <f t="shared" si="4"/>
        <v>-805439491</v>
      </c>
      <c r="N19" s="461">
        <f t="shared" si="4"/>
        <v>0</v>
      </c>
      <c r="O19" s="461">
        <f t="shared" si="4"/>
        <v>1246030933</v>
      </c>
      <c r="P19" s="461">
        <f t="shared" si="4"/>
        <v>-852013670</v>
      </c>
      <c r="Q19" s="461">
        <f t="shared" si="4"/>
        <v>394017263</v>
      </c>
      <c r="R19" s="461">
        <f t="shared" si="4"/>
        <v>495119498</v>
      </c>
      <c r="S19" s="461">
        <f t="shared" si="4"/>
        <v>2761098484</v>
      </c>
      <c r="T19" s="461">
        <f>+T20+T21</f>
        <v>2761098484</v>
      </c>
      <c r="U19" s="461">
        <f t="shared" si="4"/>
        <v>3155115747</v>
      </c>
      <c r="V19" s="461">
        <f t="shared" si="4"/>
        <v>0</v>
      </c>
      <c r="W19" s="461">
        <f>+W20+W21</f>
        <v>0</v>
      </c>
      <c r="X19" s="461">
        <f>+X20+X21</f>
        <v>394017263</v>
      </c>
      <c r="Y19" s="461">
        <f t="shared" si="4"/>
        <v>2761098484</v>
      </c>
      <c r="Z19" s="461">
        <f>+Z20+Z21</f>
        <v>3155115747</v>
      </c>
      <c r="AA19" s="461">
        <f t="shared" si="4"/>
        <v>0</v>
      </c>
      <c r="AB19" s="461">
        <f t="shared" si="4"/>
        <v>0</v>
      </c>
      <c r="AC19" s="456">
        <v>0</v>
      </c>
      <c r="AD19" s="457">
        <f>_xlfn.IFERROR(W19/N19,0)</f>
        <v>0</v>
      </c>
      <c r="AE19" s="457">
        <f>+X19/Q19</f>
        <v>1</v>
      </c>
      <c r="AF19" s="457">
        <f>_xlfn.IFERROR(Y19/T19,0)</f>
        <v>1</v>
      </c>
      <c r="AG19" s="746">
        <f t="shared" si="1"/>
        <v>0</v>
      </c>
      <c r="AH19" s="751">
        <f>+Z19/H19</f>
        <v>1</v>
      </c>
    </row>
    <row r="20" spans="1:34" s="238" customFormat="1" ht="15">
      <c r="A20" s="245" t="s">
        <v>249</v>
      </c>
      <c r="B20" s="479">
        <v>1045047129</v>
      </c>
      <c r="C20" s="480">
        <v>778490705</v>
      </c>
      <c r="D20" s="480"/>
      <c r="E20" s="480"/>
      <c r="F20" s="480"/>
      <c r="G20" s="480"/>
      <c r="H20" s="460">
        <f>+B20+C20+D20+E20+F20+G20</f>
        <v>1823537834</v>
      </c>
      <c r="I20" s="464">
        <v>100000000</v>
      </c>
      <c r="J20" s="469">
        <v>-100000000</v>
      </c>
      <c r="K20" s="470"/>
      <c r="L20" s="471">
        <v>805439491</v>
      </c>
      <c r="M20" s="471">
        <v>-805439491</v>
      </c>
      <c r="N20" s="464"/>
      <c r="O20" s="473">
        <v>1246030933</v>
      </c>
      <c r="P20" s="473">
        <v>-852013670</v>
      </c>
      <c r="Q20" s="464">
        <f>+O20+P20</f>
        <v>394017263</v>
      </c>
      <c r="R20" s="464">
        <v>495119498</v>
      </c>
      <c r="S20" s="464">
        <v>1429520571</v>
      </c>
      <c r="T20" s="464">
        <v>1429520571</v>
      </c>
      <c r="U20" s="464">
        <v>1823537834</v>
      </c>
      <c r="V20" s="464">
        <v>0</v>
      </c>
      <c r="W20" s="474">
        <v>0</v>
      </c>
      <c r="X20" s="475">
        <v>394017263</v>
      </c>
      <c r="Y20" s="474">
        <f>+Z20-X20</f>
        <v>1429520571</v>
      </c>
      <c r="Z20" s="464">
        <v>1823537834</v>
      </c>
      <c r="AA20" s="464">
        <f>+H20-Z20</f>
        <v>0</v>
      </c>
      <c r="AB20" s="464">
        <f>+H20-U20</f>
        <v>0</v>
      </c>
      <c r="AC20" s="465">
        <v>0</v>
      </c>
      <c r="AD20" s="476">
        <f>_xlfn.IFERROR(W20/N20,0)</f>
        <v>0</v>
      </c>
      <c r="AE20" s="476">
        <f>+X20/Q20</f>
        <v>1</v>
      </c>
      <c r="AF20" s="476">
        <f>_xlfn.IFERROR(Y20/T20,0)</f>
        <v>1</v>
      </c>
      <c r="AG20" s="746">
        <f t="shared" si="1"/>
        <v>0</v>
      </c>
      <c r="AH20" s="752">
        <f>+Z20/H20</f>
        <v>1</v>
      </c>
    </row>
    <row r="21" spans="1:34" s="238" customFormat="1" ht="15">
      <c r="A21" s="245" t="s">
        <v>250</v>
      </c>
      <c r="B21" s="458">
        <v>1198706249</v>
      </c>
      <c r="C21" s="480">
        <v>132871664</v>
      </c>
      <c r="D21" s="459"/>
      <c r="E21" s="459"/>
      <c r="F21" s="459"/>
      <c r="G21" s="459"/>
      <c r="H21" s="460">
        <f>+B21+C21+D21+E21+F21+G21</f>
        <v>1331577913</v>
      </c>
      <c r="I21" s="464">
        <v>0</v>
      </c>
      <c r="J21" s="469"/>
      <c r="K21" s="470">
        <f>+I21+J21</f>
        <v>0</v>
      </c>
      <c r="L21" s="471">
        <v>0</v>
      </c>
      <c r="M21" s="471"/>
      <c r="N21" s="464">
        <f>+L21+M21</f>
        <v>0</v>
      </c>
      <c r="O21" s="464"/>
      <c r="P21" s="464"/>
      <c r="Q21" s="464">
        <f>+O21+P21</f>
        <v>0</v>
      </c>
      <c r="R21" s="464">
        <v>0</v>
      </c>
      <c r="S21" s="464">
        <v>1331577913</v>
      </c>
      <c r="T21" s="464">
        <v>1331577913</v>
      </c>
      <c r="U21" s="464">
        <v>1331577913</v>
      </c>
      <c r="V21" s="464"/>
      <c r="W21" s="460">
        <v>0</v>
      </c>
      <c r="X21" s="475">
        <v>0</v>
      </c>
      <c r="Y21" s="474">
        <f>+Z21-X21</f>
        <v>1331577913</v>
      </c>
      <c r="Z21" s="464">
        <v>1331577913</v>
      </c>
      <c r="AA21" s="464">
        <f>+H21-Z21</f>
        <v>0</v>
      </c>
      <c r="AB21" s="464">
        <f>+H21-U21</f>
        <v>0</v>
      </c>
      <c r="AC21" s="465">
        <v>0</v>
      </c>
      <c r="AD21" s="476">
        <v>0</v>
      </c>
      <c r="AE21" s="476">
        <f>_xlfn.IFERROR(X21/Q21,0)</f>
        <v>0</v>
      </c>
      <c r="AF21" s="476">
        <f>_xlfn.IFERROR(Y21/T21,0)</f>
        <v>1</v>
      </c>
      <c r="AG21" s="746">
        <f t="shared" si="1"/>
        <v>0</v>
      </c>
      <c r="AH21" s="752">
        <f>+Z21/H21</f>
        <v>1</v>
      </c>
    </row>
    <row r="22" spans="1:34" s="238" customFormat="1" ht="15">
      <c r="A22" s="245"/>
      <c r="B22" s="458"/>
      <c r="C22" s="459"/>
      <c r="D22" s="459"/>
      <c r="E22" s="459"/>
      <c r="F22" s="459"/>
      <c r="G22" s="459"/>
      <c r="H22" s="460"/>
      <c r="I22" s="464"/>
      <c r="J22" s="469"/>
      <c r="K22" s="470"/>
      <c r="L22" s="464"/>
      <c r="M22" s="464"/>
      <c r="N22" s="464"/>
      <c r="O22" s="464"/>
      <c r="P22" s="464"/>
      <c r="Q22" s="464"/>
      <c r="R22" s="464"/>
      <c r="S22" s="464"/>
      <c r="T22" s="464"/>
      <c r="U22" s="464"/>
      <c r="V22" s="464"/>
      <c r="W22" s="460"/>
      <c r="X22" s="460"/>
      <c r="Y22" s="460"/>
      <c r="Z22" s="481"/>
      <c r="AA22" s="460"/>
      <c r="AB22" s="460"/>
      <c r="AC22" s="465"/>
      <c r="AD22" s="476"/>
      <c r="AE22" s="457"/>
      <c r="AF22" s="457"/>
      <c r="AG22" s="746">
        <f t="shared" si="1"/>
        <v>0</v>
      </c>
      <c r="AH22" s="752"/>
    </row>
    <row r="23" spans="1:34" s="238" customFormat="1" ht="15">
      <c r="A23" s="249" t="s">
        <v>253</v>
      </c>
      <c r="B23" s="477">
        <f>+B25+B29</f>
        <v>5900335187</v>
      </c>
      <c r="C23" s="477">
        <f aca="true" t="shared" si="5" ref="C23:AB23">+C25+C29</f>
        <v>115000000</v>
      </c>
      <c r="D23" s="477">
        <f t="shared" si="5"/>
        <v>-201858929</v>
      </c>
      <c r="E23" s="477">
        <f t="shared" si="5"/>
        <v>-1290000000</v>
      </c>
      <c r="F23" s="477">
        <f t="shared" si="5"/>
        <v>0</v>
      </c>
      <c r="G23" s="477">
        <f t="shared" si="5"/>
        <v>0</v>
      </c>
      <c r="H23" s="477">
        <f t="shared" si="5"/>
        <v>4523476258</v>
      </c>
      <c r="I23" s="477">
        <f t="shared" si="5"/>
        <v>1712220897</v>
      </c>
      <c r="J23" s="477">
        <f t="shared" si="5"/>
        <v>-406405387</v>
      </c>
      <c r="K23" s="477">
        <f t="shared" si="5"/>
        <v>1305815510</v>
      </c>
      <c r="L23" s="477">
        <f t="shared" si="5"/>
        <v>944819608.2407806</v>
      </c>
      <c r="M23" s="477">
        <f t="shared" si="5"/>
        <v>215622458</v>
      </c>
      <c r="N23" s="477">
        <f t="shared" si="5"/>
        <v>1160442066.2407806</v>
      </c>
      <c r="O23" s="477">
        <f t="shared" si="5"/>
        <v>850977160.438</v>
      </c>
      <c r="P23" s="477">
        <f t="shared" si="5"/>
        <v>626335449.562</v>
      </c>
      <c r="Q23" s="477">
        <f t="shared" si="5"/>
        <v>1477312610</v>
      </c>
      <c r="R23" s="477">
        <f t="shared" si="5"/>
        <v>204458137</v>
      </c>
      <c r="S23" s="477">
        <f t="shared" si="5"/>
        <v>1187203716</v>
      </c>
      <c r="T23" s="477">
        <f>+T25+T29</f>
        <v>1391661853</v>
      </c>
      <c r="U23" s="477">
        <f t="shared" si="5"/>
        <v>5335232039.240781</v>
      </c>
      <c r="V23" s="477">
        <f t="shared" si="5"/>
        <v>1305815510</v>
      </c>
      <c r="W23" s="477">
        <f t="shared" si="5"/>
        <v>1160442066.2407806</v>
      </c>
      <c r="X23" s="477">
        <f t="shared" si="5"/>
        <v>1477312610</v>
      </c>
      <c r="Y23" s="477">
        <f t="shared" si="5"/>
        <v>1391661853</v>
      </c>
      <c r="Z23" s="477">
        <f>+Z25+Z29</f>
        <v>5335232039.240781</v>
      </c>
      <c r="AA23" s="477">
        <f t="shared" si="5"/>
        <v>-734244419</v>
      </c>
      <c r="AB23" s="477">
        <f t="shared" si="5"/>
        <v>-811755781.2407806</v>
      </c>
      <c r="AC23" s="456">
        <f>+V23/K23</f>
        <v>1</v>
      </c>
      <c r="AD23" s="457">
        <f>+W23/N23</f>
        <v>1</v>
      </c>
      <c r="AE23" s="457">
        <f>+X23/Q23</f>
        <v>1</v>
      </c>
      <c r="AF23" s="457">
        <f>+Y23/T23</f>
        <v>1</v>
      </c>
      <c r="AG23" s="745">
        <f t="shared" si="1"/>
        <v>811755781.2407808</v>
      </c>
      <c r="AH23" s="751">
        <f>+Z23/H23</f>
        <v>1.1794539718883568</v>
      </c>
    </row>
    <row r="24" spans="1:34" s="238" customFormat="1" ht="15">
      <c r="A24" s="245"/>
      <c r="B24" s="458"/>
      <c r="C24" s="459"/>
      <c r="D24" s="459"/>
      <c r="E24" s="459"/>
      <c r="F24" s="459"/>
      <c r="G24" s="459"/>
      <c r="H24" s="460"/>
      <c r="I24" s="461"/>
      <c r="J24" s="462"/>
      <c r="K24" s="463"/>
      <c r="L24" s="461"/>
      <c r="M24" s="461"/>
      <c r="N24" s="461"/>
      <c r="O24" s="461"/>
      <c r="P24" s="461"/>
      <c r="Q24" s="461"/>
      <c r="R24" s="461"/>
      <c r="S24" s="461"/>
      <c r="T24" s="461"/>
      <c r="U24" s="464"/>
      <c r="V24" s="464"/>
      <c r="W24" s="460"/>
      <c r="X24" s="460"/>
      <c r="Y24" s="460"/>
      <c r="Z24" s="460"/>
      <c r="AA24" s="460"/>
      <c r="AB24" s="460"/>
      <c r="AC24" s="465"/>
      <c r="AD24" s="476"/>
      <c r="AE24" s="457"/>
      <c r="AF24" s="457"/>
      <c r="AG24" s="745"/>
      <c r="AH24" s="752"/>
    </row>
    <row r="25" spans="1:34" s="238" customFormat="1" ht="15">
      <c r="A25" s="249" t="s">
        <v>254</v>
      </c>
      <c r="B25" s="477">
        <f>SUM(B26:B27)</f>
        <v>25384038</v>
      </c>
      <c r="C25" s="477">
        <f aca="true" t="shared" si="6" ref="C25:AB25">SUM(C26:C27)</f>
        <v>0</v>
      </c>
      <c r="D25" s="477">
        <f t="shared" si="6"/>
        <v>0</v>
      </c>
      <c r="E25" s="477">
        <f t="shared" si="6"/>
        <v>0</v>
      </c>
      <c r="F25" s="477">
        <f t="shared" si="6"/>
        <v>0</v>
      </c>
      <c r="G25" s="477">
        <f t="shared" si="6"/>
        <v>0</v>
      </c>
      <c r="H25" s="477">
        <f t="shared" si="6"/>
        <v>25384038</v>
      </c>
      <c r="I25" s="477">
        <f t="shared" si="6"/>
        <v>6346009</v>
      </c>
      <c r="J25" s="477">
        <f t="shared" si="6"/>
        <v>18193408</v>
      </c>
      <c r="K25" s="477">
        <f t="shared" si="6"/>
        <v>24539417</v>
      </c>
      <c r="L25" s="477">
        <f t="shared" si="6"/>
        <v>13384131</v>
      </c>
      <c r="M25" s="477">
        <f t="shared" si="6"/>
        <v>24189214</v>
      </c>
      <c r="N25" s="477">
        <f t="shared" si="6"/>
        <v>37573345</v>
      </c>
      <c r="O25" s="477">
        <f t="shared" si="6"/>
        <v>7671185</v>
      </c>
      <c r="P25" s="477">
        <f t="shared" si="6"/>
        <v>48647194</v>
      </c>
      <c r="Q25" s="477">
        <f t="shared" si="6"/>
        <v>56318379</v>
      </c>
      <c r="R25" s="477">
        <f t="shared" si="6"/>
        <v>7671185</v>
      </c>
      <c r="S25" s="477">
        <f t="shared" si="6"/>
        <v>51996095</v>
      </c>
      <c r="T25" s="477">
        <f t="shared" si="6"/>
        <v>59667280</v>
      </c>
      <c r="U25" s="477">
        <f t="shared" si="6"/>
        <v>178098421</v>
      </c>
      <c r="V25" s="477">
        <f t="shared" si="6"/>
        <v>24539417</v>
      </c>
      <c r="W25" s="477">
        <f t="shared" si="6"/>
        <v>37573345</v>
      </c>
      <c r="X25" s="477">
        <f t="shared" si="6"/>
        <v>56318379</v>
      </c>
      <c r="Y25" s="477">
        <f t="shared" si="6"/>
        <v>59667280</v>
      </c>
      <c r="Z25" s="477">
        <f>SUM(Z26:Z27)</f>
        <v>178098421</v>
      </c>
      <c r="AA25" s="477">
        <f t="shared" si="6"/>
        <v>-152714383</v>
      </c>
      <c r="AB25" s="477">
        <f t="shared" si="6"/>
        <v>-152714383</v>
      </c>
      <c r="AC25" s="456">
        <f>+V25/K25</f>
        <v>1</v>
      </c>
      <c r="AD25" s="457">
        <f>+W25/N25</f>
        <v>1</v>
      </c>
      <c r="AE25" s="457">
        <f>+X25/Q25</f>
        <v>1</v>
      </c>
      <c r="AF25" s="457">
        <f>+Y25/T25</f>
        <v>1</v>
      </c>
      <c r="AG25" s="745">
        <f t="shared" si="1"/>
        <v>152714383</v>
      </c>
      <c r="AH25" s="751">
        <f>+Z25/H25</f>
        <v>7.016157988732919</v>
      </c>
    </row>
    <row r="26" spans="1:34" s="238" customFormat="1" ht="15">
      <c r="A26" s="245" t="s">
        <v>255</v>
      </c>
      <c r="B26" s="458">
        <v>22398776</v>
      </c>
      <c r="C26" s="459"/>
      <c r="D26" s="459"/>
      <c r="E26" s="459"/>
      <c r="F26" s="459"/>
      <c r="G26" s="459"/>
      <c r="H26" s="460">
        <f>+B26+C26+D26+E26+F26+G26</f>
        <v>22398776</v>
      </c>
      <c r="I26" s="464">
        <v>5599694</v>
      </c>
      <c r="J26" s="469">
        <v>15398677</v>
      </c>
      <c r="K26" s="470">
        <f>+I26+J26</f>
        <v>20998371</v>
      </c>
      <c r="L26" s="471">
        <v>11256014</v>
      </c>
      <c r="M26" s="471">
        <v>17489193</v>
      </c>
      <c r="N26" s="472">
        <f>+L26+M26</f>
        <v>28745207</v>
      </c>
      <c r="O26" s="473">
        <v>5543068</v>
      </c>
      <c r="P26" s="473">
        <v>28271771</v>
      </c>
      <c r="Q26" s="464">
        <f>+O26+P26</f>
        <v>33814839</v>
      </c>
      <c r="R26" s="464">
        <v>5543068</v>
      </c>
      <c r="S26" s="464">
        <v>21059287</v>
      </c>
      <c r="T26" s="464">
        <f>+R26+S26</f>
        <v>26602355</v>
      </c>
      <c r="U26" s="464">
        <f>+K26+N26+Q26+T26</f>
        <v>110160772</v>
      </c>
      <c r="V26" s="464">
        <v>20998371</v>
      </c>
      <c r="W26" s="460">
        <v>28745207</v>
      </c>
      <c r="X26" s="475">
        <v>33814839</v>
      </c>
      <c r="Y26" s="474">
        <v>26602355</v>
      </c>
      <c r="Z26" s="464">
        <f>+V26+W26+X26+Y26</f>
        <v>110160772</v>
      </c>
      <c r="AA26" s="464">
        <f>+H26-Z26</f>
        <v>-87761996</v>
      </c>
      <c r="AB26" s="464">
        <f>+H26-U26</f>
        <v>-87761996</v>
      </c>
      <c r="AC26" s="465">
        <f>+V26/K26</f>
        <v>1</v>
      </c>
      <c r="AD26" s="476">
        <f>+W26/N26</f>
        <v>1</v>
      </c>
      <c r="AE26" s="476">
        <f>+X26/Q26</f>
        <v>1</v>
      </c>
      <c r="AF26" s="476">
        <f>+Y26/T26</f>
        <v>1</v>
      </c>
      <c r="AG26" s="746">
        <f t="shared" si="1"/>
        <v>87761996</v>
      </c>
      <c r="AH26" s="752">
        <f>+Z26/H26</f>
        <v>4.918160349476239</v>
      </c>
    </row>
    <row r="27" spans="1:34" s="238" customFormat="1" ht="15">
      <c r="A27" s="245" t="s">
        <v>256</v>
      </c>
      <c r="B27" s="458">
        <v>2985262</v>
      </c>
      <c r="C27" s="459"/>
      <c r="D27" s="459"/>
      <c r="E27" s="459"/>
      <c r="F27" s="459"/>
      <c r="G27" s="459"/>
      <c r="H27" s="460">
        <f>+B27+C27+D27+E27+F27+G27</f>
        <v>2985262</v>
      </c>
      <c r="I27" s="464">
        <v>746315</v>
      </c>
      <c r="J27" s="469">
        <v>2794731</v>
      </c>
      <c r="K27" s="470">
        <f>+I27+J27</f>
        <v>3541046</v>
      </c>
      <c r="L27" s="471">
        <v>2128117</v>
      </c>
      <c r="M27" s="471">
        <v>6700021</v>
      </c>
      <c r="N27" s="472">
        <f>+L27+M27</f>
        <v>8828138</v>
      </c>
      <c r="O27" s="473">
        <v>2128117</v>
      </c>
      <c r="P27" s="473">
        <v>20375423</v>
      </c>
      <c r="Q27" s="464">
        <f>+O27+P27</f>
        <v>22503540</v>
      </c>
      <c r="R27" s="464">
        <v>2128117</v>
      </c>
      <c r="S27" s="464">
        <v>30936808</v>
      </c>
      <c r="T27" s="464">
        <f>+R27+S27</f>
        <v>33064925</v>
      </c>
      <c r="U27" s="464">
        <f>+K27+N27+Q27+T27</f>
        <v>67937649</v>
      </c>
      <c r="V27" s="464">
        <v>3541046</v>
      </c>
      <c r="W27" s="460">
        <v>8828138</v>
      </c>
      <c r="X27" s="475">
        <v>22503540</v>
      </c>
      <c r="Y27" s="474">
        <v>33064925</v>
      </c>
      <c r="Z27" s="464">
        <f>+V27+W27+X27+Y27</f>
        <v>67937649</v>
      </c>
      <c r="AA27" s="464">
        <f>+H27-Z27</f>
        <v>-64952387</v>
      </c>
      <c r="AB27" s="464">
        <f>+H27-U27</f>
        <v>-64952387</v>
      </c>
      <c r="AC27" s="465">
        <f>+V27/K27</f>
        <v>1</v>
      </c>
      <c r="AD27" s="476">
        <f>+W27/N27</f>
        <v>1</v>
      </c>
      <c r="AE27" s="476">
        <f>+X27/Q27</f>
        <v>1</v>
      </c>
      <c r="AF27" s="476">
        <f>+Y27/T27</f>
        <v>1</v>
      </c>
      <c r="AG27" s="746">
        <f t="shared" si="1"/>
        <v>64952387</v>
      </c>
      <c r="AH27" s="752">
        <f>+Z27/H27</f>
        <v>22.757683915180642</v>
      </c>
    </row>
    <row r="28" spans="1:34" s="238" customFormat="1" ht="15">
      <c r="A28" s="245"/>
      <c r="B28" s="458"/>
      <c r="C28" s="459"/>
      <c r="D28" s="459"/>
      <c r="E28" s="459"/>
      <c r="F28" s="459"/>
      <c r="G28" s="459"/>
      <c r="H28" s="460"/>
      <c r="I28" s="464"/>
      <c r="J28" s="469"/>
      <c r="K28" s="470"/>
      <c r="L28" s="464"/>
      <c r="M28" s="464"/>
      <c r="N28" s="464"/>
      <c r="O28" s="464"/>
      <c r="P28" s="464"/>
      <c r="Q28" s="464"/>
      <c r="R28" s="464"/>
      <c r="S28" s="464"/>
      <c r="T28" s="464"/>
      <c r="U28" s="464"/>
      <c r="V28" s="464"/>
      <c r="W28" s="460"/>
      <c r="X28" s="460"/>
      <c r="Y28" s="460"/>
      <c r="Z28" s="460"/>
      <c r="AA28" s="460"/>
      <c r="AB28" s="460"/>
      <c r="AC28" s="465"/>
      <c r="AD28" s="476"/>
      <c r="AE28" s="457"/>
      <c r="AF28" s="457"/>
      <c r="AG28" s="457"/>
      <c r="AH28" s="752"/>
    </row>
    <row r="29" spans="1:34" s="238" customFormat="1" ht="15">
      <c r="A29" s="249" t="s">
        <v>257</v>
      </c>
      <c r="B29" s="477">
        <f>+VTAS2005+B31+B32+B33+B34+B35</f>
        <v>5874951149</v>
      </c>
      <c r="C29" s="477">
        <f>SUM(C30:C35)</f>
        <v>115000000</v>
      </c>
      <c r="D29" s="477">
        <f>SUM(D30:D35)</f>
        <v>-201858929</v>
      </c>
      <c r="E29" s="477">
        <f>SUM(E30:E35)</f>
        <v>-1290000000</v>
      </c>
      <c r="F29" s="477"/>
      <c r="G29" s="477"/>
      <c r="H29" s="482">
        <f>SUM(H30:H35)</f>
        <v>4498092220</v>
      </c>
      <c r="I29" s="482">
        <f aca="true" t="shared" si="7" ref="I29:AB29">SUM(I30:I35)</f>
        <v>1705874888</v>
      </c>
      <c r="J29" s="482">
        <f t="shared" si="7"/>
        <v>-424598795</v>
      </c>
      <c r="K29" s="482">
        <f t="shared" si="7"/>
        <v>1281276093</v>
      </c>
      <c r="L29" s="482">
        <f t="shared" si="7"/>
        <v>931435477.2407806</v>
      </c>
      <c r="M29" s="482">
        <f t="shared" si="7"/>
        <v>191433244</v>
      </c>
      <c r="N29" s="482">
        <f t="shared" si="7"/>
        <v>1122868721.2407806</v>
      </c>
      <c r="O29" s="482">
        <f t="shared" si="7"/>
        <v>843305975.438</v>
      </c>
      <c r="P29" s="482">
        <f t="shared" si="7"/>
        <v>577688255.562</v>
      </c>
      <c r="Q29" s="482">
        <f t="shared" si="7"/>
        <v>1420994231</v>
      </c>
      <c r="R29" s="482">
        <f t="shared" si="7"/>
        <v>196786952</v>
      </c>
      <c r="S29" s="482">
        <f t="shared" si="7"/>
        <v>1135207621</v>
      </c>
      <c r="T29" s="482">
        <f t="shared" si="7"/>
        <v>1331994573</v>
      </c>
      <c r="U29" s="482">
        <f t="shared" si="7"/>
        <v>5157133618.240781</v>
      </c>
      <c r="V29" s="482">
        <f t="shared" si="7"/>
        <v>1281276093</v>
      </c>
      <c r="W29" s="482">
        <f t="shared" si="7"/>
        <v>1122868721.2407806</v>
      </c>
      <c r="X29" s="482">
        <f t="shared" si="7"/>
        <v>1420994231</v>
      </c>
      <c r="Y29" s="482">
        <f t="shared" si="7"/>
        <v>1331994573</v>
      </c>
      <c r="Z29" s="482">
        <f>SUM(Z30:Z35)</f>
        <v>5157133618.240781</v>
      </c>
      <c r="AA29" s="482">
        <f t="shared" si="7"/>
        <v>-581530036</v>
      </c>
      <c r="AB29" s="482">
        <f t="shared" si="7"/>
        <v>-659041398.2407806</v>
      </c>
      <c r="AC29" s="483">
        <f aca="true" t="shared" si="8" ref="AC29:AC34">+V29/K29</f>
        <v>1</v>
      </c>
      <c r="AD29" s="457">
        <f aca="true" t="shared" si="9" ref="AD29:AD34">+W29/N29</f>
        <v>1</v>
      </c>
      <c r="AE29" s="457">
        <f aca="true" t="shared" si="10" ref="AE29:AE34">+X29/Q29</f>
        <v>1</v>
      </c>
      <c r="AF29" s="457">
        <f aca="true" t="shared" si="11" ref="AF29:AF34">+Y29/T29</f>
        <v>1</v>
      </c>
      <c r="AG29" s="745">
        <f t="shared" si="1"/>
        <v>659041398.2407808</v>
      </c>
      <c r="AH29" s="751">
        <f aca="true" t="shared" si="12" ref="AH29:AH34">+Z29/H29</f>
        <v>1.146515759572573</v>
      </c>
    </row>
    <row r="30" spans="1:34" s="238" customFormat="1" ht="15">
      <c r="A30" s="245" t="s">
        <v>258</v>
      </c>
      <c r="B30" s="458">
        <v>3717266451</v>
      </c>
      <c r="C30" s="459"/>
      <c r="D30" s="459"/>
      <c r="E30" s="459"/>
      <c r="F30" s="459"/>
      <c r="G30" s="459"/>
      <c r="H30" s="460">
        <f aca="true" t="shared" si="13" ref="H30:H35">+B30+C30+D30+E30+F30+G30</f>
        <v>3717266451</v>
      </c>
      <c r="I30" s="464">
        <v>1350654800</v>
      </c>
      <c r="J30" s="469">
        <v>-310137698</v>
      </c>
      <c r="K30" s="470">
        <f aca="true" t="shared" si="14" ref="K30:K35">+I30+J30</f>
        <v>1040517102</v>
      </c>
      <c r="L30" s="464">
        <v>691987043</v>
      </c>
      <c r="M30" s="464">
        <v>271030222</v>
      </c>
      <c r="N30" s="464">
        <f aca="true" t="shared" si="15" ref="N30:N35">+L30+M30</f>
        <v>963017265</v>
      </c>
      <c r="O30" s="464">
        <v>777966871</v>
      </c>
      <c r="P30" s="464">
        <v>236207167</v>
      </c>
      <c r="Q30" s="464">
        <f aca="true" t="shared" si="16" ref="Q30:Q35">+O30+P30</f>
        <v>1014174038</v>
      </c>
      <c r="R30" s="464">
        <v>121869973</v>
      </c>
      <c r="S30" s="464">
        <v>762430102</v>
      </c>
      <c r="T30" s="464">
        <f aca="true" t="shared" si="17" ref="T30:T35">+R30+S30</f>
        <v>884300075</v>
      </c>
      <c r="U30" s="464">
        <f aca="true" t="shared" si="18" ref="U30:U35">+K30+N30+Q30+T30</f>
        <v>3902008480</v>
      </c>
      <c r="V30" s="464">
        <v>1040517102</v>
      </c>
      <c r="W30" s="460">
        <v>963017265</v>
      </c>
      <c r="X30" s="475">
        <f>1014174038</f>
        <v>1014174038</v>
      </c>
      <c r="Y30" s="474">
        <f>886125075-1825000</f>
        <v>884300075</v>
      </c>
      <c r="Z30" s="464">
        <f>+V30+W30+X30+Y30</f>
        <v>3902008480</v>
      </c>
      <c r="AA30" s="464">
        <f>+H30-Z30</f>
        <v>-184742029</v>
      </c>
      <c r="AB30" s="464">
        <f aca="true" t="shared" si="19" ref="AB30:AB35">+H30-U30</f>
        <v>-184742029</v>
      </c>
      <c r="AC30" s="465">
        <f t="shared" si="8"/>
        <v>1</v>
      </c>
      <c r="AD30" s="476">
        <f t="shared" si="9"/>
        <v>1</v>
      </c>
      <c r="AE30" s="476">
        <f t="shared" si="10"/>
        <v>1</v>
      </c>
      <c r="AF30" s="476">
        <f t="shared" si="11"/>
        <v>1</v>
      </c>
      <c r="AG30" s="746">
        <f t="shared" si="1"/>
        <v>184742029</v>
      </c>
      <c r="AH30" s="752">
        <f t="shared" si="12"/>
        <v>1.0496983553466557</v>
      </c>
    </row>
    <row r="31" spans="1:34" s="238" customFormat="1" ht="15">
      <c r="A31" s="250" t="s">
        <v>259</v>
      </c>
      <c r="B31" s="484">
        <v>5617579</v>
      </c>
      <c r="C31" s="485"/>
      <c r="D31" s="485"/>
      <c r="E31" s="485"/>
      <c r="F31" s="485"/>
      <c r="G31" s="485"/>
      <c r="H31" s="460">
        <f t="shared" si="13"/>
        <v>5617579</v>
      </c>
      <c r="I31" s="486">
        <v>1404395</v>
      </c>
      <c r="J31" s="487">
        <v>921395</v>
      </c>
      <c r="K31" s="488">
        <f t="shared" si="14"/>
        <v>2325790</v>
      </c>
      <c r="L31" s="486">
        <v>541979</v>
      </c>
      <c r="M31" s="486">
        <v>10792137</v>
      </c>
      <c r="N31" s="464">
        <f t="shared" si="15"/>
        <v>11334116</v>
      </c>
      <c r="O31" s="486">
        <v>541979</v>
      </c>
      <c r="P31" s="486">
        <v>17532419</v>
      </c>
      <c r="Q31" s="464">
        <f t="shared" si="16"/>
        <v>18074398</v>
      </c>
      <c r="R31" s="464">
        <v>541979</v>
      </c>
      <c r="S31" s="464">
        <v>17053489</v>
      </c>
      <c r="T31" s="464">
        <f t="shared" si="17"/>
        <v>17595468</v>
      </c>
      <c r="U31" s="486">
        <f t="shared" si="18"/>
        <v>49329772</v>
      </c>
      <c r="V31" s="486">
        <f>2294414+29894+1482</f>
        <v>2325790</v>
      </c>
      <c r="W31" s="489">
        <v>11334116</v>
      </c>
      <c r="X31" s="475">
        <f>+'[13]ANEXO INGRESOS'!E13</f>
        <v>18074398</v>
      </c>
      <c r="Y31" s="474">
        <f>+'[13]ANEXO INGRESOS'!F13</f>
        <v>17595468</v>
      </c>
      <c r="Z31" s="464">
        <f>+V31+W31+X31+Y31</f>
        <v>49329772</v>
      </c>
      <c r="AA31" s="464">
        <f>+H31-Z31</f>
        <v>-43712193</v>
      </c>
      <c r="AB31" s="464">
        <f t="shared" si="19"/>
        <v>-43712193</v>
      </c>
      <c r="AC31" s="465">
        <f t="shared" si="8"/>
        <v>1</v>
      </c>
      <c r="AD31" s="476">
        <f t="shared" si="9"/>
        <v>1</v>
      </c>
      <c r="AE31" s="476">
        <f t="shared" si="10"/>
        <v>1</v>
      </c>
      <c r="AF31" s="476">
        <f t="shared" si="11"/>
        <v>1</v>
      </c>
      <c r="AG31" s="746">
        <f t="shared" si="1"/>
        <v>43712193</v>
      </c>
      <c r="AH31" s="752">
        <f t="shared" si="12"/>
        <v>8.781322345444542</v>
      </c>
    </row>
    <row r="32" spans="1:34" s="238" customFormat="1" ht="15">
      <c r="A32" s="250" t="s">
        <v>260</v>
      </c>
      <c r="B32" s="484">
        <v>6536189</v>
      </c>
      <c r="C32" s="485"/>
      <c r="D32" s="485"/>
      <c r="E32" s="485"/>
      <c r="F32" s="485"/>
      <c r="G32" s="485"/>
      <c r="H32" s="460">
        <f t="shared" si="13"/>
        <v>6536189</v>
      </c>
      <c r="I32" s="486">
        <v>1634047</v>
      </c>
      <c r="J32" s="487">
        <v>5533164</v>
      </c>
      <c r="K32" s="488">
        <f t="shared" si="14"/>
        <v>7167211</v>
      </c>
      <c r="L32" s="486">
        <v>5000000</v>
      </c>
      <c r="M32" s="486">
        <v>1328483</v>
      </c>
      <c r="N32" s="464">
        <f t="shared" si="15"/>
        <v>6328483</v>
      </c>
      <c r="O32" s="486">
        <v>5000000</v>
      </c>
      <c r="P32" s="486">
        <v>-4278334</v>
      </c>
      <c r="Q32" s="464">
        <f t="shared" si="16"/>
        <v>721666</v>
      </c>
      <c r="R32" s="464">
        <v>5000000</v>
      </c>
      <c r="S32" s="464">
        <v>-1319058</v>
      </c>
      <c r="T32" s="464">
        <f t="shared" si="17"/>
        <v>3680942</v>
      </c>
      <c r="U32" s="486">
        <f t="shared" si="18"/>
        <v>17898302</v>
      </c>
      <c r="V32" s="486">
        <f>117375+7047553+108+628+680+867</f>
        <v>7167211</v>
      </c>
      <c r="W32" s="489">
        <v>6328483</v>
      </c>
      <c r="X32" s="475">
        <f>+'[13]ANEXO INGRESOS'!E67-'[13]ANEXO INGRESOS'!E57</f>
        <v>721666</v>
      </c>
      <c r="Y32" s="474">
        <f>+'[13]ANEXO INGRESOS'!F67-'[13]ANEXO INGRESOS'!F57</f>
        <v>3680942</v>
      </c>
      <c r="Z32" s="464">
        <f>+V32+W32+X32+Y32</f>
        <v>17898302</v>
      </c>
      <c r="AA32" s="464">
        <f>+H32-Z32</f>
        <v>-11362113</v>
      </c>
      <c r="AB32" s="464">
        <f t="shared" si="19"/>
        <v>-11362113</v>
      </c>
      <c r="AC32" s="465">
        <f t="shared" si="8"/>
        <v>1</v>
      </c>
      <c r="AD32" s="476">
        <f t="shared" si="9"/>
        <v>1</v>
      </c>
      <c r="AE32" s="476">
        <f t="shared" si="10"/>
        <v>1</v>
      </c>
      <c r="AF32" s="476">
        <f t="shared" si="11"/>
        <v>1</v>
      </c>
      <c r="AG32" s="746">
        <f t="shared" si="1"/>
        <v>11362113</v>
      </c>
      <c r="AH32" s="752">
        <f t="shared" si="12"/>
        <v>2.7383391147349014</v>
      </c>
    </row>
    <row r="33" spans="1:34" s="238" customFormat="1" ht="15">
      <c r="A33" s="250" t="s">
        <v>261</v>
      </c>
      <c r="B33" s="484">
        <v>92770935</v>
      </c>
      <c r="C33" s="485"/>
      <c r="D33" s="485"/>
      <c r="E33" s="485"/>
      <c r="F33" s="485"/>
      <c r="G33" s="485"/>
      <c r="H33" s="460">
        <f t="shared" si="13"/>
        <v>92770935</v>
      </c>
      <c r="I33" s="486">
        <v>11875000</v>
      </c>
      <c r="J33" s="487">
        <v>25926238</v>
      </c>
      <c r="K33" s="488">
        <f t="shared" si="14"/>
        <v>37801238</v>
      </c>
      <c r="L33" s="486">
        <v>10175000</v>
      </c>
      <c r="M33" s="486">
        <v>-8232357</v>
      </c>
      <c r="N33" s="464">
        <f t="shared" si="15"/>
        <v>1942643</v>
      </c>
      <c r="O33" s="490">
        <v>15375000</v>
      </c>
      <c r="P33" s="489">
        <v>95701220</v>
      </c>
      <c r="Q33" s="464">
        <f t="shared" si="16"/>
        <v>111076220</v>
      </c>
      <c r="R33" s="464">
        <v>15375000</v>
      </c>
      <c r="S33" s="464">
        <v>268289535</v>
      </c>
      <c r="T33" s="464">
        <f t="shared" si="17"/>
        <v>283664535</v>
      </c>
      <c r="U33" s="486">
        <f t="shared" si="18"/>
        <v>434484636</v>
      </c>
      <c r="V33" s="486">
        <f>25000+6727029+31049209</f>
        <v>37801238</v>
      </c>
      <c r="W33" s="489">
        <v>1942643</v>
      </c>
      <c r="X33" s="475">
        <f>+'[13]ANEXO INGRESOS'!E37-'[13]ANEXO INGRESOS'!E32</f>
        <v>111076220</v>
      </c>
      <c r="Y33" s="474">
        <f>+'[13]ANEXO INGRESOS'!F37-'[13]ANEXO INGRESOS'!F32</f>
        <v>283664535</v>
      </c>
      <c r="Z33" s="464">
        <f>+V33+W33+X33+Y33</f>
        <v>434484636</v>
      </c>
      <c r="AA33" s="464">
        <f>+H33-Z33</f>
        <v>-341713701</v>
      </c>
      <c r="AB33" s="464">
        <f t="shared" si="19"/>
        <v>-341713701</v>
      </c>
      <c r="AC33" s="465">
        <f t="shared" si="8"/>
        <v>1</v>
      </c>
      <c r="AD33" s="476">
        <f t="shared" si="9"/>
        <v>1</v>
      </c>
      <c r="AE33" s="476">
        <f t="shared" si="10"/>
        <v>1</v>
      </c>
      <c r="AF33" s="476">
        <f t="shared" si="11"/>
        <v>1</v>
      </c>
      <c r="AG33" s="746">
        <f t="shared" si="1"/>
        <v>341713701</v>
      </c>
      <c r="AH33" s="752">
        <f t="shared" si="12"/>
        <v>4.683413355702409</v>
      </c>
    </row>
    <row r="34" spans="1:35" s="238" customFormat="1" ht="15">
      <c r="A34" s="250" t="s">
        <v>262</v>
      </c>
      <c r="B34" s="484">
        <v>852759995</v>
      </c>
      <c r="C34" s="485">
        <v>115000000</v>
      </c>
      <c r="D34" s="485">
        <v>-201858929</v>
      </c>
      <c r="E34" s="485">
        <f>-100000000+10000000</f>
        <v>-90000000</v>
      </c>
      <c r="F34" s="485"/>
      <c r="G34" s="485"/>
      <c r="H34" s="460">
        <f t="shared" si="13"/>
        <v>675901066</v>
      </c>
      <c r="I34" s="486">
        <v>340306646</v>
      </c>
      <c r="J34" s="487">
        <v>-146841894</v>
      </c>
      <c r="K34" s="488">
        <f t="shared" si="14"/>
        <v>193464752</v>
      </c>
      <c r="L34" s="491">
        <v>223731455.24078053</v>
      </c>
      <c r="M34" s="491">
        <v>-83485241</v>
      </c>
      <c r="N34" s="464">
        <f t="shared" si="15"/>
        <v>140246214.24078053</v>
      </c>
      <c r="O34" s="486">
        <v>44422125.438</v>
      </c>
      <c r="P34" s="486">
        <v>232525783.562</v>
      </c>
      <c r="Q34" s="464">
        <f t="shared" si="16"/>
        <v>276947909</v>
      </c>
      <c r="R34" s="464">
        <v>54000000</v>
      </c>
      <c r="S34" s="464">
        <v>88753553</v>
      </c>
      <c r="T34" s="464">
        <f t="shared" si="17"/>
        <v>142753553</v>
      </c>
      <c r="U34" s="486">
        <f t="shared" si="18"/>
        <v>753412428.2407806</v>
      </c>
      <c r="V34" s="486">
        <f>32370789-1637169+139526841+23204291</f>
        <v>193464752</v>
      </c>
      <c r="W34" s="489">
        <v>140246214.24078053</v>
      </c>
      <c r="X34" s="475">
        <f>+'[13]ANEXO INGRESOS'!E51</f>
        <v>276947909</v>
      </c>
      <c r="Y34" s="474">
        <f>+'[13]ANEXO INGRESOS'!F51</f>
        <v>142753553</v>
      </c>
      <c r="Z34" s="464">
        <f>SUM(V34:Y34)</f>
        <v>753412428.2407806</v>
      </c>
      <c r="AA34" s="464"/>
      <c r="AB34" s="464">
        <f t="shared" si="19"/>
        <v>-77511362.24078059</v>
      </c>
      <c r="AC34" s="465">
        <f t="shared" si="8"/>
        <v>1</v>
      </c>
      <c r="AD34" s="476">
        <f t="shared" si="9"/>
        <v>1</v>
      </c>
      <c r="AE34" s="476">
        <f t="shared" si="10"/>
        <v>1</v>
      </c>
      <c r="AF34" s="476">
        <f t="shared" si="11"/>
        <v>1</v>
      </c>
      <c r="AG34" s="746">
        <f t="shared" si="1"/>
        <v>77511362.24078059</v>
      </c>
      <c r="AH34" s="752">
        <f t="shared" si="12"/>
        <v>1.1146785619077284</v>
      </c>
      <c r="AI34" s="238" t="s">
        <v>545</v>
      </c>
    </row>
    <row r="35" spans="1:34" s="238" customFormat="1" ht="15">
      <c r="A35" s="250" t="s">
        <v>275</v>
      </c>
      <c r="B35" s="484">
        <v>1200000000</v>
      </c>
      <c r="C35" s="485"/>
      <c r="D35" s="485"/>
      <c r="E35" s="485">
        <v>-1200000000</v>
      </c>
      <c r="F35" s="485"/>
      <c r="G35" s="485"/>
      <c r="H35" s="460">
        <f t="shared" si="13"/>
        <v>0</v>
      </c>
      <c r="I35" s="486"/>
      <c r="J35" s="487"/>
      <c r="K35" s="488">
        <f t="shared" si="14"/>
        <v>0</v>
      </c>
      <c r="L35" s="491">
        <v>0</v>
      </c>
      <c r="M35" s="491"/>
      <c r="N35" s="464">
        <f t="shared" si="15"/>
        <v>0</v>
      </c>
      <c r="O35" s="486">
        <v>0</v>
      </c>
      <c r="P35" s="486"/>
      <c r="Q35" s="464">
        <f t="shared" si="16"/>
        <v>0</v>
      </c>
      <c r="R35" s="464">
        <v>0</v>
      </c>
      <c r="S35" s="464"/>
      <c r="T35" s="464">
        <f t="shared" si="17"/>
        <v>0</v>
      </c>
      <c r="U35" s="486">
        <f t="shared" si="18"/>
        <v>0</v>
      </c>
      <c r="V35" s="486">
        <v>0</v>
      </c>
      <c r="W35" s="489">
        <v>0</v>
      </c>
      <c r="X35" s="492"/>
      <c r="Y35" s="474"/>
      <c r="Z35" s="464">
        <f>+V35+W35+X35+Y35</f>
        <v>0</v>
      </c>
      <c r="AA35" s="464"/>
      <c r="AB35" s="464">
        <f t="shared" si="19"/>
        <v>0</v>
      </c>
      <c r="AC35" s="465">
        <v>0</v>
      </c>
      <c r="AD35" s="493">
        <v>0</v>
      </c>
      <c r="AE35" s="493">
        <f>_xlfn.IFERROR(X35/Q35,0)</f>
        <v>0</v>
      </c>
      <c r="AF35" s="493">
        <f>_xlfn.IFERROR(Y35/T35,0)</f>
        <v>0</v>
      </c>
      <c r="AG35" s="747">
        <f t="shared" si="1"/>
        <v>0</v>
      </c>
      <c r="AH35" s="494"/>
    </row>
    <row r="36" spans="1:34" s="238" customFormat="1" ht="15.75" thickBot="1">
      <c r="A36" s="250"/>
      <c r="B36" s="484"/>
      <c r="C36" s="485"/>
      <c r="D36" s="485"/>
      <c r="E36" s="485"/>
      <c r="F36" s="485"/>
      <c r="G36" s="485"/>
      <c r="H36" s="489"/>
      <c r="I36" s="486"/>
      <c r="J36" s="487"/>
      <c r="K36" s="488"/>
      <c r="L36" s="491"/>
      <c r="M36" s="491"/>
      <c r="N36" s="491"/>
      <c r="O36" s="486"/>
      <c r="P36" s="486"/>
      <c r="Q36" s="486"/>
      <c r="R36" s="486"/>
      <c r="S36" s="486"/>
      <c r="T36" s="486"/>
      <c r="U36" s="486"/>
      <c r="V36" s="486"/>
      <c r="W36" s="489"/>
      <c r="X36" s="489"/>
      <c r="Y36" s="489"/>
      <c r="Z36" s="489"/>
      <c r="AA36" s="489"/>
      <c r="AB36" s="489"/>
      <c r="AC36" s="495"/>
      <c r="AD36" s="496"/>
      <c r="AE36" s="496"/>
      <c r="AF36" s="496"/>
      <c r="AG36" s="496">
        <f t="shared" si="1"/>
        <v>0</v>
      </c>
      <c r="AH36" s="494"/>
    </row>
    <row r="37" spans="1:34" s="238" customFormat="1" ht="15.75" thickBot="1">
      <c r="A37" s="251" t="s">
        <v>263</v>
      </c>
      <c r="B37" s="395">
        <f>+B23+B9</f>
        <v>25151572080</v>
      </c>
      <c r="C37" s="395">
        <f>+C23+C9</f>
        <v>1026362369</v>
      </c>
      <c r="D37" s="395">
        <f>+D23+D9</f>
        <v>-201858929</v>
      </c>
      <c r="E37" s="395">
        <f>+E23+E9</f>
        <v>-295174350</v>
      </c>
      <c r="F37" s="395">
        <f>+F23+F9</f>
        <v>0</v>
      </c>
      <c r="G37" s="395"/>
      <c r="H37" s="395">
        <f>+B37+C37+D37+E37+F37+G37</f>
        <v>25680901170</v>
      </c>
      <c r="I37" s="395">
        <f>+I23+I9</f>
        <v>5583843282</v>
      </c>
      <c r="J37" s="395">
        <f>+J23+J9</f>
        <v>-228382872</v>
      </c>
      <c r="K37" s="395">
        <f>+I37+J37</f>
        <v>5355460410</v>
      </c>
      <c r="L37" s="395">
        <f>+L23+L9</f>
        <v>5884374149.240781</v>
      </c>
      <c r="M37" s="395">
        <f>+M23+M9</f>
        <v>-347679461</v>
      </c>
      <c r="N37" s="497">
        <f>+L37+M37</f>
        <v>5536694688.240781</v>
      </c>
      <c r="O37" s="395">
        <f>+O23+O9</f>
        <v>6398424563.438</v>
      </c>
      <c r="P37" s="395">
        <f>+P23+P9</f>
        <v>-23961054.687999964</v>
      </c>
      <c r="Q37" s="395">
        <f>+O37+P37</f>
        <v>6374463508.75</v>
      </c>
      <c r="R37" s="395">
        <f>+R23+R9</f>
        <v>5754730923</v>
      </c>
      <c r="S37" s="395">
        <f>+S23+S9</f>
        <v>3907187483</v>
      </c>
      <c r="T37" s="497">
        <f>+T23+T9</f>
        <v>9166798908</v>
      </c>
      <c r="U37" s="395">
        <f>+K37+N37+Q37+T37</f>
        <v>26433417514.99078</v>
      </c>
      <c r="V37" s="395">
        <f aca="true" t="shared" si="20" ref="V37:AB37">+V23+V9</f>
        <v>5355460410</v>
      </c>
      <c r="W37" s="252">
        <f t="shared" si="20"/>
        <v>5530393187.240781</v>
      </c>
      <c r="X37" s="252">
        <f>+X23+X9</f>
        <v>6374463509</v>
      </c>
      <c r="Y37" s="252">
        <f>+Y23+Y9</f>
        <v>9173100409</v>
      </c>
      <c r="Z37" s="395">
        <f>+Z23+Z9</f>
        <v>26433417515.24078</v>
      </c>
      <c r="AA37" s="395">
        <f t="shared" si="20"/>
        <v>-675004983</v>
      </c>
      <c r="AB37" s="395">
        <f t="shared" si="20"/>
        <v>-752516344.9907806</v>
      </c>
      <c r="AC37" s="498">
        <f>+V37/K37</f>
        <v>1</v>
      </c>
      <c r="AD37" s="498">
        <f>+W37/N37</f>
        <v>0.9988618659046915</v>
      </c>
      <c r="AE37" s="498">
        <f>+X37/Q37</f>
        <v>1.000000000039219</v>
      </c>
      <c r="AF37" s="498">
        <f>+Y37/T37</f>
        <v>1.0006874265556869</v>
      </c>
      <c r="AG37" s="748">
        <f t="shared" si="1"/>
        <v>752516345.2407799</v>
      </c>
      <c r="AH37" s="499">
        <f>+Z37/H37</f>
        <v>1.0293025677042773</v>
      </c>
    </row>
    <row r="38" spans="1:23" s="238" customFormat="1" ht="15">
      <c r="A38"/>
      <c r="B38" s="239"/>
      <c r="C38" s="239"/>
      <c r="D38" s="239"/>
      <c r="E38" s="239"/>
      <c r="F38" s="239"/>
      <c r="G38" s="239"/>
      <c r="H38" s="248"/>
      <c r="T38" s="248"/>
      <c r="V38" s="248"/>
      <c r="W38" s="248"/>
    </row>
    <row r="39" spans="1:29" s="238" customFormat="1" ht="19.5" hidden="1" outlineLevel="1">
      <c r="A39" s="238" t="s">
        <v>264</v>
      </c>
      <c r="B39" s="500">
        <f>+B12+B16+B20+B26+B31+B33+B34</f>
        <v>12654170960</v>
      </c>
      <c r="C39" s="239"/>
      <c r="D39" s="239"/>
      <c r="E39" s="239"/>
      <c r="F39" s="239"/>
      <c r="G39" s="239"/>
      <c r="H39" s="238" t="s">
        <v>264</v>
      </c>
      <c r="I39" s="500">
        <f>+I12+I16+I20+I26+I31+I33+I34</f>
        <v>2822699726</v>
      </c>
      <c r="K39" s="500">
        <f>+K12+K16+K20+K26+K31+K33+K34</f>
        <v>2794795512</v>
      </c>
      <c r="L39" s="500">
        <f>+L12+L16+L20+L26+L31+L33+L34</f>
        <v>3634965845.2407804</v>
      </c>
      <c r="N39" s="500">
        <f>+N12+N16+N20+N26+N31+N33+N34</f>
        <v>2917061089.9907804</v>
      </c>
      <c r="O39" s="500">
        <f>+O12+O16+O20+O26+O31+O33+O34</f>
        <v>4000298399.188</v>
      </c>
      <c r="R39" s="500">
        <f>+R12+R16+R20+R26+R31+R33+R34</f>
        <v>3730050350</v>
      </c>
      <c r="V39" s="500">
        <f>+V12+V16+V20+V26+V31+V33+V34</f>
        <v>2794795512</v>
      </c>
      <c r="W39" s="500">
        <f>+W12+W16+W20+W26+W31+W33+W34</f>
        <v>2913122651.9907804</v>
      </c>
      <c r="X39" s="500">
        <f>+X12+X16+X20+X26+X31+X33+X34</f>
        <v>3656089060</v>
      </c>
      <c r="Y39" s="500">
        <f>+Y12+Y16+Y20+Y26+Y31+Y33+Y34</f>
        <v>5031109797</v>
      </c>
      <c r="Z39" s="500">
        <f>+Z12+Z16+Z20+Z26+Z31+Z33+Z34</f>
        <v>14395117020.99078</v>
      </c>
      <c r="AB39" s="248"/>
      <c r="AC39" s="248"/>
    </row>
    <row r="40" spans="1:26" s="238" customFormat="1" ht="19.5" hidden="1" outlineLevel="1">
      <c r="A40" s="238" t="s">
        <v>265</v>
      </c>
      <c r="B40" s="500">
        <f>+CUOTAPPC2005+B17+B21+B27+VTAS2005+B32+B35</f>
        <v>12497401120</v>
      </c>
      <c r="C40" s="239"/>
      <c r="D40" s="239"/>
      <c r="E40" s="239"/>
      <c r="F40" s="239"/>
      <c r="G40" s="239"/>
      <c r="H40" s="238" t="s">
        <v>230</v>
      </c>
      <c r="I40" s="500">
        <f>+'[13]ECO'!J82+'[13]TEC'!J55+'[13]TRANSF'!J57+'[13]MER'!J82+'[13]FUN'!J22+'[13]FUN'!J38+'[13]FUN'!J41</f>
        <v>2819798891.695935</v>
      </c>
      <c r="L40" s="500">
        <f>+'[13]ECO'!N82+'[13]TEC'!N53+'[13]TRANSF'!N57+'[13]MER'!N82+'[13]FUN'!N22+'[13]FUN'!N38+'[13]FUN'!N41</f>
        <v>3552406013.625</v>
      </c>
      <c r="O40" s="500"/>
      <c r="R40" s="500"/>
      <c r="V40" s="500">
        <f>+'[13]ECO'!AB82+'[13]TEC'!AB55+'[13]TRANSF'!AB57+'[13]MER'!AB82+'[13]FUN'!AB41+'[13]FUN'!AB38+'[13]FUN'!AB22</f>
        <v>2089207498</v>
      </c>
      <c r="W40" s="500">
        <f>+'[13]ECO'!AC82+'[13]TEC'!AC55+'[13]TRANSF'!AC57+'[13]MER'!AC82+'[13]FUN'!AC22+'[13]FUN'!AC38+'[13]FUN'!AC41</f>
        <v>2290111916.5</v>
      </c>
      <c r="X40" s="500">
        <f>+'[13]ECO'!AD82+'[13]TEC'!AD55+'[13]TRANSF'!AD57+'[13]MER'!AD82+'[13]FUN'!AD22+'[13]FUN'!AD38+'[13]FUN'!AD41</f>
        <v>3656089059.02</v>
      </c>
      <c r="Y40" s="500">
        <f>+'[13]ECO'!AE82+'[13]TEC'!AE55+'[13]TRANSF'!AE57+'[13]MER'!AE82+'[13]FUN'!AE22+'[13]FUN'!AE38+'[13]FUN'!AE41</f>
        <v>3268256578.46</v>
      </c>
      <c r="Z40" s="500">
        <f>+V40+W40+X40+Y40</f>
        <v>11303665051.98</v>
      </c>
    </row>
    <row r="41" spans="1:26" s="238" customFormat="1" ht="19.5" hidden="1" outlineLevel="1">
      <c r="A41" t="s">
        <v>263</v>
      </c>
      <c r="B41" s="501">
        <f>SUM(B39:B40)</f>
        <v>25151572080</v>
      </c>
      <c r="C41" s="239"/>
      <c r="D41" s="239"/>
      <c r="E41" s="239"/>
      <c r="F41" s="239"/>
      <c r="G41" s="239"/>
      <c r="H41" s="238" t="s">
        <v>10</v>
      </c>
      <c r="I41" s="501">
        <f>+I39-I40</f>
        <v>2900834.3040652275</v>
      </c>
      <c r="L41" s="501">
        <f>+L39-L40</f>
        <v>82559831.61578035</v>
      </c>
      <c r="O41" s="501">
        <f>+O39-O40</f>
        <v>4000298399.188</v>
      </c>
      <c r="R41" s="501">
        <f>+R39-R40</f>
        <v>3730050350</v>
      </c>
      <c r="V41" s="501">
        <f>+V39-V40</f>
        <v>705588014</v>
      </c>
      <c r="W41" s="501">
        <f>+W39-W40</f>
        <v>623010735.4907804</v>
      </c>
      <c r="X41" s="501">
        <f>+X39-X40</f>
        <v>0.9800000190734863</v>
      </c>
      <c r="Y41" s="501">
        <f>+Y39-Y40</f>
        <v>1762853218.54</v>
      </c>
      <c r="Z41" s="501">
        <f>+Z39-Z40</f>
        <v>3091451969.0107803</v>
      </c>
    </row>
    <row r="42" spans="1:26" s="238" customFormat="1" ht="19.5" hidden="1" outlineLevel="1">
      <c r="A42"/>
      <c r="B42" s="502"/>
      <c r="C42" s="502"/>
      <c r="D42" s="502"/>
      <c r="E42" s="502"/>
      <c r="F42" s="502"/>
      <c r="G42" s="502"/>
      <c r="H42" s="238" t="s">
        <v>265</v>
      </c>
      <c r="I42" s="500">
        <f>I32+I30+I27+I21+I17+I35+I13</f>
        <v>2761143556</v>
      </c>
      <c r="L42" s="500">
        <f>L32+L30+L27+L21+L17+L35+L13</f>
        <v>2249408304</v>
      </c>
      <c r="O42" s="500">
        <f>O32+O30+O27+O21+O17+O35+O13</f>
        <v>2398126164.25</v>
      </c>
      <c r="R42" s="500">
        <f>R32+R30+R27+R21+R17+R35+R13</f>
        <v>2024680573</v>
      </c>
      <c r="V42" s="500">
        <f>V32+V30+V27+V21+V17+V35+V13</f>
        <v>2560664898</v>
      </c>
      <c r="W42" s="500">
        <f>W32+W30+W27+W21+W17+W35+W13</f>
        <v>2617270535.25</v>
      </c>
      <c r="X42" s="500">
        <f>X32+X30+X27+X21+X17+X35+X13</f>
        <v>2718374449</v>
      </c>
      <c r="Y42" s="500">
        <f>Y32+Y30+Y27+Y21+Y17+Y35+Y13</f>
        <v>4141990612</v>
      </c>
      <c r="Z42" s="500">
        <f>Z32+Z30+Z27+Z21+Z17+Z35+Z13</f>
        <v>12038300494.25</v>
      </c>
    </row>
    <row r="43" spans="1:26" s="238" customFormat="1" ht="19.5" hidden="1" outlineLevel="1">
      <c r="A43"/>
      <c r="B43" s="502"/>
      <c r="C43" s="502"/>
      <c r="D43" s="502"/>
      <c r="E43" s="502"/>
      <c r="F43" s="502"/>
      <c r="G43" s="502"/>
      <c r="H43" s="238" t="s">
        <v>231</v>
      </c>
      <c r="I43" s="500">
        <f>+'[13]PPC'!J71+'[13]FUN'!J42</f>
        <v>1923727200.2232134</v>
      </c>
      <c r="L43" s="500">
        <f>+'[13]PPC'!N71+'[13]FUN'!N42</f>
        <v>2249408303.375</v>
      </c>
      <c r="O43" s="500"/>
      <c r="R43" s="500"/>
      <c r="V43" s="500">
        <f>+'[13]PPC'!AB71+'[13]FUN'!AB42</f>
        <v>1492883304</v>
      </c>
      <c r="W43" s="500">
        <f>+'[13]PPC'!AC71+'[13]FUN'!AC42</f>
        <v>1572593107.5</v>
      </c>
      <c r="X43" s="500">
        <f>+'[13]PPC'!AD71+'[13]FUN'!AD42</f>
        <v>1918820865.46</v>
      </c>
      <c r="Y43" s="500">
        <f>+'[13]PPC'!AE71+'[13]FUN'!AE42</f>
        <v>1805758617.54</v>
      </c>
      <c r="Z43" s="500">
        <f>+V43+W43+X43+Y43</f>
        <v>6790055894.5</v>
      </c>
    </row>
    <row r="44" spans="1:26" s="238" customFormat="1" ht="19.5" hidden="1" outlineLevel="1">
      <c r="A44"/>
      <c r="B44" s="239"/>
      <c r="C44" s="239"/>
      <c r="D44" s="239"/>
      <c r="E44" s="239"/>
      <c r="F44" s="239"/>
      <c r="G44" s="239"/>
      <c r="H44" s="238" t="s">
        <v>10</v>
      </c>
      <c r="I44" s="501">
        <f>+I42-I43</f>
        <v>837416355.7767866</v>
      </c>
      <c r="L44" s="501">
        <f>+L42-L43</f>
        <v>0.625</v>
      </c>
      <c r="O44" s="501">
        <f>+O42-O43</f>
        <v>2398126164.25</v>
      </c>
      <c r="R44" s="501">
        <f>+R42-R43</f>
        <v>2024680573</v>
      </c>
      <c r="V44" s="501">
        <f>+V42-V43</f>
        <v>1067781594</v>
      </c>
      <c r="W44" s="501">
        <f>+W42-W43</f>
        <v>1044677427.75</v>
      </c>
      <c r="X44" s="501">
        <f>+X42-X43</f>
        <v>799553583.54</v>
      </c>
      <c r="Y44" s="501">
        <f>+Y42-Y43</f>
        <v>2336231994.46</v>
      </c>
      <c r="Z44" s="501">
        <f>+Z42-Z43</f>
        <v>5248244599.75</v>
      </c>
    </row>
    <row r="45" spans="1:24" s="238" customFormat="1" ht="15" collapsed="1">
      <c r="A45"/>
      <c r="B45" s="239"/>
      <c r="C45" s="239"/>
      <c r="D45" s="239"/>
      <c r="E45" s="239"/>
      <c r="F45" s="239"/>
      <c r="G45" s="239"/>
      <c r="W45" s="253"/>
      <c r="X45" s="253"/>
    </row>
    <row r="46" spans="1:24" s="238" customFormat="1" ht="15">
      <c r="A46"/>
      <c r="B46" s="239"/>
      <c r="C46" s="239"/>
      <c r="D46" s="239"/>
      <c r="E46" s="239"/>
      <c r="F46" s="239"/>
      <c r="G46" s="239"/>
      <c r="I46" s="253"/>
      <c r="K46" s="253"/>
      <c r="V46" s="253"/>
      <c r="W46" s="253"/>
      <c r="X46" s="248"/>
    </row>
    <row r="47" spans="1:26" s="238" customFormat="1" ht="15">
      <c r="A47"/>
      <c r="B47" s="239"/>
      <c r="C47" s="239"/>
      <c r="D47" s="239"/>
      <c r="E47" s="239"/>
      <c r="F47" s="239"/>
      <c r="G47" s="239"/>
      <c r="X47" s="248"/>
      <c r="Z47" s="503"/>
    </row>
    <row r="48" spans="1:34" s="238" customFormat="1" ht="15">
      <c r="A48"/>
      <c r="B48" s="239"/>
      <c r="C48" s="239"/>
      <c r="D48" s="239"/>
      <c r="E48" s="239"/>
      <c r="F48" s="239"/>
      <c r="G48" s="239"/>
      <c r="Z48" s="504"/>
      <c r="AH48" s="505"/>
    </row>
    <row r="49" spans="1:26" s="238" customFormat="1" ht="15">
      <c r="A49"/>
      <c r="B49" s="239"/>
      <c r="C49" s="239"/>
      <c r="D49" s="239"/>
      <c r="E49" s="239"/>
      <c r="F49" s="239"/>
      <c r="G49" s="239"/>
      <c r="K49" s="247">
        <f>+K37/H37*100</f>
        <v>20.853864802284118</v>
      </c>
      <c r="N49" s="247">
        <f>(N37+K37)/H37*100</f>
        <v>42.413445798252646</v>
      </c>
      <c r="Q49" s="247">
        <f>+(K37+N37+Q37)/H37*100</f>
        <v>67.23525195899805</v>
      </c>
      <c r="R49" s="247"/>
      <c r="T49" s="247">
        <f>+Q49+14.3</f>
        <v>81.53525195899805</v>
      </c>
      <c r="U49" s="506"/>
      <c r="Z49" s="503"/>
    </row>
    <row r="50" spans="1:26" s="238" customFormat="1" ht="15">
      <c r="A50"/>
      <c r="B50" s="239"/>
      <c r="C50" s="239"/>
      <c r="D50" s="239"/>
      <c r="E50" s="239"/>
      <c r="F50" s="239"/>
      <c r="G50" s="239"/>
      <c r="Z50" s="503"/>
    </row>
    <row r="51" spans="1:26" s="238" customFormat="1" ht="15">
      <c r="A51"/>
      <c r="B51" s="239"/>
      <c r="C51" s="239"/>
      <c r="D51" s="239"/>
      <c r="E51" s="239"/>
      <c r="F51" s="239"/>
      <c r="G51" s="239"/>
      <c r="K51" s="238">
        <f>+K49/3</f>
        <v>6.95128826742804</v>
      </c>
      <c r="N51" s="238">
        <f>+N49/6</f>
        <v>7.068907633042108</v>
      </c>
      <c r="Q51" s="238">
        <f>+Q49/9</f>
        <v>7.470583550999783</v>
      </c>
      <c r="Z51" s="507"/>
    </row>
    <row r="52" spans="1:26" s="238" customFormat="1" ht="15">
      <c r="A52"/>
      <c r="B52" s="239"/>
      <c r="C52" s="239"/>
      <c r="D52" s="239"/>
      <c r="E52" s="239"/>
      <c r="F52" s="239"/>
      <c r="G52" s="239"/>
      <c r="Z52" s="507"/>
    </row>
    <row r="53" spans="1:34" s="238" customFormat="1" ht="15">
      <c r="A53"/>
      <c r="B53" s="239"/>
      <c r="C53" s="239"/>
      <c r="D53" s="239"/>
      <c r="E53" s="239"/>
      <c r="F53" s="239"/>
      <c r="G53" s="239"/>
      <c r="AH53" s="507"/>
    </row>
    <row r="54" spans="1:7" s="238" customFormat="1" ht="15">
      <c r="A54"/>
      <c r="B54" s="239"/>
      <c r="C54" s="239"/>
      <c r="D54" s="239"/>
      <c r="E54" s="239"/>
      <c r="F54" s="239"/>
      <c r="G54" s="239"/>
    </row>
    <row r="55" spans="1:7" s="238" customFormat="1" ht="15">
      <c r="A55"/>
      <c r="B55" s="239"/>
      <c r="C55" s="239"/>
      <c r="D55" s="239"/>
      <c r="E55" s="239"/>
      <c r="F55" s="239"/>
      <c r="G55" s="239"/>
    </row>
    <row r="56" spans="1:7" s="238" customFormat="1" ht="15">
      <c r="A56"/>
      <c r="B56" s="239"/>
      <c r="C56" s="239"/>
      <c r="D56" s="239"/>
      <c r="E56" s="239"/>
      <c r="F56" s="239"/>
      <c r="G56" s="239"/>
    </row>
    <row r="57" spans="1:7" s="238" customFormat="1" ht="15">
      <c r="A57"/>
      <c r="B57" s="239"/>
      <c r="C57" s="239"/>
      <c r="D57" s="239"/>
      <c r="E57" s="239"/>
      <c r="F57" s="239"/>
      <c r="G57" s="239"/>
    </row>
    <row r="58" spans="1:7" s="238" customFormat="1" ht="15">
      <c r="A58"/>
      <c r="B58" s="239"/>
      <c r="C58" s="239"/>
      <c r="D58" s="239"/>
      <c r="E58" s="239"/>
      <c r="F58" s="239"/>
      <c r="G58" s="239"/>
    </row>
    <row r="59" spans="1:7" s="238" customFormat="1" ht="15">
      <c r="A59"/>
      <c r="B59" s="239"/>
      <c r="C59" s="239"/>
      <c r="D59" s="239"/>
      <c r="E59" s="239"/>
      <c r="F59" s="239"/>
      <c r="G59" s="239"/>
    </row>
    <row r="60" spans="1:7" s="238" customFormat="1" ht="15">
      <c r="A60"/>
      <c r="B60" s="239"/>
      <c r="C60" s="239"/>
      <c r="D60" s="239"/>
      <c r="E60" s="239"/>
      <c r="F60" s="239"/>
      <c r="G60" s="239"/>
    </row>
    <row r="61" spans="1:7" s="238" customFormat="1" ht="15">
      <c r="A61"/>
      <c r="B61" s="239"/>
      <c r="C61" s="239"/>
      <c r="D61" s="239"/>
      <c r="E61" s="239"/>
      <c r="F61" s="239"/>
      <c r="G61" s="239"/>
    </row>
    <row r="62" spans="1:7" s="238" customFormat="1" ht="15">
      <c r="A62"/>
      <c r="B62" s="239"/>
      <c r="C62" s="239"/>
      <c r="D62" s="239"/>
      <c r="E62" s="239"/>
      <c r="F62" s="239"/>
      <c r="G62" s="239"/>
    </row>
    <row r="63" spans="1:7" s="238" customFormat="1" ht="15">
      <c r="A63"/>
      <c r="B63" s="239"/>
      <c r="C63" s="239"/>
      <c r="D63" s="239"/>
      <c r="E63" s="239"/>
      <c r="F63" s="239"/>
      <c r="G63" s="239"/>
    </row>
    <row r="64" spans="1:7" s="238" customFormat="1" ht="15">
      <c r="A64"/>
      <c r="B64" s="239"/>
      <c r="C64" s="239"/>
      <c r="D64" s="239"/>
      <c r="E64" s="239"/>
      <c r="F64" s="239"/>
      <c r="G64" s="239"/>
    </row>
    <row r="65" spans="1:7" s="238" customFormat="1" ht="15">
      <c r="A65"/>
      <c r="B65" s="239"/>
      <c r="C65" s="239"/>
      <c r="D65" s="239"/>
      <c r="E65" s="239"/>
      <c r="F65" s="239"/>
      <c r="G65" s="239"/>
    </row>
    <row r="66" ht="15">
      <c r="A66"/>
    </row>
    <row r="67" ht="15">
      <c r="A67"/>
    </row>
    <row r="68" ht="15">
      <c r="A68"/>
    </row>
    <row r="69" ht="15">
      <c r="A69"/>
    </row>
    <row r="70" ht="15">
      <c r="A70"/>
    </row>
    <row r="71" ht="15">
      <c r="A71"/>
    </row>
    <row r="72" ht="15">
      <c r="A72"/>
    </row>
    <row r="73" ht="15">
      <c r="A73"/>
    </row>
    <row r="74" ht="15">
      <c r="A74"/>
    </row>
    <row r="75" ht="15">
      <c r="A75"/>
    </row>
    <row r="76" ht="15">
      <c r="A76"/>
    </row>
    <row r="77" ht="15">
      <c r="A77"/>
    </row>
    <row r="78" ht="15">
      <c r="A78"/>
    </row>
    <row r="79" ht="15">
      <c r="A79"/>
    </row>
    <row r="80" ht="15">
      <c r="A80"/>
    </row>
    <row r="81" ht="15">
      <c r="A81"/>
    </row>
    <row r="82" ht="15">
      <c r="A82"/>
    </row>
    <row r="83" ht="15">
      <c r="A83"/>
    </row>
    <row r="84" ht="15">
      <c r="A84"/>
    </row>
    <row r="85" ht="15">
      <c r="A85"/>
    </row>
    <row r="86" ht="15">
      <c r="A86"/>
    </row>
    <row r="87" ht="15">
      <c r="A87"/>
    </row>
    <row r="88" ht="15">
      <c r="A88"/>
    </row>
    <row r="89" ht="15">
      <c r="A89"/>
    </row>
    <row r="90" ht="15">
      <c r="A90"/>
    </row>
    <row r="91" ht="15">
      <c r="A91"/>
    </row>
    <row r="92" ht="15">
      <c r="A92"/>
    </row>
    <row r="93" ht="15">
      <c r="A93"/>
    </row>
    <row r="94" ht="15">
      <c r="A94"/>
    </row>
    <row r="95" ht="15">
      <c r="A95"/>
    </row>
  </sheetData>
  <sheetProtection/>
  <mergeCells count="20">
    <mergeCell ref="J6:J8"/>
    <mergeCell ref="M6:M8"/>
    <mergeCell ref="A2:AH2"/>
    <mergeCell ref="A3:AH3"/>
    <mergeCell ref="A4:AH4"/>
    <mergeCell ref="A6:A8"/>
    <mergeCell ref="C6:C8"/>
    <mergeCell ref="D6:D8"/>
    <mergeCell ref="E6:E8"/>
    <mergeCell ref="F6:F8"/>
    <mergeCell ref="G6:G8"/>
    <mergeCell ref="AE6:AE8"/>
    <mergeCell ref="AF6:AF8"/>
    <mergeCell ref="AH6:AH8"/>
    <mergeCell ref="P6:P8"/>
    <mergeCell ref="S6:S8"/>
    <mergeCell ref="AA6:AA8"/>
    <mergeCell ref="AB6:AB8"/>
    <mergeCell ref="AC6:AC8"/>
    <mergeCell ref="AD6:AD8"/>
  </mergeCells>
  <printOptions horizontalCentered="1"/>
  <pageMargins left="0" right="0" top="0" bottom="0" header="0.5118110236220472" footer="0.5118110236220472"/>
  <pageSetup horizontalDpi="300" verticalDpi="300" orientation="portrait" scale="6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E796"/>
  <sheetViews>
    <sheetView view="pageBreakPreview" zoomScale="60" zoomScaleNormal="75" zoomScalePageLayoutView="0" workbookViewId="0" topLeftCell="A1">
      <pane xSplit="1" ySplit="8" topLeftCell="B9" activePane="bottomRight" state="frozen"/>
      <selection pane="topLeft" activeCell="C28" sqref="C28:C29"/>
      <selection pane="topRight" activeCell="C28" sqref="C28:C29"/>
      <selection pane="bottomLeft" activeCell="C28" sqref="C28:C29"/>
      <selection pane="bottomRight" activeCell="C28" sqref="C28:C29"/>
    </sheetView>
  </sheetViews>
  <sheetFormatPr defaultColWidth="11.421875" defaultRowHeight="12.75" outlineLevelRow="2" outlineLevelCol="3"/>
  <cols>
    <col min="1" max="1" width="35.7109375" style="3" customWidth="1"/>
    <col min="2" max="2" width="17.00390625" style="3" customWidth="1"/>
    <col min="3" max="8" width="18.421875" style="3" hidden="1" customWidth="1" outlineLevel="1"/>
    <col min="9" max="9" width="19.421875" style="3" bestFit="1" customWidth="1" collapsed="1"/>
    <col min="10" max="11" width="19.00390625" style="3" hidden="1" customWidth="1" outlineLevel="2"/>
    <col min="12" max="12" width="16.7109375" style="3" hidden="1" customWidth="1" outlineLevel="2"/>
    <col min="13" max="13" width="19.421875" style="3" hidden="1" customWidth="1" outlineLevel="1" collapsed="1"/>
    <col min="14" max="14" width="20.140625" style="3" hidden="1" customWidth="1" outlineLevel="2"/>
    <col min="15" max="15" width="18.421875" style="3" hidden="1" customWidth="1" outlineLevel="2"/>
    <col min="16" max="16" width="15.7109375" style="3" hidden="1" customWidth="1" outlineLevel="2"/>
    <col min="17" max="17" width="18.421875" style="3" hidden="1" customWidth="1" outlineLevel="1" collapsed="1"/>
    <col min="18" max="19" width="21.28125" style="3" hidden="1" customWidth="1" outlineLevel="3"/>
    <col min="20" max="20" width="23.57421875" style="3" hidden="1" customWidth="1" outlineLevel="3"/>
    <col min="21" max="21" width="18.7109375" style="3" hidden="1" customWidth="1" outlineLevel="3"/>
    <col min="22" max="22" width="16.8515625" style="3" hidden="1" customWidth="1" outlineLevel="1" collapsed="1"/>
    <col min="23" max="24" width="19.140625" style="3" hidden="1" customWidth="1" outlineLevel="2"/>
    <col min="25" max="25" width="16.00390625" style="3" hidden="1" customWidth="1" outlineLevel="2"/>
    <col min="26" max="26" width="17.00390625" style="3" hidden="1" customWidth="1" outlineLevel="1" collapsed="1"/>
    <col min="27" max="27" width="18.57421875" style="3" hidden="1" customWidth="1" collapsed="1"/>
    <col min="28" max="28" width="19.00390625" style="3" customWidth="1" outlineLevel="1"/>
    <col min="29" max="29" width="16.8515625" style="3" bestFit="1" customWidth="1" outlineLevel="1"/>
    <col min="30" max="30" width="16.8515625" style="3" customWidth="1" outlineLevel="1"/>
    <col min="31" max="31" width="17.57421875" style="3" customWidth="1" outlineLevel="1"/>
    <col min="32" max="32" width="19.140625" style="3" customWidth="1"/>
    <col min="33" max="33" width="16.7109375" style="3" hidden="1" customWidth="1" outlineLevel="1"/>
    <col min="34" max="34" width="16.140625" style="3" hidden="1" customWidth="1" outlineLevel="1"/>
    <col min="35" max="35" width="16.7109375" style="3" hidden="1" customWidth="1" outlineLevel="1"/>
    <col min="36" max="36" width="19.00390625" style="3" hidden="1" customWidth="1" outlineLevel="1"/>
    <col min="37" max="37" width="20.140625" style="3" hidden="1" customWidth="1" outlineLevel="1"/>
    <col min="38" max="38" width="16.7109375" style="3" hidden="1" customWidth="1"/>
    <col min="39" max="39" width="20.57421875" style="3" hidden="1" customWidth="1"/>
    <col min="40" max="40" width="16.28125" style="3" customWidth="1"/>
    <col min="41" max="41" width="14.00390625" style="3" hidden="1" customWidth="1"/>
    <col min="42" max="43" width="14.421875" style="3" hidden="1" customWidth="1"/>
    <col min="44" max="44" width="15.421875" style="3" hidden="1" customWidth="1"/>
    <col min="45" max="45" width="11.421875" style="3" customWidth="1"/>
    <col min="46" max="46" width="12.57421875" style="3" customWidth="1"/>
    <col min="47" max="47" width="11.8515625" style="3" customWidth="1"/>
    <col min="48" max="83" width="11.421875" style="3" customWidth="1"/>
    <col min="84" max="16384" width="11.421875" style="51" customWidth="1"/>
  </cols>
  <sheetData>
    <row r="1" ht="16.5">
      <c r="A1" s="2" t="s">
        <v>0</v>
      </c>
    </row>
    <row r="2" ht="16.5">
      <c r="A2" s="2" t="s">
        <v>133</v>
      </c>
    </row>
    <row r="3" ht="16.5">
      <c r="A3" s="2" t="s">
        <v>134</v>
      </c>
    </row>
    <row r="4" ht="16.5">
      <c r="A4" s="2" t="s">
        <v>182</v>
      </c>
    </row>
    <row r="5" spans="1:42" ht="16.5">
      <c r="A5" s="2" t="s">
        <v>356</v>
      </c>
      <c r="AP5" s="2"/>
    </row>
    <row r="6" spans="1:15" ht="17.25" thickBot="1">
      <c r="A6" s="4"/>
      <c r="B6" s="4"/>
      <c r="C6" s="4"/>
      <c r="D6" s="4"/>
      <c r="E6" s="4"/>
      <c r="F6" s="4"/>
      <c r="G6" s="4"/>
      <c r="H6" s="4"/>
      <c r="I6" s="5"/>
      <c r="O6" s="4"/>
    </row>
    <row r="7" spans="1:83" s="349" customFormat="1" ht="30.75" customHeight="1" thickBot="1">
      <c r="A7" s="807" t="s">
        <v>2</v>
      </c>
      <c r="B7" s="403" t="s">
        <v>353</v>
      </c>
      <c r="C7" s="807" t="s">
        <v>232</v>
      </c>
      <c r="D7" s="807" t="s">
        <v>227</v>
      </c>
      <c r="E7" s="807" t="s">
        <v>269</v>
      </c>
      <c r="F7" s="807" t="s">
        <v>274</v>
      </c>
      <c r="G7" s="807" t="s">
        <v>290</v>
      </c>
      <c r="H7" s="365" t="s">
        <v>297</v>
      </c>
      <c r="I7" s="344" t="s">
        <v>3</v>
      </c>
      <c r="J7" s="810" t="s">
        <v>124</v>
      </c>
      <c r="K7" s="810"/>
      <c r="L7" s="810"/>
      <c r="M7" s="810"/>
      <c r="N7" s="811" t="s">
        <v>123</v>
      </c>
      <c r="O7" s="812"/>
      <c r="P7" s="812"/>
      <c r="Q7" s="813"/>
      <c r="R7" s="809" t="s">
        <v>129</v>
      </c>
      <c r="S7" s="809"/>
      <c r="T7" s="809"/>
      <c r="U7" s="809"/>
      <c r="V7" s="809"/>
      <c r="W7" s="809" t="s">
        <v>131</v>
      </c>
      <c r="X7" s="809"/>
      <c r="Y7" s="809"/>
      <c r="Z7" s="809"/>
      <c r="AA7" s="344" t="s">
        <v>77</v>
      </c>
      <c r="AB7" s="344" t="s">
        <v>6</v>
      </c>
      <c r="AC7" s="344" t="s">
        <v>6</v>
      </c>
      <c r="AD7" s="344" t="s">
        <v>6</v>
      </c>
      <c r="AE7" s="344" t="s">
        <v>6</v>
      </c>
      <c r="AF7" s="344" t="s">
        <v>7</v>
      </c>
      <c r="AG7" s="344" t="s">
        <v>10</v>
      </c>
      <c r="AH7" s="344" t="s">
        <v>10</v>
      </c>
      <c r="AI7" s="344" t="s">
        <v>10</v>
      </c>
      <c r="AJ7" s="344" t="s">
        <v>10</v>
      </c>
      <c r="AK7" s="344" t="s">
        <v>5</v>
      </c>
      <c r="AL7" s="344" t="s">
        <v>78</v>
      </c>
      <c r="AM7" s="344" t="s">
        <v>79</v>
      </c>
      <c r="AN7" s="344" t="s">
        <v>80</v>
      </c>
      <c r="AO7" s="347" t="s">
        <v>81</v>
      </c>
      <c r="AP7" s="347" t="s">
        <v>81</v>
      </c>
      <c r="AQ7" s="347" t="s">
        <v>81</v>
      </c>
      <c r="AR7" s="347" t="s">
        <v>81</v>
      </c>
      <c r="AS7" s="348" t="s">
        <v>130</v>
      </c>
      <c r="AT7" s="348"/>
      <c r="AU7" s="348"/>
      <c r="AV7" s="348"/>
      <c r="AW7" s="348"/>
      <c r="AX7" s="348"/>
      <c r="AY7" s="348"/>
      <c r="AZ7" s="348"/>
      <c r="BA7" s="348"/>
      <c r="BB7" s="348"/>
      <c r="BC7" s="348"/>
      <c r="BD7" s="348"/>
      <c r="BE7" s="348"/>
      <c r="BF7" s="348"/>
      <c r="BG7" s="348"/>
      <c r="BH7" s="348"/>
      <c r="BI7" s="348"/>
      <c r="BJ7" s="348"/>
      <c r="BK7" s="348"/>
      <c r="BL7" s="348"/>
      <c r="BM7" s="348"/>
      <c r="BN7" s="348"/>
      <c r="BO7" s="348"/>
      <c r="BP7" s="348"/>
      <c r="BQ7" s="348"/>
      <c r="BR7" s="348"/>
      <c r="BS7" s="348"/>
      <c r="BT7" s="348"/>
      <c r="BU7" s="348"/>
      <c r="BV7" s="348"/>
      <c r="BW7" s="348"/>
      <c r="BX7" s="348"/>
      <c r="BY7" s="348"/>
      <c r="BZ7" s="348"/>
      <c r="CA7" s="348"/>
      <c r="CB7" s="348"/>
      <c r="CC7" s="348"/>
      <c r="CD7" s="348"/>
      <c r="CE7" s="348"/>
    </row>
    <row r="8" spans="1:83" s="349" customFormat="1" ht="17.25" thickBot="1">
      <c r="A8" s="808"/>
      <c r="B8" s="345" t="s">
        <v>172</v>
      </c>
      <c r="C8" s="808"/>
      <c r="D8" s="808"/>
      <c r="E8" s="808"/>
      <c r="F8" s="808"/>
      <c r="G8" s="808"/>
      <c r="H8" s="345" t="s">
        <v>288</v>
      </c>
      <c r="I8" s="345" t="s">
        <v>83</v>
      </c>
      <c r="J8" s="345" t="s">
        <v>217</v>
      </c>
      <c r="K8" s="345" t="s">
        <v>229</v>
      </c>
      <c r="L8" s="345" t="s">
        <v>223</v>
      </c>
      <c r="M8" s="346" t="s">
        <v>83</v>
      </c>
      <c r="N8" s="345" t="s">
        <v>224</v>
      </c>
      <c r="O8" s="345" t="s">
        <v>271</v>
      </c>
      <c r="P8" s="345" t="s">
        <v>270</v>
      </c>
      <c r="Q8" s="346" t="s">
        <v>83</v>
      </c>
      <c r="R8" s="346" t="s">
        <v>272</v>
      </c>
      <c r="S8" s="346" t="s">
        <v>277</v>
      </c>
      <c r="T8" s="346" t="s">
        <v>287</v>
      </c>
      <c r="U8" s="346" t="s">
        <v>281</v>
      </c>
      <c r="V8" s="346" t="s">
        <v>83</v>
      </c>
      <c r="W8" s="346" t="s">
        <v>282</v>
      </c>
      <c r="X8" s="346" t="s">
        <v>290</v>
      </c>
      <c r="Y8" s="346"/>
      <c r="Z8" s="346" t="s">
        <v>83</v>
      </c>
      <c r="AA8" s="345" t="s">
        <v>5</v>
      </c>
      <c r="AB8" s="345" t="s">
        <v>12</v>
      </c>
      <c r="AC8" s="345" t="s">
        <v>13</v>
      </c>
      <c r="AD8" s="345" t="s">
        <v>14</v>
      </c>
      <c r="AE8" s="345" t="s">
        <v>15</v>
      </c>
      <c r="AF8" s="345" t="s">
        <v>6</v>
      </c>
      <c r="AG8" s="345" t="s">
        <v>12</v>
      </c>
      <c r="AH8" s="345" t="s">
        <v>13</v>
      </c>
      <c r="AI8" s="345" t="s">
        <v>14</v>
      </c>
      <c r="AJ8" s="345" t="s">
        <v>15</v>
      </c>
      <c r="AK8" s="345"/>
      <c r="AL8" s="345" t="s">
        <v>84</v>
      </c>
      <c r="AM8" s="345" t="s">
        <v>6</v>
      </c>
      <c r="AN8" s="345" t="s">
        <v>19</v>
      </c>
      <c r="AO8" s="350" t="s">
        <v>12</v>
      </c>
      <c r="AP8" s="350" t="s">
        <v>13</v>
      </c>
      <c r="AQ8" s="350" t="s">
        <v>14</v>
      </c>
      <c r="AR8" s="350" t="s">
        <v>15</v>
      </c>
      <c r="AS8" s="348"/>
      <c r="AT8" s="348"/>
      <c r="AU8" s="348"/>
      <c r="AV8" s="348"/>
      <c r="AW8" s="348"/>
      <c r="AX8" s="348"/>
      <c r="AY8" s="348"/>
      <c r="AZ8" s="348"/>
      <c r="BA8" s="348"/>
      <c r="BB8" s="348"/>
      <c r="BC8" s="348"/>
      <c r="BD8" s="348"/>
      <c r="BE8" s="348"/>
      <c r="BF8" s="348"/>
      <c r="BG8" s="348"/>
      <c r="BH8" s="348"/>
      <c r="BI8" s="348"/>
      <c r="BJ8" s="348"/>
      <c r="BK8" s="348"/>
      <c r="BL8" s="348"/>
      <c r="BM8" s="348"/>
      <c r="BN8" s="348"/>
      <c r="BO8" s="348"/>
      <c r="BP8" s="348"/>
      <c r="BQ8" s="348"/>
      <c r="BR8" s="348"/>
      <c r="BS8" s="348"/>
      <c r="BT8" s="348"/>
      <c r="BU8" s="348"/>
      <c r="BV8" s="348"/>
      <c r="BW8" s="348"/>
      <c r="BX8" s="348"/>
      <c r="BY8" s="348"/>
      <c r="BZ8" s="348"/>
      <c r="CA8" s="348"/>
      <c r="CB8" s="348"/>
      <c r="CC8" s="348"/>
      <c r="CD8" s="348"/>
      <c r="CE8" s="348"/>
    </row>
    <row r="9" spans="1:44" ht="16.5">
      <c r="A9" s="202" t="s">
        <v>22</v>
      </c>
      <c r="B9" s="203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96"/>
      <c r="AB9" s="101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101"/>
      <c r="AO9" s="101"/>
      <c r="AP9" s="101"/>
      <c r="AQ9" s="101"/>
      <c r="AR9" s="179"/>
    </row>
    <row r="10" spans="1:44" ht="15">
      <c r="A10" s="52" t="s">
        <v>23</v>
      </c>
      <c r="B10" s="102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8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204"/>
    </row>
    <row r="11" spans="1:44" ht="15">
      <c r="A11" s="52" t="s">
        <v>24</v>
      </c>
      <c r="B11" s="102">
        <v>593728326</v>
      </c>
      <c r="C11" s="7"/>
      <c r="D11" s="7"/>
      <c r="E11" s="7"/>
      <c r="F11" s="7"/>
      <c r="G11" s="7"/>
      <c r="H11" s="7"/>
      <c r="I11" s="8">
        <f>SUM(B11:H11)</f>
        <v>593728326</v>
      </c>
      <c r="J11" s="7">
        <v>147739770</v>
      </c>
      <c r="K11" s="7"/>
      <c r="L11" s="7">
        <v>-17769765</v>
      </c>
      <c r="M11" s="7">
        <f>SUM(J11:L11)</f>
        <v>129970005</v>
      </c>
      <c r="N11" s="7">
        <v>148020912.26760003</v>
      </c>
      <c r="O11" s="8">
        <v>-2271453</v>
      </c>
      <c r="P11" s="7">
        <f aca="true" t="shared" si="0" ref="P11:P20">+AC11-N11-O11</f>
        <v>-870802.2676000297</v>
      </c>
      <c r="Q11" s="7">
        <f aca="true" t="shared" si="1" ref="Q11:Q21">+SUM(N11:P11)</f>
        <v>144878657</v>
      </c>
      <c r="R11" s="7">
        <v>148020912.26760003</v>
      </c>
      <c r="S11" s="7"/>
      <c r="T11" s="7">
        <v>1244991</v>
      </c>
      <c r="U11" s="7">
        <f aca="true" t="shared" si="2" ref="U11:U20">-R11-S11-T11+AD11</f>
        <v>-0.26760002970695496</v>
      </c>
      <c r="V11" s="7">
        <f aca="true" t="shared" si="3" ref="V11:V21">+SUM(R11:U11)</f>
        <v>149265903</v>
      </c>
      <c r="W11" s="7">
        <v>169613761</v>
      </c>
      <c r="X11" s="7"/>
      <c r="Y11" s="7"/>
      <c r="Z11" s="7">
        <f aca="true" t="shared" si="4" ref="Z11:Z21">+SUM(W11:Y11)</f>
        <v>169613761</v>
      </c>
      <c r="AA11" s="8">
        <f aca="true" t="shared" si="5" ref="AA11:AA21">+M11+Q11+V11+Z11</f>
        <v>593728326</v>
      </c>
      <c r="AB11" s="357">
        <f>+'[4]PPC ENE-MAR-11'!$G$10</f>
        <v>129970005</v>
      </c>
      <c r="AC11" s="357">
        <f>+'[4]PPC ABR-JUN-11'!$G$10</f>
        <v>144878657</v>
      </c>
      <c r="AD11" s="357">
        <f>+'[4]PPC JUL-SEP-11'!$G$10</f>
        <v>149265903</v>
      </c>
      <c r="AE11" s="357">
        <f>+'[4]PPC OCT-DIC-11'!$G$10</f>
        <v>138971568</v>
      </c>
      <c r="AF11" s="357">
        <f>SUM(AB11:AE11)</f>
        <v>563086133</v>
      </c>
      <c r="AG11" s="12">
        <f aca="true" t="shared" si="6" ref="AG11:AG21">+M11-AB11</f>
        <v>0</v>
      </c>
      <c r="AH11" s="12">
        <f aca="true" t="shared" si="7" ref="AH11:AH21">+Q11-AC11</f>
        <v>0</v>
      </c>
      <c r="AI11" s="12">
        <f aca="true" t="shared" si="8" ref="AI11:AI21">+V11-AD11</f>
        <v>0</v>
      </c>
      <c r="AJ11" s="12">
        <f>+Z11-AE11</f>
        <v>30642193</v>
      </c>
      <c r="AK11" s="7">
        <f>+AA11</f>
        <v>593728326</v>
      </c>
      <c r="AL11" s="7">
        <f aca="true" t="shared" si="9" ref="AL11:AL21">+I11-AK11</f>
        <v>0</v>
      </c>
      <c r="AM11" s="7">
        <f>+AK11-AF11</f>
        <v>30642193</v>
      </c>
      <c r="AN11" s="130">
        <f>+AF11/I11</f>
        <v>0.9483902120580314</v>
      </c>
      <c r="AO11" s="130">
        <f>+AB11/M11</f>
        <v>1</v>
      </c>
      <c r="AP11" s="130">
        <f>+AC11/Q11</f>
        <v>1</v>
      </c>
      <c r="AQ11" s="130">
        <f>+AD11/V11</f>
        <v>1</v>
      </c>
      <c r="AR11" s="169">
        <f>+AE11/Z11</f>
        <v>0.8193413504933719</v>
      </c>
    </row>
    <row r="12" spans="1:44" ht="15">
      <c r="A12" s="52" t="s">
        <v>25</v>
      </c>
      <c r="B12" s="102">
        <v>42377504</v>
      </c>
      <c r="C12" s="7"/>
      <c r="D12" s="7"/>
      <c r="E12" s="7"/>
      <c r="F12" s="7"/>
      <c r="G12" s="7"/>
      <c r="H12" s="7"/>
      <c r="I12" s="8">
        <f aca="true" t="shared" si="10" ref="I12:I21">SUM(B12:H12)</f>
        <v>42377504</v>
      </c>
      <c r="J12" s="7">
        <v>10547386</v>
      </c>
      <c r="K12" s="7"/>
      <c r="L12" s="7">
        <v>-1340158</v>
      </c>
      <c r="M12" s="7">
        <f aca="true" t="shared" si="11" ref="M12:M21">SUM(J12:L12)</f>
        <v>9207228</v>
      </c>
      <c r="N12" s="7">
        <v>10590138.27189108</v>
      </c>
      <c r="O12" s="8">
        <v>841089</v>
      </c>
      <c r="P12" s="7">
        <f t="shared" si="0"/>
        <v>-0.2718910798430443</v>
      </c>
      <c r="Q12" s="7">
        <f t="shared" si="1"/>
        <v>11431227</v>
      </c>
      <c r="R12" s="7">
        <v>10590138.27189108</v>
      </c>
      <c r="S12" s="7"/>
      <c r="T12" s="7">
        <v>125233</v>
      </c>
      <c r="U12" s="7">
        <f t="shared" si="2"/>
        <v>-0.2718910798430443</v>
      </c>
      <c r="V12" s="7">
        <f t="shared" si="3"/>
        <v>10715371</v>
      </c>
      <c r="W12" s="7">
        <v>11023678</v>
      </c>
      <c r="X12" s="7"/>
      <c r="Y12" s="7"/>
      <c r="Z12" s="7">
        <f t="shared" si="4"/>
        <v>11023678</v>
      </c>
      <c r="AA12" s="8">
        <f t="shared" si="5"/>
        <v>42377504</v>
      </c>
      <c r="AB12" s="357">
        <f>+'[4]PPC ENE-MAR-11'!$G$23</f>
        <v>9207228</v>
      </c>
      <c r="AC12" s="357">
        <f>+'[4]PPC ABR-JUN-11'!$G$25</f>
        <v>11431227</v>
      </c>
      <c r="AD12" s="357">
        <f>+'[4]PPC JUL-SEP-11'!$G$22</f>
        <v>10715371</v>
      </c>
      <c r="AE12" s="357">
        <f>+'[4]PPC OCT-DIC-11'!$G$26</f>
        <v>10594377</v>
      </c>
      <c r="AF12" s="357">
        <f aca="true" t="shared" si="12" ref="AF12:AF21">SUM(AB12:AE12)</f>
        <v>41948203</v>
      </c>
      <c r="AG12" s="12">
        <f t="shared" si="6"/>
        <v>0</v>
      </c>
      <c r="AH12" s="12">
        <f t="shared" si="7"/>
        <v>0</v>
      </c>
      <c r="AI12" s="12">
        <f t="shared" si="8"/>
        <v>0</v>
      </c>
      <c r="AJ12" s="12">
        <f aca="true" t="shared" si="13" ref="AJ12:AJ21">+Z12-AE12</f>
        <v>429301</v>
      </c>
      <c r="AK12" s="7">
        <f aca="true" t="shared" si="14" ref="AK12:AK21">+AA12</f>
        <v>42377504</v>
      </c>
      <c r="AL12" s="7">
        <f t="shared" si="9"/>
        <v>0</v>
      </c>
      <c r="AM12" s="7">
        <f aca="true" t="shared" si="15" ref="AM12:AM21">+AK12-AF12</f>
        <v>429301</v>
      </c>
      <c r="AN12" s="130">
        <f>+AF12/I12</f>
        <v>0.9898696015697385</v>
      </c>
      <c r="AO12" s="130">
        <f>+AB12/M12</f>
        <v>1</v>
      </c>
      <c r="AP12" s="130">
        <f>+AC12/Q12</f>
        <v>1</v>
      </c>
      <c r="AQ12" s="130">
        <f>+AD12/V12</f>
        <v>1</v>
      </c>
      <c r="AR12" s="169">
        <f aca="true" t="shared" si="16" ref="AR12:AR19">+AE12/Z12</f>
        <v>0.9610564640948329</v>
      </c>
    </row>
    <row r="13" spans="1:44" ht="15">
      <c r="A13" s="52" t="s">
        <v>26</v>
      </c>
      <c r="B13" s="102">
        <v>5085300</v>
      </c>
      <c r="C13" s="7"/>
      <c r="D13" s="7"/>
      <c r="E13" s="7"/>
      <c r="F13" s="7"/>
      <c r="G13" s="7"/>
      <c r="H13" s="7"/>
      <c r="I13" s="8">
        <f t="shared" si="10"/>
        <v>5085300</v>
      </c>
      <c r="J13" s="7">
        <v>1265686</v>
      </c>
      <c r="K13" s="7"/>
      <c r="L13" s="7">
        <v>-160818</v>
      </c>
      <c r="M13" s="7">
        <f t="shared" si="11"/>
        <v>1104868</v>
      </c>
      <c r="N13" s="7">
        <v>1270816.59262693</v>
      </c>
      <c r="O13" s="8"/>
      <c r="P13" s="7">
        <f t="shared" si="0"/>
        <v>-1182749.59262693</v>
      </c>
      <c r="Q13" s="7">
        <f t="shared" si="1"/>
        <v>88067</v>
      </c>
      <c r="R13" s="7">
        <v>1270816.59262693</v>
      </c>
      <c r="S13" s="7"/>
      <c r="T13" s="7">
        <v>226880</v>
      </c>
      <c r="U13" s="7">
        <f t="shared" si="2"/>
        <v>0.407373070018366</v>
      </c>
      <c r="V13" s="7">
        <f t="shared" si="3"/>
        <v>1497697</v>
      </c>
      <c r="W13" s="7">
        <v>2394668</v>
      </c>
      <c r="X13" s="7"/>
      <c r="Y13" s="7"/>
      <c r="Z13" s="7">
        <f t="shared" si="4"/>
        <v>2394668</v>
      </c>
      <c r="AA13" s="8">
        <f t="shared" si="5"/>
        <v>5085300</v>
      </c>
      <c r="AB13" s="357">
        <f>+'[4]PPC ENE-MAR-11'!$G$30</f>
        <v>1104868</v>
      </c>
      <c r="AC13" s="357">
        <f>+'[4]PPC ABR-JUN-11'!$G$33</f>
        <v>88067</v>
      </c>
      <c r="AD13" s="357">
        <f>+'[4]PPC JUL-SEP-11'!$G$29</f>
        <v>1497697</v>
      </c>
      <c r="AE13" s="357">
        <f>+'[4]PPC OCT-DIC-11'!$G$34</f>
        <v>2095583</v>
      </c>
      <c r="AF13" s="357">
        <f t="shared" si="12"/>
        <v>4786215</v>
      </c>
      <c r="AG13" s="12">
        <f t="shared" si="6"/>
        <v>0</v>
      </c>
      <c r="AH13" s="12">
        <f t="shared" si="7"/>
        <v>0</v>
      </c>
      <c r="AI13" s="12">
        <f t="shared" si="8"/>
        <v>0</v>
      </c>
      <c r="AJ13" s="12">
        <f t="shared" si="13"/>
        <v>299085</v>
      </c>
      <c r="AK13" s="7">
        <f t="shared" si="14"/>
        <v>5085300</v>
      </c>
      <c r="AL13" s="7">
        <f t="shared" si="9"/>
        <v>0</v>
      </c>
      <c r="AM13" s="7">
        <f t="shared" si="15"/>
        <v>299085</v>
      </c>
      <c r="AN13" s="130">
        <f>+AF13/I13</f>
        <v>0.9411863606866852</v>
      </c>
      <c r="AO13" s="130">
        <f>+AB13/M13</f>
        <v>1</v>
      </c>
      <c r="AP13" s="130">
        <f>+AC13/Q13</f>
        <v>1</v>
      </c>
      <c r="AQ13" s="130">
        <f>+AD13/V13</f>
        <v>1</v>
      </c>
      <c r="AR13" s="169">
        <f t="shared" si="16"/>
        <v>0.8751037722139353</v>
      </c>
    </row>
    <row r="14" spans="1:44" ht="15">
      <c r="A14" s="52" t="s">
        <v>27</v>
      </c>
      <c r="B14" s="102">
        <v>42377504</v>
      </c>
      <c r="C14" s="7"/>
      <c r="D14" s="7"/>
      <c r="E14" s="7"/>
      <c r="F14" s="7"/>
      <c r="G14" s="7"/>
      <c r="H14" s="7"/>
      <c r="I14" s="8">
        <f t="shared" si="10"/>
        <v>42377504</v>
      </c>
      <c r="J14" s="7">
        <v>10547386</v>
      </c>
      <c r="K14" s="7"/>
      <c r="L14" s="7">
        <v>-1340158</v>
      </c>
      <c r="M14" s="7">
        <f t="shared" si="11"/>
        <v>9207228</v>
      </c>
      <c r="N14" s="7">
        <v>10590138.27189108</v>
      </c>
      <c r="O14" s="8">
        <v>841089</v>
      </c>
      <c r="P14" s="7">
        <f t="shared" si="0"/>
        <v>-0.2718910798430443</v>
      </c>
      <c r="Q14" s="7">
        <f t="shared" si="1"/>
        <v>11431227</v>
      </c>
      <c r="R14" s="7">
        <v>10590138.27189108</v>
      </c>
      <c r="S14" s="7"/>
      <c r="T14" s="7">
        <v>125233</v>
      </c>
      <c r="U14" s="7">
        <f t="shared" si="2"/>
        <v>-0.2718910798430443</v>
      </c>
      <c r="V14" s="7">
        <f t="shared" si="3"/>
        <v>10715371</v>
      </c>
      <c r="W14" s="7">
        <v>11023678</v>
      </c>
      <c r="X14" s="7"/>
      <c r="Y14" s="7"/>
      <c r="Z14" s="7">
        <f t="shared" si="4"/>
        <v>11023678</v>
      </c>
      <c r="AA14" s="8">
        <f t="shared" si="5"/>
        <v>42377504</v>
      </c>
      <c r="AB14" s="357">
        <f>+'[4]PPC ENE-MAR-11'!$G$37</f>
        <v>9207228</v>
      </c>
      <c r="AC14" s="357">
        <f>+'[4]PPC ABR-JUN-11'!$G$41</f>
        <v>11431227</v>
      </c>
      <c r="AD14" s="357">
        <f>+'[4]PPC JUL-SEP-11'!$G$36</f>
        <v>10715371</v>
      </c>
      <c r="AE14" s="357">
        <f>+'[4]PPC OCT-DIC-11'!$G$41</f>
        <v>10594377</v>
      </c>
      <c r="AF14" s="357">
        <f t="shared" si="12"/>
        <v>41948203</v>
      </c>
      <c r="AG14" s="12">
        <f t="shared" si="6"/>
        <v>0</v>
      </c>
      <c r="AH14" s="12">
        <f t="shared" si="7"/>
        <v>0</v>
      </c>
      <c r="AI14" s="12">
        <f t="shared" si="8"/>
        <v>0</v>
      </c>
      <c r="AJ14" s="12">
        <f t="shared" si="13"/>
        <v>429301</v>
      </c>
      <c r="AK14" s="7">
        <f t="shared" si="14"/>
        <v>42377504</v>
      </c>
      <c r="AL14" s="7">
        <f t="shared" si="9"/>
        <v>0</v>
      </c>
      <c r="AM14" s="7">
        <f t="shared" si="15"/>
        <v>429301</v>
      </c>
      <c r="AN14" s="130">
        <f>+AF14/I14</f>
        <v>0.9898696015697385</v>
      </c>
      <c r="AO14" s="130">
        <f>+AB14/M14</f>
        <v>1</v>
      </c>
      <c r="AP14" s="130">
        <f>+AC14/Q14</f>
        <v>1</v>
      </c>
      <c r="AQ14" s="130">
        <f>+AD14/V14</f>
        <v>1</v>
      </c>
      <c r="AR14" s="169">
        <f t="shared" si="16"/>
        <v>0.9610564640948329</v>
      </c>
    </row>
    <row r="15" spans="1:44" ht="15">
      <c r="A15" s="52" t="s">
        <v>28</v>
      </c>
      <c r="B15" s="102">
        <v>24670152</v>
      </c>
      <c r="C15" s="7"/>
      <c r="D15" s="7"/>
      <c r="E15" s="7"/>
      <c r="F15" s="7"/>
      <c r="G15" s="7"/>
      <c r="H15" s="7"/>
      <c r="I15" s="8">
        <f t="shared" si="10"/>
        <v>24670152</v>
      </c>
      <c r="J15" s="7">
        <v>6148603</v>
      </c>
      <c r="K15" s="7"/>
      <c r="L15" s="7">
        <v>-763320</v>
      </c>
      <c r="M15" s="7">
        <f t="shared" si="11"/>
        <v>5385283</v>
      </c>
      <c r="N15" s="7">
        <v>6148602.961558921</v>
      </c>
      <c r="O15" s="8">
        <v>589275</v>
      </c>
      <c r="P15" s="7">
        <f t="shared" si="0"/>
        <v>0.03844107873737812</v>
      </c>
      <c r="Q15" s="7">
        <f t="shared" si="1"/>
        <v>6737878</v>
      </c>
      <c r="R15" s="7">
        <v>6148602.961558921</v>
      </c>
      <c r="S15" s="7"/>
      <c r="T15" s="7"/>
      <c r="U15" s="7">
        <f t="shared" si="2"/>
        <v>-55349.96155892126</v>
      </c>
      <c r="V15" s="7">
        <f>+SUM(R15:U15)</f>
        <v>6093253</v>
      </c>
      <c r="W15" s="7">
        <v>6453738</v>
      </c>
      <c r="X15" s="7"/>
      <c r="Y15" s="7"/>
      <c r="Z15" s="7">
        <f t="shared" si="4"/>
        <v>6453738</v>
      </c>
      <c r="AA15" s="8">
        <f t="shared" si="5"/>
        <v>24670152</v>
      </c>
      <c r="AB15" s="357">
        <f>+'[4]PPC ENE-MAR-11'!$G$44</f>
        <v>5385283</v>
      </c>
      <c r="AC15" s="357">
        <f>+'[4]PPC ABR-JUN-11'!$G$49</f>
        <v>6737878</v>
      </c>
      <c r="AD15" s="357">
        <f>+'[4]PPC JUL-SEP-11'!$G$43</f>
        <v>6093253</v>
      </c>
      <c r="AE15" s="357">
        <f>+'[4]PPC OCT-DIC-11'!$G$49</f>
        <v>6452683</v>
      </c>
      <c r="AF15" s="357">
        <f t="shared" si="12"/>
        <v>24669097</v>
      </c>
      <c r="AG15" s="12">
        <f t="shared" si="6"/>
        <v>0</v>
      </c>
      <c r="AH15" s="12">
        <f t="shared" si="7"/>
        <v>0</v>
      </c>
      <c r="AI15" s="12">
        <f t="shared" si="8"/>
        <v>0</v>
      </c>
      <c r="AJ15" s="12">
        <f t="shared" si="13"/>
        <v>1055</v>
      </c>
      <c r="AK15" s="7">
        <f t="shared" si="14"/>
        <v>24670152</v>
      </c>
      <c r="AL15" s="7">
        <f t="shared" si="9"/>
        <v>0</v>
      </c>
      <c r="AM15" s="7">
        <f t="shared" si="15"/>
        <v>1055</v>
      </c>
      <c r="AN15" s="130">
        <f>+AF15/I15</f>
        <v>0.9999572357721995</v>
      </c>
      <c r="AO15" s="130">
        <f>+AB15/M15</f>
        <v>1</v>
      </c>
      <c r="AP15" s="130">
        <f>+AC15/Q15</f>
        <v>1</v>
      </c>
      <c r="AQ15" s="130">
        <f>+AD15/V15</f>
        <v>1</v>
      </c>
      <c r="AR15" s="169">
        <f t="shared" si="16"/>
        <v>0.9998365288457635</v>
      </c>
    </row>
    <row r="16" spans="1:44" ht="15">
      <c r="A16" s="52" t="s">
        <v>29</v>
      </c>
      <c r="B16" s="102"/>
      <c r="C16" s="7"/>
      <c r="D16" s="7"/>
      <c r="E16" s="7"/>
      <c r="F16" s="7"/>
      <c r="G16" s="7"/>
      <c r="H16" s="7"/>
      <c r="I16" s="8">
        <f t="shared" si="10"/>
        <v>0</v>
      </c>
      <c r="J16" s="7">
        <v>0</v>
      </c>
      <c r="K16" s="7"/>
      <c r="L16" s="7">
        <v>0</v>
      </c>
      <c r="M16" s="7">
        <f t="shared" si="11"/>
        <v>0</v>
      </c>
      <c r="N16" s="7"/>
      <c r="O16" s="8"/>
      <c r="P16" s="7">
        <f t="shared" si="0"/>
        <v>0</v>
      </c>
      <c r="Q16" s="7">
        <f t="shared" si="1"/>
        <v>0</v>
      </c>
      <c r="R16" s="7">
        <v>0</v>
      </c>
      <c r="S16" s="7"/>
      <c r="T16" s="7">
        <v>0</v>
      </c>
      <c r="U16" s="7">
        <f t="shared" si="2"/>
        <v>0</v>
      </c>
      <c r="V16" s="7">
        <f t="shared" si="3"/>
        <v>0</v>
      </c>
      <c r="W16" s="7">
        <v>0</v>
      </c>
      <c r="X16" s="7"/>
      <c r="Y16" s="7"/>
      <c r="Z16" s="7">
        <f t="shared" si="4"/>
        <v>0</v>
      </c>
      <c r="AA16" s="8">
        <f t="shared" si="5"/>
        <v>0</v>
      </c>
      <c r="AB16" s="357"/>
      <c r="AC16" s="357"/>
      <c r="AD16" s="357"/>
      <c r="AE16" s="357"/>
      <c r="AF16" s="357">
        <f t="shared" si="12"/>
        <v>0</v>
      </c>
      <c r="AG16" s="12">
        <f t="shared" si="6"/>
        <v>0</v>
      </c>
      <c r="AH16" s="12">
        <f t="shared" si="7"/>
        <v>0</v>
      </c>
      <c r="AI16" s="12">
        <f t="shared" si="8"/>
        <v>0</v>
      </c>
      <c r="AJ16" s="12">
        <f t="shared" si="13"/>
        <v>0</v>
      </c>
      <c r="AK16" s="7">
        <f t="shared" si="14"/>
        <v>0</v>
      </c>
      <c r="AL16" s="7">
        <f t="shared" si="9"/>
        <v>0</v>
      </c>
      <c r="AM16" s="7">
        <f t="shared" si="15"/>
        <v>0</v>
      </c>
      <c r="AN16" s="130">
        <v>0</v>
      </c>
      <c r="AO16" s="130">
        <v>0</v>
      </c>
      <c r="AP16" s="130">
        <v>0</v>
      </c>
      <c r="AQ16" s="130">
        <v>0</v>
      </c>
      <c r="AR16" s="169">
        <v>0</v>
      </c>
    </row>
    <row r="17" spans="1:44" ht="15">
      <c r="A17" s="52" t="s">
        <v>30</v>
      </c>
      <c r="B17" s="102">
        <v>121353101</v>
      </c>
      <c r="C17" s="7"/>
      <c r="D17" s="7"/>
      <c r="E17" s="7"/>
      <c r="F17" s="7"/>
      <c r="G17" s="7"/>
      <c r="H17" s="7"/>
      <c r="I17" s="8">
        <f t="shared" si="10"/>
        <v>121353101</v>
      </c>
      <c r="J17" s="7">
        <v>30180522</v>
      </c>
      <c r="K17" s="7"/>
      <c r="L17" s="7">
        <v>-1009582</v>
      </c>
      <c r="M17" s="7">
        <f t="shared" si="11"/>
        <v>29170940</v>
      </c>
      <c r="N17" s="7">
        <v>30254235.663225852</v>
      </c>
      <c r="O17" s="8"/>
      <c r="P17" s="7">
        <f t="shared" si="0"/>
        <v>-610982.663225852</v>
      </c>
      <c r="Q17" s="7">
        <f t="shared" si="1"/>
        <v>29643253</v>
      </c>
      <c r="R17" s="7">
        <v>30254235.663225852</v>
      </c>
      <c r="S17" s="7"/>
      <c r="T17" s="7">
        <v>311817</v>
      </c>
      <c r="U17" s="7">
        <f t="shared" si="2"/>
        <v>0.33677414804697037</v>
      </c>
      <c r="V17" s="7">
        <f t="shared" si="3"/>
        <v>30566053</v>
      </c>
      <c r="W17" s="7">
        <v>31972855</v>
      </c>
      <c r="X17" s="7"/>
      <c r="Y17" s="7"/>
      <c r="Z17" s="7">
        <f t="shared" si="4"/>
        <v>31972855</v>
      </c>
      <c r="AA17" s="8">
        <f t="shared" si="5"/>
        <v>121353101</v>
      </c>
      <c r="AB17" s="357">
        <f>+'[4]PPC ENE-MAR-11'!$G$51</f>
        <v>29170940</v>
      </c>
      <c r="AC17" s="357">
        <f>+'[4]PPC ABR-JUN-11'!$G$57</f>
        <v>29643253</v>
      </c>
      <c r="AD17" s="357">
        <f>+'[4]PPC JUL-SEP-11'!$G$50</f>
        <v>30566053</v>
      </c>
      <c r="AE17" s="357">
        <f>+'[4]PPC OCT-DIC-11'!$G$56</f>
        <v>30115908</v>
      </c>
      <c r="AF17" s="357">
        <f t="shared" si="12"/>
        <v>119496154</v>
      </c>
      <c r="AG17" s="12">
        <f t="shared" si="6"/>
        <v>0</v>
      </c>
      <c r="AH17" s="12">
        <f t="shared" si="7"/>
        <v>0</v>
      </c>
      <c r="AI17" s="12">
        <f t="shared" si="8"/>
        <v>0</v>
      </c>
      <c r="AJ17" s="12">
        <f t="shared" si="13"/>
        <v>1856947</v>
      </c>
      <c r="AK17" s="7">
        <f t="shared" si="14"/>
        <v>121353101</v>
      </c>
      <c r="AL17" s="7">
        <f t="shared" si="9"/>
        <v>0</v>
      </c>
      <c r="AM17" s="7">
        <f t="shared" si="15"/>
        <v>1856947</v>
      </c>
      <c r="AN17" s="130">
        <f aca="true" t="shared" si="17" ref="AN17:AN22">+AF17/I17</f>
        <v>0.9846979847676081</v>
      </c>
      <c r="AO17" s="130">
        <f>+AB17/M17</f>
        <v>1</v>
      </c>
      <c r="AP17" s="130">
        <f>+AC17/Q17</f>
        <v>1</v>
      </c>
      <c r="AQ17" s="130">
        <f>+AD17/V17</f>
        <v>1</v>
      </c>
      <c r="AR17" s="169">
        <f t="shared" si="16"/>
        <v>0.9419211390412273</v>
      </c>
    </row>
    <row r="18" spans="1:44" ht="15">
      <c r="A18" s="52" t="s">
        <v>31</v>
      </c>
      <c r="B18" s="102">
        <v>22651866</v>
      </c>
      <c r="C18" s="7"/>
      <c r="D18" s="7"/>
      <c r="E18" s="7"/>
      <c r="F18" s="7"/>
      <c r="G18" s="7"/>
      <c r="H18" s="7"/>
      <c r="I18" s="8">
        <f t="shared" si="10"/>
        <v>22651866</v>
      </c>
      <c r="J18" s="7">
        <v>5632994</v>
      </c>
      <c r="K18" s="7"/>
      <c r="L18" s="7">
        <v>-164594</v>
      </c>
      <c r="M18" s="7">
        <f t="shared" si="11"/>
        <v>5468400</v>
      </c>
      <c r="N18" s="7">
        <v>5647279.690704</v>
      </c>
      <c r="O18" s="8"/>
      <c r="P18" s="7">
        <f t="shared" si="0"/>
        <v>-128979.69070400018</v>
      </c>
      <c r="Q18" s="7">
        <f t="shared" si="1"/>
        <v>5518300</v>
      </c>
      <c r="R18" s="7">
        <v>5647279.690704</v>
      </c>
      <c r="S18" s="7"/>
      <c r="T18" s="7">
        <v>57420</v>
      </c>
      <c r="U18" s="7">
        <f t="shared" si="2"/>
        <v>0.3092959998175502</v>
      </c>
      <c r="V18" s="7">
        <f t="shared" si="3"/>
        <v>5704700</v>
      </c>
      <c r="W18" s="7">
        <v>5960466</v>
      </c>
      <c r="X18" s="7"/>
      <c r="Y18" s="7"/>
      <c r="Z18" s="7">
        <f t="shared" si="4"/>
        <v>5960466</v>
      </c>
      <c r="AA18" s="8">
        <f t="shared" si="5"/>
        <v>22651866</v>
      </c>
      <c r="AB18" s="357">
        <f>+'[4]PPC ENE-MAR-11'!$G$58</f>
        <v>5468400</v>
      </c>
      <c r="AC18" s="357">
        <f>+'[4]PPC ABR-JUN-11'!$G$66</f>
        <v>5518300</v>
      </c>
      <c r="AD18" s="357">
        <f>+'[4]PPC JUL-SEP-11'!$G$57</f>
        <v>5704700</v>
      </c>
      <c r="AE18" s="357">
        <f>+'[4]PPC OCT-DIC-11'!$G$65</f>
        <v>5646600</v>
      </c>
      <c r="AF18" s="357">
        <f t="shared" si="12"/>
        <v>22338000</v>
      </c>
      <c r="AG18" s="12">
        <f t="shared" si="6"/>
        <v>0</v>
      </c>
      <c r="AH18" s="12">
        <f t="shared" si="7"/>
        <v>0</v>
      </c>
      <c r="AI18" s="12">
        <f t="shared" si="8"/>
        <v>0</v>
      </c>
      <c r="AJ18" s="12">
        <f t="shared" si="13"/>
        <v>313866</v>
      </c>
      <c r="AK18" s="7">
        <f t="shared" si="14"/>
        <v>22651866</v>
      </c>
      <c r="AL18" s="7">
        <f t="shared" si="9"/>
        <v>0</v>
      </c>
      <c r="AM18" s="7">
        <f t="shared" si="15"/>
        <v>313866</v>
      </c>
      <c r="AN18" s="130">
        <f t="shared" si="17"/>
        <v>0.9861439229774712</v>
      </c>
      <c r="AO18" s="130">
        <f>+AB18/M18</f>
        <v>1</v>
      </c>
      <c r="AP18" s="130">
        <f>+AC18/Q18</f>
        <v>1</v>
      </c>
      <c r="AQ18" s="130">
        <f>+AD18/V18</f>
        <v>1</v>
      </c>
      <c r="AR18" s="169">
        <f t="shared" si="16"/>
        <v>0.9473420366796824</v>
      </c>
    </row>
    <row r="19" spans="1:44" ht="15">
      <c r="A19" s="52" t="s">
        <v>32</v>
      </c>
      <c r="B19" s="102">
        <v>28314833</v>
      </c>
      <c r="C19" s="7"/>
      <c r="D19" s="7"/>
      <c r="E19" s="7"/>
      <c r="F19" s="7"/>
      <c r="G19" s="7"/>
      <c r="H19" s="7"/>
      <c r="I19" s="8">
        <f t="shared" si="10"/>
        <v>28314833</v>
      </c>
      <c r="J19" s="7">
        <v>7041243</v>
      </c>
      <c r="K19" s="7"/>
      <c r="L19" s="7">
        <v>-204343</v>
      </c>
      <c r="M19" s="7">
        <f t="shared" si="11"/>
        <v>6836900</v>
      </c>
      <c r="N19" s="7">
        <v>7059099.613380001</v>
      </c>
      <c r="O19" s="8"/>
      <c r="P19" s="7">
        <f t="shared" si="0"/>
        <v>-159599.61338000093</v>
      </c>
      <c r="Q19" s="7">
        <f t="shared" si="1"/>
        <v>6899500</v>
      </c>
      <c r="R19" s="7">
        <v>7059099.613380001</v>
      </c>
      <c r="S19" s="7"/>
      <c r="T19" s="7">
        <v>73400</v>
      </c>
      <c r="U19" s="7">
        <f t="shared" si="2"/>
        <v>0.3866199990734458</v>
      </c>
      <c r="V19" s="7">
        <f t="shared" si="3"/>
        <v>7132500</v>
      </c>
      <c r="W19" s="7">
        <v>7445933</v>
      </c>
      <c r="X19" s="7"/>
      <c r="Y19" s="7"/>
      <c r="Z19" s="7">
        <f t="shared" si="4"/>
        <v>7445933</v>
      </c>
      <c r="AA19" s="8">
        <f t="shared" si="5"/>
        <v>28314833</v>
      </c>
      <c r="AB19" s="357">
        <f>+'[4]PPC ENE-MAR-11'!$G$65</f>
        <v>6836900</v>
      </c>
      <c r="AC19" s="357">
        <f>+'[4]PPC ABR-JUN-11'!$G$74</f>
        <v>6899500</v>
      </c>
      <c r="AD19" s="357">
        <f>+'[4]PPC JUL-SEP-11'!$G$64</f>
        <v>7132500</v>
      </c>
      <c r="AE19" s="357">
        <f>+'[4]PPC OCT-DIC-11'!$G$74</f>
        <v>7059900</v>
      </c>
      <c r="AF19" s="357">
        <f t="shared" si="12"/>
        <v>27928800</v>
      </c>
      <c r="AG19" s="12">
        <f t="shared" si="6"/>
        <v>0</v>
      </c>
      <c r="AH19" s="12">
        <f t="shared" si="7"/>
        <v>0</v>
      </c>
      <c r="AI19" s="12">
        <f t="shared" si="8"/>
        <v>0</v>
      </c>
      <c r="AJ19" s="12">
        <f t="shared" si="13"/>
        <v>386033</v>
      </c>
      <c r="AK19" s="7">
        <f t="shared" si="14"/>
        <v>28314833</v>
      </c>
      <c r="AL19" s="7">
        <f t="shared" si="9"/>
        <v>0</v>
      </c>
      <c r="AM19" s="7">
        <f t="shared" si="15"/>
        <v>386033</v>
      </c>
      <c r="AN19" s="130">
        <f t="shared" si="17"/>
        <v>0.9863664037856059</v>
      </c>
      <c r="AO19" s="130">
        <f>+AB19/M19</f>
        <v>1</v>
      </c>
      <c r="AP19" s="130">
        <f>+AC19/Q19</f>
        <v>1</v>
      </c>
      <c r="AQ19" s="130">
        <f>+AD19/V19</f>
        <v>1</v>
      </c>
      <c r="AR19" s="169">
        <f t="shared" si="16"/>
        <v>0.9481551875366055</v>
      </c>
    </row>
    <row r="20" spans="1:44" ht="15">
      <c r="A20" s="205" t="s">
        <v>33</v>
      </c>
      <c r="B20" s="102">
        <v>900000</v>
      </c>
      <c r="C20" s="7"/>
      <c r="D20" s="7"/>
      <c r="E20" s="7"/>
      <c r="F20" s="7"/>
      <c r="G20" s="7"/>
      <c r="H20" s="7"/>
      <c r="I20" s="8">
        <f t="shared" si="10"/>
        <v>900000</v>
      </c>
      <c r="J20" s="7">
        <v>0</v>
      </c>
      <c r="K20" s="7"/>
      <c r="L20" s="7">
        <v>0</v>
      </c>
      <c r="M20" s="7">
        <f t="shared" si="11"/>
        <v>0</v>
      </c>
      <c r="N20" s="7">
        <v>900000</v>
      </c>
      <c r="O20" s="13"/>
      <c r="P20" s="7">
        <f t="shared" si="0"/>
        <v>-3900</v>
      </c>
      <c r="Q20" s="7">
        <f t="shared" si="1"/>
        <v>896100</v>
      </c>
      <c r="R20" s="7"/>
      <c r="S20" s="7"/>
      <c r="T20" s="7"/>
      <c r="U20" s="7">
        <f t="shared" si="2"/>
        <v>0</v>
      </c>
      <c r="V20" s="7">
        <v>0</v>
      </c>
      <c r="W20" s="7"/>
      <c r="X20" s="7"/>
      <c r="Y20" s="7"/>
      <c r="Z20" s="7">
        <f t="shared" si="4"/>
        <v>0</v>
      </c>
      <c r="AA20" s="8">
        <f t="shared" si="5"/>
        <v>896100</v>
      </c>
      <c r="AB20" s="357">
        <f>+'[4]PPC ENE-MAR-11'!$G$72</f>
        <v>0</v>
      </c>
      <c r="AC20" s="357">
        <f>+'[4]PPC ABR-JUN-11'!$G$82</f>
        <v>896100</v>
      </c>
      <c r="AD20" s="357">
        <f>+'[4]PPC JUL-SEP-11'!$G$71</f>
        <v>0</v>
      </c>
      <c r="AE20" s="357">
        <f>+'[4]PPC OCT-DIC-11'!$G$82</f>
        <v>0</v>
      </c>
      <c r="AF20" s="357">
        <f t="shared" si="12"/>
        <v>896100</v>
      </c>
      <c r="AG20" s="12">
        <f t="shared" si="6"/>
        <v>0</v>
      </c>
      <c r="AH20" s="12">
        <f t="shared" si="7"/>
        <v>0</v>
      </c>
      <c r="AI20" s="12">
        <f t="shared" si="8"/>
        <v>0</v>
      </c>
      <c r="AJ20" s="12">
        <f t="shared" si="13"/>
        <v>0</v>
      </c>
      <c r="AK20" s="7">
        <f t="shared" si="14"/>
        <v>896100</v>
      </c>
      <c r="AL20" s="7">
        <f t="shared" si="9"/>
        <v>3900</v>
      </c>
      <c r="AM20" s="7">
        <f t="shared" si="15"/>
        <v>0</v>
      </c>
      <c r="AN20" s="130">
        <f t="shared" si="17"/>
        <v>0.9956666666666667</v>
      </c>
      <c r="AO20" s="130">
        <v>0</v>
      </c>
      <c r="AP20" s="130">
        <v>0</v>
      </c>
      <c r="AQ20" s="130">
        <v>0</v>
      </c>
      <c r="AR20" s="169">
        <v>0</v>
      </c>
    </row>
    <row r="21" spans="1:44" ht="15.75" thickBot="1">
      <c r="A21" s="206" t="s">
        <v>34</v>
      </c>
      <c r="B21" s="102">
        <v>0</v>
      </c>
      <c r="C21" s="7"/>
      <c r="D21" s="7"/>
      <c r="E21" s="7"/>
      <c r="F21" s="7"/>
      <c r="G21" s="7"/>
      <c r="H21" s="7"/>
      <c r="I21" s="8">
        <f t="shared" si="10"/>
        <v>0</v>
      </c>
      <c r="J21" s="7">
        <v>0</v>
      </c>
      <c r="K21" s="7"/>
      <c r="L21" s="7">
        <v>0</v>
      </c>
      <c r="M21" s="7">
        <f t="shared" si="11"/>
        <v>0</v>
      </c>
      <c r="N21" s="7"/>
      <c r="O21" s="13"/>
      <c r="P21" s="7"/>
      <c r="Q21" s="7">
        <f t="shared" si="1"/>
        <v>0</v>
      </c>
      <c r="R21" s="7"/>
      <c r="S21" s="7"/>
      <c r="T21" s="7"/>
      <c r="U21" s="7"/>
      <c r="V21" s="7">
        <f t="shared" si="3"/>
        <v>0</v>
      </c>
      <c r="W21" s="7"/>
      <c r="X21" s="7"/>
      <c r="Y21" s="7"/>
      <c r="Z21" s="7">
        <f t="shared" si="4"/>
        <v>0</v>
      </c>
      <c r="AA21" s="8">
        <f t="shared" si="5"/>
        <v>0</v>
      </c>
      <c r="AB21" s="357">
        <f>+'[4]PPC ENE-MAR-11'!$G$78</f>
        <v>0</v>
      </c>
      <c r="AC21" s="357">
        <f>+'[4]PPC ABR-JUN-11'!$G$88</f>
        <v>0</v>
      </c>
      <c r="AD21" s="357">
        <f>+'[4]PPC JUL-SEP-11'!$G$75</f>
        <v>0</v>
      </c>
      <c r="AE21" s="357">
        <f>+'[4]PPC OCT-DIC-11'!$G$88</f>
        <v>0</v>
      </c>
      <c r="AF21" s="357">
        <f t="shared" si="12"/>
        <v>0</v>
      </c>
      <c r="AG21" s="12">
        <f t="shared" si="6"/>
        <v>0</v>
      </c>
      <c r="AH21" s="12">
        <f t="shared" si="7"/>
        <v>0</v>
      </c>
      <c r="AI21" s="12">
        <f t="shared" si="8"/>
        <v>0</v>
      </c>
      <c r="AJ21" s="12">
        <f t="shared" si="13"/>
        <v>0</v>
      </c>
      <c r="AK21" s="7">
        <f t="shared" si="14"/>
        <v>0</v>
      </c>
      <c r="AL21" s="7">
        <f t="shared" si="9"/>
        <v>0</v>
      </c>
      <c r="AM21" s="7">
        <f t="shared" si="15"/>
        <v>0</v>
      </c>
      <c r="AN21" s="132">
        <v>0</v>
      </c>
      <c r="AO21" s="132">
        <v>0</v>
      </c>
      <c r="AP21" s="132">
        <v>0</v>
      </c>
      <c r="AQ21" s="132">
        <v>0</v>
      </c>
      <c r="AR21" s="174">
        <v>0</v>
      </c>
    </row>
    <row r="22" spans="1:44" ht="17.25" thickBot="1">
      <c r="A22" s="50" t="s">
        <v>35</v>
      </c>
      <c r="B22" s="122">
        <f>SUM(B11:B21)</f>
        <v>881458586</v>
      </c>
      <c r="C22" s="122">
        <f aca="true" t="shared" si="18" ref="C22:AM22">SUM(C11:C21)</f>
        <v>0</v>
      </c>
      <c r="D22" s="122">
        <f aca="true" t="shared" si="19" ref="D22:I22">SUM(D11:D21)</f>
        <v>0</v>
      </c>
      <c r="E22" s="122">
        <f t="shared" si="19"/>
        <v>0</v>
      </c>
      <c r="F22" s="122">
        <f t="shared" si="19"/>
        <v>0</v>
      </c>
      <c r="G22" s="122">
        <f t="shared" si="19"/>
        <v>0</v>
      </c>
      <c r="H22" s="122">
        <f t="shared" si="19"/>
        <v>0</v>
      </c>
      <c r="I22" s="122">
        <f t="shared" si="19"/>
        <v>881458586</v>
      </c>
      <c r="J22" s="122">
        <f t="shared" si="18"/>
        <v>219103590</v>
      </c>
      <c r="K22" s="122"/>
      <c r="L22" s="122">
        <f>SUM(L11:L21)</f>
        <v>-22752738</v>
      </c>
      <c r="M22" s="122">
        <f t="shared" si="18"/>
        <v>196350852</v>
      </c>
      <c r="N22" s="122">
        <f t="shared" si="18"/>
        <v>220481223.3328779</v>
      </c>
      <c r="O22" s="122">
        <f>SUM(O11:O21)</f>
        <v>0</v>
      </c>
      <c r="P22" s="122">
        <f t="shared" si="18"/>
        <v>-2957014.332877894</v>
      </c>
      <c r="Q22" s="122">
        <f t="shared" si="18"/>
        <v>217524209</v>
      </c>
      <c r="R22" s="122">
        <f t="shared" si="18"/>
        <v>219581223.3328779</v>
      </c>
      <c r="S22" s="122">
        <f>SUM(S11:S21)</f>
        <v>0</v>
      </c>
      <c r="T22" s="122">
        <f>SUM(T11:T21)</f>
        <v>2164974</v>
      </c>
      <c r="U22" s="122">
        <f>SUM(U11:U21)</f>
        <v>-55349.3328778937</v>
      </c>
      <c r="V22" s="122">
        <f t="shared" si="18"/>
        <v>221690848</v>
      </c>
      <c r="W22" s="122">
        <f t="shared" si="18"/>
        <v>245888777</v>
      </c>
      <c r="X22" s="122">
        <f>SUM(X11:X21)</f>
        <v>0</v>
      </c>
      <c r="Y22" s="122">
        <f>SUM(Y11:Y21)</f>
        <v>0</v>
      </c>
      <c r="Z22" s="122">
        <f t="shared" si="18"/>
        <v>245888777</v>
      </c>
      <c r="AA22" s="407">
        <f t="shared" si="18"/>
        <v>881454686</v>
      </c>
      <c r="AB22" s="411">
        <f t="shared" si="18"/>
        <v>196350852</v>
      </c>
      <c r="AC22" s="122">
        <f t="shared" si="18"/>
        <v>217524209</v>
      </c>
      <c r="AD22" s="122">
        <f t="shared" si="18"/>
        <v>221690848</v>
      </c>
      <c r="AE22" s="122">
        <f>SUM(AE11:AE21)</f>
        <v>211530996</v>
      </c>
      <c r="AF22" s="122">
        <f t="shared" si="18"/>
        <v>847096905</v>
      </c>
      <c r="AG22" s="122">
        <f t="shared" si="18"/>
        <v>0</v>
      </c>
      <c r="AH22" s="122">
        <f t="shared" si="18"/>
        <v>0</v>
      </c>
      <c r="AI22" s="122">
        <f t="shared" si="18"/>
        <v>0</v>
      </c>
      <c r="AJ22" s="122">
        <f>SUM(AJ11:AJ21)</f>
        <v>34357781</v>
      </c>
      <c r="AK22" s="122">
        <f t="shared" si="18"/>
        <v>881454686</v>
      </c>
      <c r="AL22" s="122">
        <f t="shared" si="18"/>
        <v>3900</v>
      </c>
      <c r="AM22" s="122">
        <f t="shared" si="18"/>
        <v>34357781</v>
      </c>
      <c r="AN22" s="148">
        <f t="shared" si="17"/>
        <v>0.9610172485176746</v>
      </c>
      <c r="AO22" s="148">
        <f>+AB22/M22</f>
        <v>1</v>
      </c>
      <c r="AP22" s="148">
        <f>+AC22/Q22</f>
        <v>1</v>
      </c>
      <c r="AQ22" s="148">
        <f>+AD22/V22</f>
        <v>1</v>
      </c>
      <c r="AR22" s="148">
        <f>+AE22/Z22</f>
        <v>0.8602710484830302</v>
      </c>
    </row>
    <row r="23" spans="1:44" ht="15">
      <c r="A23" s="168"/>
      <c r="B23" s="102"/>
      <c r="C23" s="102"/>
      <c r="D23" s="102"/>
      <c r="E23" s="102"/>
      <c r="F23" s="102"/>
      <c r="G23" s="102"/>
      <c r="H23" s="102"/>
      <c r="I23" s="8"/>
      <c r="J23" s="7"/>
      <c r="K23" s="7"/>
      <c r="L23" s="7"/>
      <c r="M23" s="7"/>
      <c r="N23" s="7"/>
      <c r="O23" s="31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8"/>
      <c r="AB23" s="357"/>
      <c r="AC23" s="357"/>
      <c r="AD23" s="357"/>
      <c r="AE23" s="357"/>
      <c r="AF23" s="357"/>
      <c r="AG23" s="12"/>
      <c r="AH23" s="12"/>
      <c r="AI23" s="12"/>
      <c r="AJ23" s="12">
        <v>0</v>
      </c>
      <c r="AK23" s="7"/>
      <c r="AL23" s="141"/>
      <c r="AM23" s="7"/>
      <c r="AN23" s="130"/>
      <c r="AO23" s="130"/>
      <c r="AP23" s="130"/>
      <c r="AQ23" s="130"/>
      <c r="AR23" s="169"/>
    </row>
    <row r="24" spans="1:83" s="61" customFormat="1" ht="16.5">
      <c r="A24" s="185" t="s">
        <v>36</v>
      </c>
      <c r="B24" s="109"/>
      <c r="C24" s="109"/>
      <c r="D24" s="109"/>
      <c r="E24" s="109"/>
      <c r="F24" s="109"/>
      <c r="G24" s="109"/>
      <c r="H24" s="109"/>
      <c r="I24" s="45"/>
      <c r="J24" s="36"/>
      <c r="K24" s="36"/>
      <c r="L24" s="36"/>
      <c r="M24" s="36"/>
      <c r="N24" s="36"/>
      <c r="O24" s="25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45"/>
      <c r="AB24" s="373"/>
      <c r="AC24" s="373"/>
      <c r="AD24" s="373"/>
      <c r="AE24" s="373"/>
      <c r="AF24" s="373"/>
      <c r="AG24" s="19"/>
      <c r="AH24" s="19"/>
      <c r="AI24" s="19"/>
      <c r="AJ24" s="19">
        <v>0</v>
      </c>
      <c r="AK24" s="36"/>
      <c r="AL24" s="142"/>
      <c r="AM24" s="36"/>
      <c r="AN24" s="133"/>
      <c r="AO24" s="133"/>
      <c r="AP24" s="133"/>
      <c r="AQ24" s="133"/>
      <c r="AR24" s="176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44" ht="15">
      <c r="A25" s="170" t="s">
        <v>105</v>
      </c>
      <c r="B25" s="102">
        <v>12000000</v>
      </c>
      <c r="C25" s="102"/>
      <c r="D25" s="102"/>
      <c r="E25" s="102"/>
      <c r="F25" s="102"/>
      <c r="G25" s="102"/>
      <c r="H25" s="102"/>
      <c r="I25" s="8">
        <f>SUM(B25:E25)</f>
        <v>12000000</v>
      </c>
      <c r="J25" s="7">
        <v>6000000</v>
      </c>
      <c r="K25" s="7"/>
      <c r="L25" s="7">
        <v>-1284831</v>
      </c>
      <c r="M25" s="7">
        <f>SUM(J25:L25)</f>
        <v>4715169</v>
      </c>
      <c r="N25" s="7">
        <v>6000000</v>
      </c>
      <c r="O25" s="23">
        <v>-2270515</v>
      </c>
      <c r="P25" s="7">
        <f aca="true" t="shared" si="20" ref="P25:P35">+AC25-N25-O25</f>
        <v>0</v>
      </c>
      <c r="Q25" s="7">
        <f aca="true" t="shared" si="21" ref="Q25:Q35">+SUM(N25:P25)</f>
        <v>3729485</v>
      </c>
      <c r="R25" s="7">
        <v>1284831</v>
      </c>
      <c r="S25" s="7"/>
      <c r="T25" s="7"/>
      <c r="U25" s="7">
        <f aca="true" t="shared" si="22" ref="U25:U35">-R25-S25-T25+AD25</f>
        <v>-1284831</v>
      </c>
      <c r="V25" s="7">
        <f aca="true" t="shared" si="23" ref="V25:V35">+SUM(R25:U25)</f>
        <v>0</v>
      </c>
      <c r="W25" s="7">
        <v>3555346</v>
      </c>
      <c r="X25" s="7"/>
      <c r="Y25" s="7"/>
      <c r="Z25" s="7">
        <f aca="true" t="shared" si="24" ref="Z25:Z36">+SUM(W25:Y25)</f>
        <v>3555346</v>
      </c>
      <c r="AA25" s="8">
        <f aca="true" t="shared" si="25" ref="AA25:AA35">+M25+Q25+V25+Z25</f>
        <v>12000000</v>
      </c>
      <c r="AB25" s="357">
        <f>+'[4]PPC ENE-MAR-11'!$G$84</f>
        <v>4715169</v>
      </c>
      <c r="AC25" s="357">
        <f>+'[4]PPC ABR-JUN-11'!$G$97</f>
        <v>3729485</v>
      </c>
      <c r="AD25" s="357">
        <f>+'[4]PPC JUL-SEP-11'!$G$80</f>
        <v>0</v>
      </c>
      <c r="AE25" s="357">
        <f>+'[4]PPC OCT-DIC-11'!$G$97</f>
        <v>2878284</v>
      </c>
      <c r="AF25" s="357">
        <f>SUM(AB25:AE25)</f>
        <v>11322938</v>
      </c>
      <c r="AG25" s="12">
        <f aca="true" t="shared" si="26" ref="AG25:AG35">+M25-AB25</f>
        <v>0</v>
      </c>
      <c r="AH25" s="12">
        <f aca="true" t="shared" si="27" ref="AH25:AH35">+Q25-AC25</f>
        <v>0</v>
      </c>
      <c r="AI25" s="12">
        <f aca="true" t="shared" si="28" ref="AI25:AI35">+V25-AD25</f>
        <v>0</v>
      </c>
      <c r="AJ25" s="12">
        <f aca="true" t="shared" si="29" ref="AJ25:AJ35">+Z25-AE25</f>
        <v>677062</v>
      </c>
      <c r="AK25" s="7">
        <f aca="true" t="shared" si="30" ref="AK25:AK35">+AA25</f>
        <v>12000000</v>
      </c>
      <c r="AL25" s="141">
        <f aca="true" t="shared" si="31" ref="AL25:AL35">+I25-AK25</f>
        <v>0</v>
      </c>
      <c r="AM25" s="7">
        <f aca="true" t="shared" si="32" ref="AM25:AM35">+AK25-AF25</f>
        <v>677062</v>
      </c>
      <c r="AN25" s="130">
        <v>0</v>
      </c>
      <c r="AO25" s="130">
        <v>0</v>
      </c>
      <c r="AP25" s="130">
        <v>0</v>
      </c>
      <c r="AQ25" s="130">
        <v>0</v>
      </c>
      <c r="AR25" s="169">
        <f aca="true" t="shared" si="33" ref="AR25:AR35">+AE25/Z25</f>
        <v>0.8095650887424177</v>
      </c>
    </row>
    <row r="26" spans="1:44" ht="16.5">
      <c r="A26" s="170" t="s">
        <v>39</v>
      </c>
      <c r="B26" s="102">
        <v>4968000</v>
      </c>
      <c r="C26" s="102"/>
      <c r="D26" s="102"/>
      <c r="E26" s="102"/>
      <c r="F26" s="102"/>
      <c r="G26" s="102"/>
      <c r="H26" s="102"/>
      <c r="I26" s="8">
        <f>SUM(B26:H26)</f>
        <v>4968000</v>
      </c>
      <c r="J26" s="7">
        <v>1242000</v>
      </c>
      <c r="K26" s="7"/>
      <c r="L26" s="7">
        <v>-36854</v>
      </c>
      <c r="M26" s="7">
        <f aca="true" t="shared" si="34" ref="M26:M35">SUM(J26:L26)</f>
        <v>1205146</v>
      </c>
      <c r="N26" s="235">
        <v>1242000</v>
      </c>
      <c r="O26" s="20"/>
      <c r="P26" s="7">
        <f t="shared" si="20"/>
        <v>-849</v>
      </c>
      <c r="Q26" s="7">
        <f t="shared" si="21"/>
        <v>1241151</v>
      </c>
      <c r="R26" s="7">
        <v>1242000</v>
      </c>
      <c r="S26" s="7"/>
      <c r="T26" s="7"/>
      <c r="U26" s="7">
        <f t="shared" si="22"/>
        <v>-16672.199999999953</v>
      </c>
      <c r="V26" s="7">
        <f t="shared" si="23"/>
        <v>1225327.8</v>
      </c>
      <c r="W26" s="7">
        <v>1279703</v>
      </c>
      <c r="X26" s="7"/>
      <c r="Y26" s="7"/>
      <c r="Z26" s="7">
        <f t="shared" si="24"/>
        <v>1279703</v>
      </c>
      <c r="AA26" s="8">
        <f t="shared" si="25"/>
        <v>4951327.8</v>
      </c>
      <c r="AB26" s="357">
        <f>+'[4]PPC ENE-MAR-11'!$G$92</f>
        <v>1205146</v>
      </c>
      <c r="AC26" s="357">
        <f>+'[4]PPC ABR-JUN-11'!$G$107</f>
        <v>1241151</v>
      </c>
      <c r="AD26" s="357">
        <f>+'[4]PPC JUL-SEP-11'!$G$84</f>
        <v>1225327.8</v>
      </c>
      <c r="AE26" s="357">
        <f>+'[4]PPC OCT-DIC-11'!$G$107</f>
        <v>1265886</v>
      </c>
      <c r="AF26" s="357">
        <f aca="true" t="shared" si="35" ref="AF26:AF35">SUM(AB26:AE26)</f>
        <v>4937510.8</v>
      </c>
      <c r="AG26" s="12">
        <f t="shared" si="26"/>
        <v>0</v>
      </c>
      <c r="AH26" s="12">
        <f t="shared" si="27"/>
        <v>0</v>
      </c>
      <c r="AI26" s="12">
        <f t="shared" si="28"/>
        <v>0</v>
      </c>
      <c r="AJ26" s="12">
        <f t="shared" si="29"/>
        <v>13817</v>
      </c>
      <c r="AK26" s="7">
        <f t="shared" si="30"/>
        <v>4951327.8</v>
      </c>
      <c r="AL26" s="141">
        <f t="shared" si="31"/>
        <v>16672.200000000186</v>
      </c>
      <c r="AM26" s="7">
        <f t="shared" si="32"/>
        <v>13817</v>
      </c>
      <c r="AN26" s="130">
        <f aca="true" t="shared" si="36" ref="AN26:AN35">+AF26/I26</f>
        <v>0.993862882447665</v>
      </c>
      <c r="AO26" s="130">
        <f aca="true" t="shared" si="37" ref="AO26:AO35">+AB26/M26</f>
        <v>1</v>
      </c>
      <c r="AP26" s="130">
        <f aca="true" t="shared" si="38" ref="AP26:AP35">+AC26/Q26</f>
        <v>1</v>
      </c>
      <c r="AQ26" s="130">
        <f aca="true" t="shared" si="39" ref="AQ26:AQ35">+AD26/V26</f>
        <v>1</v>
      </c>
      <c r="AR26" s="169">
        <f t="shared" si="33"/>
        <v>0.9892029635001246</v>
      </c>
    </row>
    <row r="27" spans="1:44" ht="16.5">
      <c r="A27" s="170" t="s">
        <v>40</v>
      </c>
      <c r="B27" s="102">
        <v>6190200</v>
      </c>
      <c r="C27" s="102"/>
      <c r="D27" s="102"/>
      <c r="E27" s="102"/>
      <c r="F27" s="102"/>
      <c r="G27" s="102"/>
      <c r="H27" s="102"/>
      <c r="I27" s="8">
        <f aca="true" t="shared" si="40" ref="I27:I35">SUM(B27:H27)</f>
        <v>6190200</v>
      </c>
      <c r="J27" s="7">
        <v>1545000</v>
      </c>
      <c r="K27" s="7"/>
      <c r="L27" s="7">
        <v>0</v>
      </c>
      <c r="M27" s="7">
        <f t="shared" si="34"/>
        <v>1545000</v>
      </c>
      <c r="N27" s="7">
        <v>1545000</v>
      </c>
      <c r="O27" s="25"/>
      <c r="P27" s="7">
        <f t="shared" si="20"/>
        <v>0</v>
      </c>
      <c r="Q27" s="7">
        <f t="shared" si="21"/>
        <v>1545000</v>
      </c>
      <c r="R27" s="7">
        <v>1545000</v>
      </c>
      <c r="S27" s="7"/>
      <c r="T27" s="7"/>
      <c r="U27" s="7">
        <f t="shared" si="22"/>
        <v>0</v>
      </c>
      <c r="V27" s="7">
        <f t="shared" si="23"/>
        <v>1545000</v>
      </c>
      <c r="W27" s="7">
        <v>1555200</v>
      </c>
      <c r="X27" s="7"/>
      <c r="Y27" s="7"/>
      <c r="Z27" s="7">
        <f t="shared" si="24"/>
        <v>1555200</v>
      </c>
      <c r="AA27" s="8">
        <f t="shared" si="25"/>
        <v>6190200</v>
      </c>
      <c r="AB27" s="357">
        <f>+'[4]PPC ENE-MAR-11'!$G$104</f>
        <v>1545000</v>
      </c>
      <c r="AC27" s="357">
        <f>+'[4]PPC ABR-JUN-11'!$G$122</f>
        <v>1545000</v>
      </c>
      <c r="AD27" s="357">
        <f>+'[4]PPC JUL-SEP-11'!$G$93</f>
        <v>1545000</v>
      </c>
      <c r="AE27" s="357">
        <f>+'[4]PPC OCT-DIC-11'!$G$119</f>
        <v>1545000</v>
      </c>
      <c r="AF27" s="357">
        <f>SUM(AB27:AE27)</f>
        <v>6180000</v>
      </c>
      <c r="AG27" s="12">
        <f t="shared" si="26"/>
        <v>0</v>
      </c>
      <c r="AH27" s="12">
        <f t="shared" si="27"/>
        <v>0</v>
      </c>
      <c r="AI27" s="12">
        <f t="shared" si="28"/>
        <v>0</v>
      </c>
      <c r="AJ27" s="12">
        <f t="shared" si="29"/>
        <v>10200</v>
      </c>
      <c r="AK27" s="7">
        <f t="shared" si="30"/>
        <v>6190200</v>
      </c>
      <c r="AL27" s="141">
        <f t="shared" si="31"/>
        <v>0</v>
      </c>
      <c r="AM27" s="7">
        <f t="shared" si="32"/>
        <v>10200</v>
      </c>
      <c r="AN27" s="130">
        <f t="shared" si="36"/>
        <v>0.9983522341766017</v>
      </c>
      <c r="AO27" s="130">
        <f t="shared" si="37"/>
        <v>1</v>
      </c>
      <c r="AP27" s="130">
        <f t="shared" si="38"/>
        <v>1</v>
      </c>
      <c r="AQ27" s="130">
        <f t="shared" si="39"/>
        <v>1</v>
      </c>
      <c r="AR27" s="169">
        <f t="shared" si="33"/>
        <v>0.9934413580246914</v>
      </c>
    </row>
    <row r="28" spans="1:44" ht="15">
      <c r="A28" s="170" t="s">
        <v>41</v>
      </c>
      <c r="B28" s="102">
        <v>12121068.792900002</v>
      </c>
      <c r="C28" s="102"/>
      <c r="D28" s="102"/>
      <c r="E28" s="102"/>
      <c r="F28" s="102"/>
      <c r="G28" s="102"/>
      <c r="H28" s="102"/>
      <c r="I28" s="8">
        <f t="shared" si="40"/>
        <v>12121068.792900002</v>
      </c>
      <c r="J28" s="7">
        <v>3025274.0275</v>
      </c>
      <c r="K28" s="7"/>
      <c r="L28" s="7">
        <v>-1589752.0274999999</v>
      </c>
      <c r="M28" s="7">
        <f t="shared" si="34"/>
        <v>1435522</v>
      </c>
      <c r="N28" s="7">
        <v>3030267.1982250004</v>
      </c>
      <c r="O28" s="31">
        <v>-1861403</v>
      </c>
      <c r="P28" s="7">
        <f t="shared" si="20"/>
        <v>-0.19822500040754676</v>
      </c>
      <c r="Q28" s="7">
        <f t="shared" si="21"/>
        <v>1168864</v>
      </c>
      <c r="R28" s="7">
        <v>3030267.1982250004</v>
      </c>
      <c r="S28" s="7"/>
      <c r="T28" s="7"/>
      <c r="U28" s="7">
        <f t="shared" si="22"/>
        <v>-1888216.1982250004</v>
      </c>
      <c r="V28" s="7">
        <f t="shared" si="23"/>
        <v>1142051</v>
      </c>
      <c r="W28" s="7">
        <v>8374631.792900002</v>
      </c>
      <c r="X28" s="7"/>
      <c r="Y28" s="7"/>
      <c r="Z28" s="7">
        <f t="shared" si="24"/>
        <v>8374631.792900002</v>
      </c>
      <c r="AA28" s="8">
        <f t="shared" si="25"/>
        <v>12121068.792900002</v>
      </c>
      <c r="AB28" s="357">
        <f>+'[4]PPC ENE-MAR-11'!$G$112</f>
        <v>1435522</v>
      </c>
      <c r="AC28" s="357">
        <f>+'[4]PPC ABR-JUN-11'!$G$130</f>
        <v>1168864</v>
      </c>
      <c r="AD28" s="357">
        <f>+'[4]PPC JUL-SEP-11'!$G$100</f>
        <v>1142051</v>
      </c>
      <c r="AE28" s="357">
        <f>+'[4]PPC OCT-DIC-11'!$G$127</f>
        <v>2018743</v>
      </c>
      <c r="AF28" s="357">
        <f t="shared" si="35"/>
        <v>5765180</v>
      </c>
      <c r="AG28" s="12">
        <f t="shared" si="26"/>
        <v>0</v>
      </c>
      <c r="AH28" s="12">
        <f t="shared" si="27"/>
        <v>0</v>
      </c>
      <c r="AI28" s="12">
        <f t="shared" si="28"/>
        <v>0</v>
      </c>
      <c r="AJ28" s="12">
        <f t="shared" si="29"/>
        <v>6355888.792900002</v>
      </c>
      <c r="AK28" s="7">
        <f t="shared" si="30"/>
        <v>12121068.792900002</v>
      </c>
      <c r="AL28" s="141">
        <f t="shared" si="31"/>
        <v>0</v>
      </c>
      <c r="AM28" s="7">
        <f t="shared" si="32"/>
        <v>6355888.792900002</v>
      </c>
      <c r="AN28" s="130">
        <f t="shared" si="36"/>
        <v>0.47563297416288847</v>
      </c>
      <c r="AO28" s="130">
        <f t="shared" si="37"/>
        <v>1</v>
      </c>
      <c r="AP28" s="130">
        <f t="shared" si="38"/>
        <v>1</v>
      </c>
      <c r="AQ28" s="130">
        <f t="shared" si="39"/>
        <v>1</v>
      </c>
      <c r="AR28" s="169">
        <f t="shared" si="33"/>
        <v>0.24105453826775844</v>
      </c>
    </row>
    <row r="29" spans="1:44" ht="15">
      <c r="A29" s="170" t="s">
        <v>42</v>
      </c>
      <c r="B29" s="102">
        <v>4800000</v>
      </c>
      <c r="C29" s="102"/>
      <c r="D29" s="102"/>
      <c r="E29" s="102"/>
      <c r="F29" s="102"/>
      <c r="G29" s="102"/>
      <c r="H29" s="102"/>
      <c r="I29" s="8">
        <f t="shared" si="40"/>
        <v>4800000</v>
      </c>
      <c r="J29" s="7">
        <v>1200000</v>
      </c>
      <c r="K29" s="7"/>
      <c r="L29" s="7">
        <v>-786747</v>
      </c>
      <c r="M29" s="7">
        <f t="shared" si="34"/>
        <v>413253</v>
      </c>
      <c r="N29" s="7">
        <v>4000000</v>
      </c>
      <c r="O29" s="31">
        <v>-266029</v>
      </c>
      <c r="P29" s="7">
        <f t="shared" si="20"/>
        <v>-173831</v>
      </c>
      <c r="Q29" s="7">
        <f t="shared" si="21"/>
        <v>3560140</v>
      </c>
      <c r="R29" s="7">
        <v>413354</v>
      </c>
      <c r="S29" s="7"/>
      <c r="T29" s="7"/>
      <c r="U29" s="7">
        <f t="shared" si="22"/>
        <v>-101</v>
      </c>
      <c r="V29" s="7">
        <f t="shared" si="23"/>
        <v>413253</v>
      </c>
      <c r="W29" s="7">
        <v>413354</v>
      </c>
      <c r="X29" s="7"/>
      <c r="Y29" s="7"/>
      <c r="Z29" s="7">
        <f t="shared" si="24"/>
        <v>413354</v>
      </c>
      <c r="AA29" s="8">
        <f t="shared" si="25"/>
        <v>4800000</v>
      </c>
      <c r="AB29" s="357">
        <f>+'[4]PPC ENE-MAR-11'!$G$126</f>
        <v>413253</v>
      </c>
      <c r="AC29" s="357">
        <f>+'[4]PPC ABR-JUN-11'!$G$143</f>
        <v>3560140</v>
      </c>
      <c r="AD29" s="357">
        <f>+'[4]PPC JUL-SEP-11'!$G$113</f>
        <v>413253</v>
      </c>
      <c r="AE29" s="357">
        <f>+'[4]PPC OCT-DIC-11'!$G$145</f>
        <v>413253</v>
      </c>
      <c r="AF29" s="357">
        <f t="shared" si="35"/>
        <v>4799899</v>
      </c>
      <c r="AG29" s="12">
        <f t="shared" si="26"/>
        <v>0</v>
      </c>
      <c r="AH29" s="12">
        <f t="shared" si="27"/>
        <v>0</v>
      </c>
      <c r="AI29" s="12">
        <f t="shared" si="28"/>
        <v>0</v>
      </c>
      <c r="AJ29" s="12">
        <f t="shared" si="29"/>
        <v>101</v>
      </c>
      <c r="AK29" s="7">
        <f t="shared" si="30"/>
        <v>4800000</v>
      </c>
      <c r="AL29" s="141">
        <f t="shared" si="31"/>
        <v>0</v>
      </c>
      <c r="AM29" s="7">
        <f t="shared" si="32"/>
        <v>101</v>
      </c>
      <c r="AN29" s="130">
        <f t="shared" si="36"/>
        <v>0.9999789583333333</v>
      </c>
      <c r="AO29" s="130">
        <f t="shared" si="37"/>
        <v>1</v>
      </c>
      <c r="AP29" s="130">
        <f t="shared" si="38"/>
        <v>1</v>
      </c>
      <c r="AQ29" s="130">
        <f t="shared" si="39"/>
        <v>1</v>
      </c>
      <c r="AR29" s="169">
        <f t="shared" si="33"/>
        <v>0.9997556573784214</v>
      </c>
    </row>
    <row r="30" spans="1:44" ht="15">
      <c r="A30" s="170" t="s">
        <v>43</v>
      </c>
      <c r="B30" s="102">
        <v>175176000</v>
      </c>
      <c r="C30" s="102"/>
      <c r="D30" s="102"/>
      <c r="E30" s="102">
        <v>-2000000</v>
      </c>
      <c r="F30" s="102"/>
      <c r="G30" s="102"/>
      <c r="H30" s="102"/>
      <c r="I30" s="8">
        <f t="shared" si="40"/>
        <v>173176000</v>
      </c>
      <c r="J30" s="7">
        <v>40144000</v>
      </c>
      <c r="K30" s="7"/>
      <c r="L30" s="7">
        <v>-8447252</v>
      </c>
      <c r="M30" s="7">
        <f t="shared" si="34"/>
        <v>31696748</v>
      </c>
      <c r="N30" s="7">
        <v>41544000</v>
      </c>
      <c r="O30" s="31"/>
      <c r="P30" s="7">
        <f t="shared" si="20"/>
        <v>-679</v>
      </c>
      <c r="Q30" s="7">
        <f t="shared" si="21"/>
        <v>41543321</v>
      </c>
      <c r="R30" s="7">
        <v>50967626</v>
      </c>
      <c r="S30" s="7"/>
      <c r="T30" s="7">
        <v>-2164974</v>
      </c>
      <c r="U30" s="7">
        <f t="shared" si="22"/>
        <v>-79734</v>
      </c>
      <c r="V30" s="7">
        <f t="shared" si="23"/>
        <v>48722918</v>
      </c>
      <c r="W30" s="7">
        <v>51213013</v>
      </c>
      <c r="X30" s="7"/>
      <c r="Y30" s="7"/>
      <c r="Z30" s="7">
        <f t="shared" si="24"/>
        <v>51213013</v>
      </c>
      <c r="AA30" s="8">
        <f t="shared" si="25"/>
        <v>173176000</v>
      </c>
      <c r="AB30" s="357">
        <f>+'[4]PPC ENE-MAR-11'!$G$134</f>
        <v>31696748</v>
      </c>
      <c r="AC30" s="357">
        <f>+'[4]PPC ABR-JUN-11'!$G$153</f>
        <v>41543321</v>
      </c>
      <c r="AD30" s="357">
        <f>+'[4]PPC JUL-SEP-11'!$G$120</f>
        <v>48722918</v>
      </c>
      <c r="AE30" s="357">
        <f>+'[4]PPC OCT-DIC-11'!$G$155</f>
        <v>33099619</v>
      </c>
      <c r="AF30" s="357">
        <f t="shared" si="35"/>
        <v>155062606</v>
      </c>
      <c r="AG30" s="12">
        <f t="shared" si="26"/>
        <v>0</v>
      </c>
      <c r="AH30" s="12">
        <f t="shared" si="27"/>
        <v>0</v>
      </c>
      <c r="AI30" s="12">
        <f t="shared" si="28"/>
        <v>0</v>
      </c>
      <c r="AJ30" s="12">
        <f t="shared" si="29"/>
        <v>18113394</v>
      </c>
      <c r="AK30" s="7">
        <f t="shared" si="30"/>
        <v>173176000</v>
      </c>
      <c r="AL30" s="141">
        <f t="shared" si="31"/>
        <v>0</v>
      </c>
      <c r="AM30" s="7">
        <f t="shared" si="32"/>
        <v>18113394</v>
      </c>
      <c r="AN30" s="130">
        <f t="shared" si="36"/>
        <v>0.8954047096595371</v>
      </c>
      <c r="AO30" s="130">
        <f t="shared" si="37"/>
        <v>1</v>
      </c>
      <c r="AP30" s="130">
        <f t="shared" si="38"/>
        <v>1</v>
      </c>
      <c r="AQ30" s="130">
        <f t="shared" si="39"/>
        <v>1</v>
      </c>
      <c r="AR30" s="169">
        <f>+AE30/Z30</f>
        <v>0.646312666665404</v>
      </c>
    </row>
    <row r="31" spans="1:44" ht="15">
      <c r="A31" s="168" t="s">
        <v>44</v>
      </c>
      <c r="B31" s="102">
        <v>12000000</v>
      </c>
      <c r="C31" s="102"/>
      <c r="D31" s="102"/>
      <c r="E31" s="102"/>
      <c r="F31" s="102"/>
      <c r="G31" s="102"/>
      <c r="H31" s="102"/>
      <c r="I31" s="8">
        <f t="shared" si="40"/>
        <v>12000000</v>
      </c>
      <c r="J31" s="7">
        <v>3000000</v>
      </c>
      <c r="K31" s="7"/>
      <c r="L31" s="7">
        <v>-29348</v>
      </c>
      <c r="M31" s="7">
        <f t="shared" si="34"/>
        <v>2970652</v>
      </c>
      <c r="N31" s="7">
        <v>3000000</v>
      </c>
      <c r="O31" s="8"/>
      <c r="P31" s="7">
        <f t="shared" si="20"/>
        <v>-8000</v>
      </c>
      <c r="Q31" s="7">
        <f t="shared" si="21"/>
        <v>2992000</v>
      </c>
      <c r="R31" s="7">
        <v>4000000</v>
      </c>
      <c r="S31" s="7"/>
      <c r="T31" s="7"/>
      <c r="U31" s="7">
        <f t="shared" si="22"/>
        <v>-680000</v>
      </c>
      <c r="V31" s="7">
        <f t="shared" si="23"/>
        <v>3320000</v>
      </c>
      <c r="W31" s="7">
        <v>2037348</v>
      </c>
      <c r="X31" s="7"/>
      <c r="Y31" s="7"/>
      <c r="Z31" s="7">
        <f t="shared" si="24"/>
        <v>2037348</v>
      </c>
      <c r="AA31" s="8">
        <f t="shared" si="25"/>
        <v>11320000</v>
      </c>
      <c r="AB31" s="357">
        <f>+'[4]PPC ENE-MAR-11'!$G$172</f>
        <v>2970652</v>
      </c>
      <c r="AC31" s="357">
        <f>+'[4]PPC ABR-JUN-11'!$G$200</f>
        <v>2992000</v>
      </c>
      <c r="AD31" s="357">
        <f>+'[4]PPC JUL-SEP-11'!$G$176</f>
        <v>3320000</v>
      </c>
      <c r="AE31" s="357">
        <f>+'[4]PPC OCT-DIC-11'!$G$177</f>
        <v>2017510</v>
      </c>
      <c r="AF31" s="357">
        <f t="shared" si="35"/>
        <v>11300162</v>
      </c>
      <c r="AG31" s="12">
        <f t="shared" si="26"/>
        <v>0</v>
      </c>
      <c r="AH31" s="12">
        <f t="shared" si="27"/>
        <v>0</v>
      </c>
      <c r="AI31" s="12">
        <f t="shared" si="28"/>
        <v>0</v>
      </c>
      <c r="AJ31" s="12">
        <f t="shared" si="29"/>
        <v>19838</v>
      </c>
      <c r="AK31" s="7">
        <f t="shared" si="30"/>
        <v>11320000</v>
      </c>
      <c r="AL31" s="141">
        <f t="shared" si="31"/>
        <v>680000</v>
      </c>
      <c r="AM31" s="7">
        <f t="shared" si="32"/>
        <v>19838</v>
      </c>
      <c r="AN31" s="130">
        <f t="shared" si="36"/>
        <v>0.9416801666666667</v>
      </c>
      <c r="AO31" s="130">
        <f t="shared" si="37"/>
        <v>1</v>
      </c>
      <c r="AP31" s="130">
        <f t="shared" si="38"/>
        <v>1</v>
      </c>
      <c r="AQ31" s="130">
        <f t="shared" si="39"/>
        <v>1</v>
      </c>
      <c r="AR31" s="169">
        <f>+AE31/Z31</f>
        <v>0.9902628318775192</v>
      </c>
    </row>
    <row r="32" spans="1:44" ht="15">
      <c r="A32" s="168" t="s">
        <v>45</v>
      </c>
      <c r="B32" s="102">
        <v>42000000</v>
      </c>
      <c r="C32" s="102"/>
      <c r="D32" s="102"/>
      <c r="E32" s="102"/>
      <c r="F32" s="102"/>
      <c r="G32" s="102"/>
      <c r="H32" s="102"/>
      <c r="I32" s="8">
        <f t="shared" si="40"/>
        <v>42000000</v>
      </c>
      <c r="J32" s="7">
        <v>13000000</v>
      </c>
      <c r="K32" s="7"/>
      <c r="L32" s="7">
        <v>-502361</v>
      </c>
      <c r="M32" s="7">
        <f t="shared" si="34"/>
        <v>12497639</v>
      </c>
      <c r="N32" s="7">
        <v>10000000</v>
      </c>
      <c r="O32" s="8">
        <v>325839</v>
      </c>
      <c r="P32" s="7">
        <f t="shared" si="20"/>
        <v>0</v>
      </c>
      <c r="Q32" s="7">
        <f t="shared" si="21"/>
        <v>10325839</v>
      </c>
      <c r="R32" s="7">
        <v>10000000</v>
      </c>
      <c r="S32" s="7"/>
      <c r="T32" s="7">
        <v>2245707</v>
      </c>
      <c r="U32" s="7">
        <f t="shared" si="22"/>
        <v>0</v>
      </c>
      <c r="V32" s="7">
        <f t="shared" si="23"/>
        <v>12245707</v>
      </c>
      <c r="W32" s="7">
        <v>6930815</v>
      </c>
      <c r="X32" s="7"/>
      <c r="Y32" s="7"/>
      <c r="Z32" s="7">
        <f t="shared" si="24"/>
        <v>6930815</v>
      </c>
      <c r="AA32" s="8">
        <f t="shared" si="25"/>
        <v>42000000</v>
      </c>
      <c r="AB32" s="357">
        <f>+'[4]PPC ENE-MAR-11'!$G$181</f>
        <v>12497639</v>
      </c>
      <c r="AC32" s="357">
        <f>+'[4]PPC ABR-JUN-11'!$G$211</f>
        <v>10325839</v>
      </c>
      <c r="AD32" s="357">
        <f>+'[4]PPC JUL-SEP-11'!$G$184</f>
        <v>12245707</v>
      </c>
      <c r="AE32" s="357">
        <f>+'[4]PPC OCT-DIC-11'!$G$187</f>
        <v>6930815</v>
      </c>
      <c r="AF32" s="357">
        <f>SUM(AB32:AE32)</f>
        <v>42000000</v>
      </c>
      <c r="AG32" s="12">
        <f t="shared" si="26"/>
        <v>0</v>
      </c>
      <c r="AH32" s="12">
        <f t="shared" si="27"/>
        <v>0</v>
      </c>
      <c r="AI32" s="12">
        <f t="shared" si="28"/>
        <v>0</v>
      </c>
      <c r="AJ32" s="12">
        <f t="shared" si="29"/>
        <v>0</v>
      </c>
      <c r="AK32" s="7">
        <f t="shared" si="30"/>
        <v>42000000</v>
      </c>
      <c r="AL32" s="141">
        <f t="shared" si="31"/>
        <v>0</v>
      </c>
      <c r="AM32" s="7">
        <f t="shared" si="32"/>
        <v>0</v>
      </c>
      <c r="AN32" s="130">
        <f t="shared" si="36"/>
        <v>1</v>
      </c>
      <c r="AO32" s="130">
        <f t="shared" si="37"/>
        <v>1</v>
      </c>
      <c r="AP32" s="130">
        <f t="shared" si="38"/>
        <v>1</v>
      </c>
      <c r="AQ32" s="130">
        <f t="shared" si="39"/>
        <v>1</v>
      </c>
      <c r="AR32" s="169">
        <f t="shared" si="33"/>
        <v>1</v>
      </c>
    </row>
    <row r="33" spans="1:44" ht="16.5">
      <c r="A33" s="168" t="s">
        <v>46</v>
      </c>
      <c r="B33" s="102">
        <v>1560000</v>
      </c>
      <c r="C33" s="102"/>
      <c r="D33" s="102"/>
      <c r="E33" s="102"/>
      <c r="F33" s="102"/>
      <c r="G33" s="102"/>
      <c r="H33" s="102"/>
      <c r="I33" s="8">
        <f t="shared" si="40"/>
        <v>1560000</v>
      </c>
      <c r="J33" s="7">
        <v>390000</v>
      </c>
      <c r="K33" s="7"/>
      <c r="L33" s="7">
        <v>-67400</v>
      </c>
      <c r="M33" s="7">
        <f t="shared" si="34"/>
        <v>322600</v>
      </c>
      <c r="N33" s="7">
        <v>390000</v>
      </c>
      <c r="O33" s="25"/>
      <c r="P33" s="7">
        <f t="shared" si="20"/>
        <v>-48800</v>
      </c>
      <c r="Q33" s="7">
        <f t="shared" si="21"/>
        <v>341200</v>
      </c>
      <c r="R33" s="7">
        <v>400000</v>
      </c>
      <c r="S33" s="7"/>
      <c r="T33" s="7"/>
      <c r="U33" s="7">
        <f t="shared" si="22"/>
        <v>-4000</v>
      </c>
      <c r="V33" s="7">
        <f t="shared" si="23"/>
        <v>396000</v>
      </c>
      <c r="W33" s="7">
        <v>500200</v>
      </c>
      <c r="X33" s="7"/>
      <c r="Y33" s="7"/>
      <c r="Z33" s="7">
        <f t="shared" si="24"/>
        <v>500200</v>
      </c>
      <c r="AA33" s="8">
        <f t="shared" si="25"/>
        <v>1560000</v>
      </c>
      <c r="AB33" s="357">
        <f>+'[4]PPC ENE-MAR-11'!$G$194</f>
        <v>322600</v>
      </c>
      <c r="AC33" s="357">
        <f>+'[4]PPC ABR-JUN-11'!$G$222</f>
        <v>341200</v>
      </c>
      <c r="AD33" s="357">
        <f>+'[4]PPC JUL-SEP-11'!$G$200</f>
        <v>396000</v>
      </c>
      <c r="AE33" s="357">
        <f>+'[4]PPC OCT-DIC-11'!$G$202</f>
        <v>394000</v>
      </c>
      <c r="AF33" s="357">
        <f t="shared" si="35"/>
        <v>1453800</v>
      </c>
      <c r="AG33" s="12">
        <f t="shared" si="26"/>
        <v>0</v>
      </c>
      <c r="AH33" s="12">
        <f t="shared" si="27"/>
        <v>0</v>
      </c>
      <c r="AI33" s="12">
        <f t="shared" si="28"/>
        <v>0</v>
      </c>
      <c r="AJ33" s="12">
        <f t="shared" si="29"/>
        <v>106200</v>
      </c>
      <c r="AK33" s="7">
        <f t="shared" si="30"/>
        <v>1560000</v>
      </c>
      <c r="AL33" s="141">
        <f t="shared" si="31"/>
        <v>0</v>
      </c>
      <c r="AM33" s="7">
        <f t="shared" si="32"/>
        <v>106200</v>
      </c>
      <c r="AN33" s="130">
        <f t="shared" si="36"/>
        <v>0.931923076923077</v>
      </c>
      <c r="AO33" s="130">
        <f t="shared" si="37"/>
        <v>1</v>
      </c>
      <c r="AP33" s="130">
        <f t="shared" si="38"/>
        <v>1</v>
      </c>
      <c r="AQ33" s="130">
        <f t="shared" si="39"/>
        <v>1</v>
      </c>
      <c r="AR33" s="169">
        <f t="shared" si="33"/>
        <v>0.7876849260295882</v>
      </c>
    </row>
    <row r="34" spans="1:44" ht="16.5">
      <c r="A34" s="168" t="s">
        <v>47</v>
      </c>
      <c r="B34" s="102">
        <v>29505410.802360002</v>
      </c>
      <c r="C34" s="102"/>
      <c r="D34" s="102"/>
      <c r="E34" s="102">
        <v>2000000</v>
      </c>
      <c r="F34" s="102"/>
      <c r="G34" s="102">
        <v>7000000</v>
      </c>
      <c r="H34" s="102"/>
      <c r="I34" s="8">
        <f t="shared" si="40"/>
        <v>38505410.80236</v>
      </c>
      <c r="J34" s="7">
        <v>7700000</v>
      </c>
      <c r="K34" s="7"/>
      <c r="L34" s="7">
        <v>-2660000</v>
      </c>
      <c r="M34" s="7">
        <f t="shared" si="34"/>
        <v>5040000</v>
      </c>
      <c r="N34" s="7">
        <v>6000000</v>
      </c>
      <c r="O34" s="25"/>
      <c r="P34" s="7">
        <f t="shared" si="20"/>
        <v>-242287</v>
      </c>
      <c r="Q34" s="7">
        <f t="shared" si="21"/>
        <v>5757713</v>
      </c>
      <c r="R34" s="7">
        <v>13000000</v>
      </c>
      <c r="S34" s="7"/>
      <c r="T34" s="7"/>
      <c r="U34" s="7">
        <f t="shared" si="22"/>
        <v>-497082</v>
      </c>
      <c r="V34" s="7">
        <f t="shared" si="23"/>
        <v>12502918</v>
      </c>
      <c r="W34" s="7">
        <v>8204779.802360002</v>
      </c>
      <c r="X34" s="7">
        <v>7000000</v>
      </c>
      <c r="Y34" s="7"/>
      <c r="Z34" s="7">
        <f t="shared" si="24"/>
        <v>15204779.802360002</v>
      </c>
      <c r="AA34" s="8">
        <f t="shared" si="25"/>
        <v>38505410.80236</v>
      </c>
      <c r="AB34" s="357">
        <f>+'[4]PPC ENE-MAR-11'!$G$208</f>
        <v>5040000</v>
      </c>
      <c r="AC34" s="357">
        <f>+'[4]PPC ABR-JUN-11'!$G$237</f>
        <v>5757713</v>
      </c>
      <c r="AD34" s="357">
        <f>+'[4]PPC JUL-SEP-11'!$G$217</f>
        <v>12502918</v>
      </c>
      <c r="AE34" s="357">
        <f>+'[4]PPC OCT-DIC-11'!$G$223</f>
        <v>12458174</v>
      </c>
      <c r="AF34" s="357">
        <f t="shared" si="35"/>
        <v>35758805</v>
      </c>
      <c r="AG34" s="12">
        <f t="shared" si="26"/>
        <v>0</v>
      </c>
      <c r="AH34" s="12">
        <f t="shared" si="27"/>
        <v>0</v>
      </c>
      <c r="AI34" s="12">
        <f t="shared" si="28"/>
        <v>0</v>
      </c>
      <c r="AJ34" s="12">
        <f t="shared" si="29"/>
        <v>2746605.802360002</v>
      </c>
      <c r="AK34" s="7">
        <f t="shared" si="30"/>
        <v>38505410.80236</v>
      </c>
      <c r="AL34" s="141">
        <f t="shared" si="31"/>
        <v>0</v>
      </c>
      <c r="AM34" s="7">
        <f t="shared" si="32"/>
        <v>2746605.802359998</v>
      </c>
      <c r="AN34" s="130">
        <f t="shared" si="36"/>
        <v>0.9286696143443908</v>
      </c>
      <c r="AO34" s="130">
        <f t="shared" si="37"/>
        <v>1</v>
      </c>
      <c r="AP34" s="130">
        <f t="shared" si="38"/>
        <v>1</v>
      </c>
      <c r="AQ34" s="130">
        <f t="shared" si="39"/>
        <v>1</v>
      </c>
      <c r="AR34" s="169">
        <f t="shared" si="33"/>
        <v>0.8193590543196364</v>
      </c>
    </row>
    <row r="35" spans="1:44" ht="15">
      <c r="A35" s="168" t="s">
        <v>49</v>
      </c>
      <c r="B35" s="102">
        <v>25000000</v>
      </c>
      <c r="C35" s="102"/>
      <c r="D35" s="102"/>
      <c r="E35" s="102"/>
      <c r="F35" s="102">
        <v>8000000</v>
      </c>
      <c r="G35" s="102"/>
      <c r="H35" s="102"/>
      <c r="I35" s="8">
        <f t="shared" si="40"/>
        <v>33000000</v>
      </c>
      <c r="J35" s="7">
        <v>5750000</v>
      </c>
      <c r="K35" s="7"/>
      <c r="L35" s="7">
        <v>-1329900.75</v>
      </c>
      <c r="M35" s="7">
        <f t="shared" si="34"/>
        <v>4420099.25</v>
      </c>
      <c r="N35" s="7">
        <v>5750000</v>
      </c>
      <c r="O35" s="31">
        <v>4072108</v>
      </c>
      <c r="P35" s="7">
        <f t="shared" si="20"/>
        <v>-0.36999999918043613</v>
      </c>
      <c r="Q35" s="7">
        <f t="shared" si="21"/>
        <v>9822107.63</v>
      </c>
      <c r="R35" s="7">
        <v>8000000</v>
      </c>
      <c r="S35" s="7"/>
      <c r="T35" s="7">
        <v>-2245707</v>
      </c>
      <c r="U35" s="7">
        <f t="shared" si="22"/>
        <v>-57964.53000000119</v>
      </c>
      <c r="V35" s="7">
        <f t="shared" si="23"/>
        <v>5696328.469999999</v>
      </c>
      <c r="W35" s="7">
        <v>13061464.649999999</v>
      </c>
      <c r="X35" s="7"/>
      <c r="Y35" s="7"/>
      <c r="Z35" s="7">
        <f t="shared" si="24"/>
        <v>13061464.649999999</v>
      </c>
      <c r="AA35" s="8">
        <f t="shared" si="25"/>
        <v>33000000</v>
      </c>
      <c r="AB35" s="357">
        <f>+'[4]PPC ENE-MAR-11'!$G$214</f>
        <v>4420099.25</v>
      </c>
      <c r="AC35" s="357">
        <f>+'[4]PPC ABR-JUN-11'!$G$247</f>
        <v>9822107.63</v>
      </c>
      <c r="AD35" s="357">
        <f>+'[4]PPC JUL-SEP-11'!$G$229</f>
        <v>5696328.469999999</v>
      </c>
      <c r="AE35" s="357">
        <f>+'[4]PPC OCT-DIC-11'!$G$232</f>
        <v>7400412.22</v>
      </c>
      <c r="AF35" s="357">
        <f t="shared" si="35"/>
        <v>27338947.57</v>
      </c>
      <c r="AG35" s="12">
        <f t="shared" si="26"/>
        <v>0</v>
      </c>
      <c r="AH35" s="12">
        <f t="shared" si="27"/>
        <v>0</v>
      </c>
      <c r="AI35" s="12">
        <f t="shared" si="28"/>
        <v>0</v>
      </c>
      <c r="AJ35" s="12">
        <f t="shared" si="29"/>
        <v>5661052.429999999</v>
      </c>
      <c r="AK35" s="7">
        <f t="shared" si="30"/>
        <v>33000000</v>
      </c>
      <c r="AL35" s="141">
        <f t="shared" si="31"/>
        <v>0</v>
      </c>
      <c r="AM35" s="7">
        <f t="shared" si="32"/>
        <v>5661052.43</v>
      </c>
      <c r="AN35" s="130">
        <f t="shared" si="36"/>
        <v>0.8284529566666666</v>
      </c>
      <c r="AO35" s="130">
        <f t="shared" si="37"/>
        <v>1</v>
      </c>
      <c r="AP35" s="130">
        <f t="shared" si="38"/>
        <v>1</v>
      </c>
      <c r="AQ35" s="130">
        <f t="shared" si="39"/>
        <v>1</v>
      </c>
      <c r="AR35" s="169">
        <f t="shared" si="33"/>
        <v>0.5665836426698135</v>
      </c>
    </row>
    <row r="36" spans="1:44" ht="15.75" thickBot="1">
      <c r="A36" s="168"/>
      <c r="B36" s="102"/>
      <c r="C36" s="102"/>
      <c r="D36" s="102"/>
      <c r="E36" s="102"/>
      <c r="F36" s="102"/>
      <c r="G36" s="102"/>
      <c r="H36" s="102"/>
      <c r="I36" s="8"/>
      <c r="J36" s="7"/>
      <c r="K36" s="7"/>
      <c r="L36" s="7"/>
      <c r="M36" s="7"/>
      <c r="N36" s="7"/>
      <c r="O36" s="31"/>
      <c r="P36" s="7"/>
      <c r="Q36" s="7"/>
      <c r="R36" s="7"/>
      <c r="S36" s="7"/>
      <c r="T36" s="7"/>
      <c r="U36" s="7"/>
      <c r="V36" s="7"/>
      <c r="W36" s="7"/>
      <c r="X36" s="7"/>
      <c r="Y36" s="7"/>
      <c r="Z36" s="7">
        <f t="shared" si="24"/>
        <v>0</v>
      </c>
      <c r="AA36" s="8"/>
      <c r="AB36" s="357"/>
      <c r="AC36" s="357"/>
      <c r="AD36" s="357"/>
      <c r="AE36" s="357"/>
      <c r="AF36" s="357"/>
      <c r="AG36" s="12"/>
      <c r="AH36" s="12"/>
      <c r="AI36" s="12"/>
      <c r="AJ36" s="12">
        <v>0</v>
      </c>
      <c r="AK36" s="7"/>
      <c r="AL36" s="141"/>
      <c r="AM36" s="7"/>
      <c r="AN36" s="130"/>
      <c r="AO36" s="130"/>
      <c r="AP36" s="130"/>
      <c r="AQ36" s="130"/>
      <c r="AR36" s="169"/>
    </row>
    <row r="37" spans="1:44" ht="17.25" thickBot="1">
      <c r="A37" s="50" t="s">
        <v>51</v>
      </c>
      <c r="B37" s="50">
        <f aca="true" t="shared" si="41" ref="B37:H37">SUM(B25:B36)</f>
        <v>325320679.59525996</v>
      </c>
      <c r="C37" s="50">
        <f t="shared" si="41"/>
        <v>0</v>
      </c>
      <c r="D37" s="50">
        <f t="shared" si="41"/>
        <v>0</v>
      </c>
      <c r="E37" s="50">
        <f t="shared" si="41"/>
        <v>0</v>
      </c>
      <c r="F37" s="50">
        <f t="shared" si="41"/>
        <v>8000000</v>
      </c>
      <c r="G37" s="50">
        <f>SUM(G25:G36)</f>
        <v>7000000</v>
      </c>
      <c r="H37" s="50">
        <f t="shared" si="41"/>
        <v>0</v>
      </c>
      <c r="I37" s="50">
        <f aca="true" t="shared" si="42" ref="I37:AM37">SUM(I25:I36)</f>
        <v>340320679.59525996</v>
      </c>
      <c r="J37" s="50">
        <f t="shared" si="42"/>
        <v>82996274.0275</v>
      </c>
      <c r="K37" s="50"/>
      <c r="L37" s="50">
        <f>SUM(L25:L36)</f>
        <v>-16734445.7775</v>
      </c>
      <c r="M37" s="50">
        <f t="shared" si="42"/>
        <v>66261828.25</v>
      </c>
      <c r="N37" s="50">
        <f t="shared" si="42"/>
        <v>82501267.19822499</v>
      </c>
      <c r="O37" s="50">
        <f>SUM(O25:O36)</f>
        <v>0</v>
      </c>
      <c r="P37" s="50">
        <f t="shared" si="42"/>
        <v>-474446.5682249996</v>
      </c>
      <c r="Q37" s="50">
        <f t="shared" si="42"/>
        <v>82026820.63</v>
      </c>
      <c r="R37" s="50">
        <f t="shared" si="42"/>
        <v>93883078.19822499</v>
      </c>
      <c r="S37" s="50">
        <f>SUM(S25:S36)</f>
        <v>0</v>
      </c>
      <c r="T37" s="50">
        <f>SUM(T25:T36)</f>
        <v>-2164974</v>
      </c>
      <c r="U37" s="50">
        <f>SUM(U25:U36)</f>
        <v>-4508600.928225001</v>
      </c>
      <c r="V37" s="50">
        <f t="shared" si="42"/>
        <v>87209503.27</v>
      </c>
      <c r="W37" s="50">
        <f t="shared" si="42"/>
        <v>97125855.24526</v>
      </c>
      <c r="X37" s="50">
        <f>SUM(X25:X36)</f>
        <v>7000000</v>
      </c>
      <c r="Y37" s="50">
        <f>SUM(Y25:Y36)</f>
        <v>0</v>
      </c>
      <c r="Z37" s="50">
        <f t="shared" si="42"/>
        <v>104125855.24526</v>
      </c>
      <c r="AA37" s="408">
        <f t="shared" si="42"/>
        <v>339624007.39526</v>
      </c>
      <c r="AB37" s="412">
        <f t="shared" si="42"/>
        <v>66261828.25</v>
      </c>
      <c r="AC37" s="50">
        <f t="shared" si="42"/>
        <v>82026820.63</v>
      </c>
      <c r="AD37" s="50">
        <f t="shared" si="42"/>
        <v>87209503.27</v>
      </c>
      <c r="AE37" s="50">
        <f>SUM(AE25:AE36)</f>
        <v>70421696.22</v>
      </c>
      <c r="AF37" s="50">
        <f t="shared" si="42"/>
        <v>305919848.37</v>
      </c>
      <c r="AG37" s="50">
        <f t="shared" si="42"/>
        <v>0</v>
      </c>
      <c r="AH37" s="50">
        <f t="shared" si="42"/>
        <v>0</v>
      </c>
      <c r="AI37" s="50">
        <f t="shared" si="42"/>
        <v>0</v>
      </c>
      <c r="AJ37" s="50">
        <f>SUM(AJ25:AJ36)</f>
        <v>33704159.02526</v>
      </c>
      <c r="AK37" s="50">
        <f t="shared" si="42"/>
        <v>339624007.39526</v>
      </c>
      <c r="AL37" s="50">
        <f t="shared" si="42"/>
        <v>696672.2000000002</v>
      </c>
      <c r="AM37" s="50">
        <f t="shared" si="42"/>
        <v>33704159.02526</v>
      </c>
      <c r="AN37" s="148">
        <f>+AF37/I37</f>
        <v>0.898916424161551</v>
      </c>
      <c r="AO37" s="148">
        <f>+AB37/M37</f>
        <v>1</v>
      </c>
      <c r="AP37" s="148">
        <f>+AC37/Q37</f>
        <v>1</v>
      </c>
      <c r="AQ37" s="148">
        <f>+AD37/V37</f>
        <v>1</v>
      </c>
      <c r="AR37" s="148">
        <f>+AE37/Z37</f>
        <v>0.676313256242913</v>
      </c>
    </row>
    <row r="38" spans="1:44" ht="16.5">
      <c r="A38" s="175"/>
      <c r="B38" s="211"/>
      <c r="C38" s="29"/>
      <c r="D38" s="29"/>
      <c r="E38" s="29"/>
      <c r="F38" s="29"/>
      <c r="G38" s="29"/>
      <c r="H38" s="29"/>
      <c r="I38" s="29"/>
      <c r="J38" s="18"/>
      <c r="K38" s="18"/>
      <c r="L38" s="18"/>
      <c r="M38" s="18"/>
      <c r="N38" s="18"/>
      <c r="O38" s="29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29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47"/>
      <c r="AO38" s="147"/>
      <c r="AP38" s="147"/>
      <c r="AQ38" s="147"/>
      <c r="AR38" s="212"/>
    </row>
    <row r="39" spans="1:44" ht="17.25" thickBot="1">
      <c r="A39" s="185" t="s">
        <v>52</v>
      </c>
      <c r="B39" s="210"/>
      <c r="C39" s="31"/>
      <c r="D39" s="31"/>
      <c r="E39" s="31"/>
      <c r="F39" s="31"/>
      <c r="G39" s="31"/>
      <c r="H39" s="31"/>
      <c r="I39" s="31"/>
      <c r="J39" s="27"/>
      <c r="K39" s="27"/>
      <c r="L39" s="27"/>
      <c r="M39" s="27"/>
      <c r="N39" s="27"/>
      <c r="O39" s="31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31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149"/>
      <c r="AO39" s="149"/>
      <c r="AP39" s="149"/>
      <c r="AQ39" s="149"/>
      <c r="AR39" s="172"/>
    </row>
    <row r="40" spans="1:44" ht="17.25" thickBot="1">
      <c r="A40" s="213" t="s">
        <v>158</v>
      </c>
      <c r="B40" s="122">
        <f aca="true" t="shared" si="43" ref="B40:AM40">+B42+B47+B54+B59+B61</f>
        <v>4625165946.33424</v>
      </c>
      <c r="C40" s="122">
        <f t="shared" si="43"/>
        <v>0</v>
      </c>
      <c r="D40" s="122">
        <f t="shared" si="43"/>
        <v>0</v>
      </c>
      <c r="E40" s="122">
        <f>+E42+E47+E54+E59+E61</f>
        <v>5600000</v>
      </c>
      <c r="F40" s="122">
        <f>+F42+F47+F54+F59+F61</f>
        <v>-258677677</v>
      </c>
      <c r="G40" s="122">
        <f>+G42+G47+G54+G59+G61</f>
        <v>270000000</v>
      </c>
      <c r="H40" s="122">
        <f>+H42+H47+H54+H59+H61</f>
        <v>0</v>
      </c>
      <c r="I40" s="122">
        <f t="shared" si="43"/>
        <v>4642088269.33424</v>
      </c>
      <c r="J40" s="122">
        <f t="shared" si="43"/>
        <v>1287838000</v>
      </c>
      <c r="K40" s="122"/>
      <c r="L40" s="122">
        <f>+L42+L47+L54+L59+L61</f>
        <v>-298419907.83</v>
      </c>
      <c r="M40" s="122">
        <f t="shared" si="43"/>
        <v>971703359.1700001</v>
      </c>
      <c r="N40" s="122">
        <f t="shared" si="43"/>
        <v>1431000000</v>
      </c>
      <c r="O40" s="122">
        <f>+O42+O47+O54+O59+O61</f>
        <v>0</v>
      </c>
      <c r="P40" s="122">
        <f>+P42+P47+P54+P59+P61</f>
        <v>-382244731.95</v>
      </c>
      <c r="Q40" s="122">
        <f t="shared" si="43"/>
        <v>1048755268.05</v>
      </c>
      <c r="R40" s="122">
        <f t="shared" si="43"/>
        <v>1255946259</v>
      </c>
      <c r="S40" s="122">
        <f>+S42+S47+S54+S59+S61</f>
        <v>-36700000</v>
      </c>
      <c r="T40" s="122">
        <f>+T42+T47+T54+T59+T61</f>
        <v>0</v>
      </c>
      <c r="U40" s="122">
        <f>+U42+U47+U54+U59+U61</f>
        <v>-75773648</v>
      </c>
      <c r="V40" s="122">
        <f t="shared" si="43"/>
        <v>1143472611</v>
      </c>
      <c r="W40" s="122">
        <f t="shared" si="43"/>
        <v>1148879979</v>
      </c>
      <c r="X40" s="122">
        <f>+X42+X47+X54+X59+X61</f>
        <v>270000000</v>
      </c>
      <c r="Y40" s="122">
        <f t="shared" si="43"/>
        <v>0</v>
      </c>
      <c r="Z40" s="122">
        <f t="shared" si="43"/>
        <v>1418879979</v>
      </c>
      <c r="AA40" s="407">
        <f t="shared" si="43"/>
        <v>4582811217.22</v>
      </c>
      <c r="AB40" s="411">
        <f t="shared" si="43"/>
        <v>971703359.1700001</v>
      </c>
      <c r="AC40" s="122">
        <f t="shared" si="43"/>
        <v>1048755268.05</v>
      </c>
      <c r="AD40" s="122">
        <f>+AD42+AD47+AD54+AD59+AD61</f>
        <v>1143472611</v>
      </c>
      <c r="AE40" s="122">
        <f>+AE42+AE47+AE54+AE59+AE61</f>
        <v>1342463740.6799998</v>
      </c>
      <c r="AF40" s="122">
        <f t="shared" si="43"/>
        <v>4506394978.9</v>
      </c>
      <c r="AG40" s="122">
        <f t="shared" si="43"/>
        <v>0</v>
      </c>
      <c r="AH40" s="122">
        <f t="shared" si="43"/>
        <v>0</v>
      </c>
      <c r="AI40" s="122">
        <f t="shared" si="43"/>
        <v>0</v>
      </c>
      <c r="AJ40" s="122">
        <f>+AJ42+AJ47+AJ54+AJ59+AJ61</f>
        <v>76416238.32</v>
      </c>
      <c r="AK40" s="122">
        <f t="shared" si="43"/>
        <v>4582811217.22</v>
      </c>
      <c r="AL40" s="122">
        <f t="shared" si="43"/>
        <v>59277052.114240006</v>
      </c>
      <c r="AM40" s="122">
        <f t="shared" si="43"/>
        <v>76416238.32</v>
      </c>
      <c r="AN40" s="148">
        <f>+AF40/I40</f>
        <v>0.9707689120582575</v>
      </c>
      <c r="AO40" s="148">
        <f>+AB40/M40</f>
        <v>1</v>
      </c>
      <c r="AP40" s="148">
        <f>+AC40/Q40</f>
        <v>1</v>
      </c>
      <c r="AQ40" s="148">
        <f>+AD40/V40</f>
        <v>1</v>
      </c>
      <c r="AR40" s="148">
        <f>+AE40/Z40</f>
        <v>0.9461432683165655</v>
      </c>
    </row>
    <row r="41" spans="1:44" ht="16.5">
      <c r="A41" s="214"/>
      <c r="B41" s="207"/>
      <c r="C41" s="18"/>
      <c r="D41" s="18"/>
      <c r="E41" s="18"/>
      <c r="F41" s="18"/>
      <c r="G41" s="18"/>
      <c r="H41" s="18"/>
      <c r="I41" s="15"/>
      <c r="J41" s="15"/>
      <c r="K41" s="15"/>
      <c r="L41" s="15"/>
      <c r="M41" s="15"/>
      <c r="N41" s="18"/>
      <c r="O41" s="18"/>
      <c r="P41" s="18"/>
      <c r="Q41" s="15"/>
      <c r="R41" s="15"/>
      <c r="S41" s="15"/>
      <c r="T41" s="15"/>
      <c r="U41" s="15"/>
      <c r="V41" s="15"/>
      <c r="W41" s="15"/>
      <c r="X41" s="15"/>
      <c r="Y41" s="18"/>
      <c r="Z41" s="15"/>
      <c r="AA41" s="16"/>
      <c r="AB41" s="15"/>
      <c r="AC41" s="15"/>
      <c r="AD41" s="15"/>
      <c r="AE41" s="15"/>
      <c r="AF41" s="15"/>
      <c r="AG41" s="44"/>
      <c r="AH41" s="15"/>
      <c r="AI41" s="18"/>
      <c r="AJ41" s="15"/>
      <c r="AK41" s="15"/>
      <c r="AL41" s="44"/>
      <c r="AM41" s="15"/>
      <c r="AN41" s="215"/>
      <c r="AO41" s="215"/>
      <c r="AP41" s="215"/>
      <c r="AQ41" s="215"/>
      <c r="AR41" s="216"/>
    </row>
    <row r="42" spans="1:44" ht="16.5">
      <c r="A42" s="217" t="s">
        <v>159</v>
      </c>
      <c r="B42" s="208">
        <f aca="true" t="shared" si="44" ref="B42:J42">SUM(B43:B46)</f>
        <v>2626640348.00064</v>
      </c>
      <c r="C42" s="19">
        <f t="shared" si="44"/>
        <v>0</v>
      </c>
      <c r="D42" s="19">
        <f t="shared" si="44"/>
        <v>0</v>
      </c>
      <c r="E42" s="19">
        <f t="shared" si="44"/>
        <v>-218000000</v>
      </c>
      <c r="F42" s="19">
        <f t="shared" si="44"/>
        <v>-152020122</v>
      </c>
      <c r="G42" s="19">
        <f t="shared" si="44"/>
        <v>270000000</v>
      </c>
      <c r="H42" s="358">
        <f t="shared" si="44"/>
        <v>0</v>
      </c>
      <c r="I42" s="20">
        <f t="shared" si="44"/>
        <v>2526620226.00064</v>
      </c>
      <c r="J42" s="19">
        <f t="shared" si="44"/>
        <v>641775000</v>
      </c>
      <c r="K42" s="19"/>
      <c r="L42" s="19">
        <f aca="true" t="shared" si="45" ref="L42:AD42">SUM(L43:L46)</f>
        <v>-172407481.57999998</v>
      </c>
      <c r="M42" s="19">
        <f t="shared" si="45"/>
        <v>469367518.42</v>
      </c>
      <c r="N42" s="21">
        <f t="shared" si="45"/>
        <v>904200000</v>
      </c>
      <c r="O42" s="19">
        <f t="shared" si="45"/>
        <v>0</v>
      </c>
      <c r="P42" s="19">
        <f t="shared" si="45"/>
        <v>-319836332.2</v>
      </c>
      <c r="Q42" s="46">
        <f t="shared" si="45"/>
        <v>584363667.8</v>
      </c>
      <c r="R42" s="19">
        <f t="shared" si="45"/>
        <v>667946259</v>
      </c>
      <c r="S42" s="21">
        <f t="shared" si="45"/>
        <v>0</v>
      </c>
      <c r="T42" s="21">
        <f t="shared" si="45"/>
        <v>0</v>
      </c>
      <c r="U42" s="21">
        <f t="shared" si="45"/>
        <v>-17090882</v>
      </c>
      <c r="V42" s="46">
        <f t="shared" si="45"/>
        <v>650855377</v>
      </c>
      <c r="W42" s="20">
        <f t="shared" si="45"/>
        <v>552033643</v>
      </c>
      <c r="X42" s="20">
        <f t="shared" si="45"/>
        <v>270000000</v>
      </c>
      <c r="Y42" s="20">
        <f t="shared" si="45"/>
        <v>0</v>
      </c>
      <c r="Z42" s="20">
        <f t="shared" si="45"/>
        <v>822033643</v>
      </c>
      <c r="AA42" s="20">
        <f t="shared" si="45"/>
        <v>2526620206.2200003</v>
      </c>
      <c r="AB42" s="358">
        <f t="shared" si="45"/>
        <v>469367518.42</v>
      </c>
      <c r="AC42" s="392">
        <f t="shared" si="45"/>
        <v>584363667.8</v>
      </c>
      <c r="AD42" s="392">
        <f t="shared" si="45"/>
        <v>650855377</v>
      </c>
      <c r="AE42" s="392">
        <f>+'[4]PPC OCT-DIC-11'!$G$252</f>
        <v>784687978.68</v>
      </c>
      <c r="AF42" s="392">
        <f>SUM(AF43:AF46)</f>
        <v>2489274541.9</v>
      </c>
      <c r="AG42" s="20">
        <f aca="true" t="shared" si="46" ref="AG42:AG60">+M42-AB42</f>
        <v>0</v>
      </c>
      <c r="AH42" s="20">
        <f>SUM(AH43:AH46)</f>
        <v>0</v>
      </c>
      <c r="AI42" s="20">
        <f>SUM(AI43:AI46)</f>
        <v>0</v>
      </c>
      <c r="AJ42" s="20">
        <f>SUM(AJ43:AJ46)</f>
        <v>37345664.32</v>
      </c>
      <c r="AK42" s="20">
        <f aca="true" t="shared" si="47" ref="AK42:AK66">+AA42</f>
        <v>2526620206.2200003</v>
      </c>
      <c r="AL42" s="20">
        <f>SUM(AL43:AL46)</f>
        <v>19.780640065670013</v>
      </c>
      <c r="AM42" s="20">
        <f>SUM(AM43:AM46)</f>
        <v>37345664.31999999</v>
      </c>
      <c r="AN42" s="133">
        <f aca="true" t="shared" si="48" ref="AN42:AN47">+AF42/I42</f>
        <v>0.9852191145640617</v>
      </c>
      <c r="AO42" s="133">
        <f>+AB42/M42</f>
        <v>1</v>
      </c>
      <c r="AP42" s="133">
        <f aca="true" t="shared" si="49" ref="AP42:AP47">+AC42/Q42</f>
        <v>1</v>
      </c>
      <c r="AQ42" s="133">
        <f>+AD42/V42</f>
        <v>1</v>
      </c>
      <c r="AR42" s="176">
        <f>+AE42/Z42</f>
        <v>0.9545691777483613</v>
      </c>
    </row>
    <row r="43" spans="1:44" ht="15" hidden="1" outlineLevel="1">
      <c r="A43" s="187" t="s">
        <v>160</v>
      </c>
      <c r="B43" s="209">
        <v>1456755237.58464</v>
      </c>
      <c r="C43" s="8">
        <v>0</v>
      </c>
      <c r="D43" s="8"/>
      <c r="E43" s="8"/>
      <c r="F43" s="8">
        <v>-103940213</v>
      </c>
      <c r="G43" s="8">
        <v>270000000</v>
      </c>
      <c r="H43" s="370">
        <f>-44000000-1494886</f>
        <v>-45494886</v>
      </c>
      <c r="I43" s="8">
        <f>SUM(B43:H43)</f>
        <v>1577320138.58464</v>
      </c>
      <c r="J43" s="7">
        <v>350000000</v>
      </c>
      <c r="K43" s="7"/>
      <c r="L43" s="7">
        <v>-117657512.57999998</v>
      </c>
      <c r="M43" s="7">
        <f>+SUM(J43:L43)</f>
        <v>232342487.42000002</v>
      </c>
      <c r="N43" s="7">
        <v>664700000</v>
      </c>
      <c r="O43" s="8"/>
      <c r="P43" s="7">
        <f>+AC43-N43-O43</f>
        <v>-310192563.2</v>
      </c>
      <c r="Q43" s="7">
        <f>+SUM(N43:P43)</f>
        <v>354507436.8</v>
      </c>
      <c r="R43" s="7">
        <f>420000000+2270900</f>
        <v>422270900</v>
      </c>
      <c r="S43" s="7"/>
      <c r="T43" s="7"/>
      <c r="U43" s="7">
        <f>-R43-S43-T43+AD43</f>
        <v>0</v>
      </c>
      <c r="V43" s="7">
        <f>+SUM(R43:U43)</f>
        <v>422270900</v>
      </c>
      <c r="W43" s="7">
        <f>299694200-1494886</f>
        <v>298199314</v>
      </c>
      <c r="X43" s="7">
        <v>270000000</v>
      </c>
      <c r="Y43" s="8"/>
      <c r="Z43" s="7">
        <f>+SUM(W43:Y43)</f>
        <v>568199314</v>
      </c>
      <c r="AA43" s="8">
        <f>+M43+Q43+V43+Z43</f>
        <v>1577320138.22</v>
      </c>
      <c r="AB43" s="357">
        <f>+'[4]PPC ENE-MAR-11'!$G$234</f>
        <v>232342487.42000002</v>
      </c>
      <c r="AC43" s="357">
        <f>+'[4]PPC ABR-JUN-11'!$G$270</f>
        <v>354507436.8</v>
      </c>
      <c r="AD43" s="357">
        <f>+'[4]PPC JUL-SEP-11'!$G$248</f>
        <v>422270900</v>
      </c>
      <c r="AE43" s="357">
        <f>+'[4]PPC OCT-DIC-11'!$G$253</f>
        <v>530863202</v>
      </c>
      <c r="AF43" s="357">
        <f>SUM(AB43:AE43)</f>
        <v>1539984026.22</v>
      </c>
      <c r="AG43" s="12">
        <f t="shared" si="46"/>
        <v>0</v>
      </c>
      <c r="AH43" s="12">
        <f>+Q43-AC43</f>
        <v>0</v>
      </c>
      <c r="AI43" s="12">
        <f>+V43-AD43</f>
        <v>0</v>
      </c>
      <c r="AJ43" s="12">
        <f aca="true" t="shared" si="50" ref="AJ43:AJ60">+Z43-AE43</f>
        <v>37336112</v>
      </c>
      <c r="AK43" s="12">
        <f t="shared" si="47"/>
        <v>1577320138.22</v>
      </c>
      <c r="AL43" s="12">
        <f aca="true" t="shared" si="51" ref="AL43:AL60">+I43-AK43</f>
        <v>0.3646399974822998</v>
      </c>
      <c r="AM43" s="12">
        <f>+AK43-AF43</f>
        <v>37336112</v>
      </c>
      <c r="AN43" s="130">
        <f t="shared" si="48"/>
        <v>0.9763294010826855</v>
      </c>
      <c r="AO43" s="130">
        <f>+AB43/M43</f>
        <v>1</v>
      </c>
      <c r="AP43" s="130">
        <f t="shared" si="49"/>
        <v>1</v>
      </c>
      <c r="AQ43" s="130">
        <f>+AD43/V43</f>
        <v>1</v>
      </c>
      <c r="AR43" s="169">
        <f aca="true" t="shared" si="52" ref="AR43:AR66">+AE43/Z43</f>
        <v>0.9342904662500173</v>
      </c>
    </row>
    <row r="44" spans="1:44" ht="16.5" hidden="1" outlineLevel="1">
      <c r="A44" s="187" t="s">
        <v>161</v>
      </c>
      <c r="B44" s="209">
        <v>90875000</v>
      </c>
      <c r="C44" s="8"/>
      <c r="D44" s="8"/>
      <c r="E44" s="8"/>
      <c r="F44" s="8"/>
      <c r="G44" s="8"/>
      <c r="H44" s="370"/>
      <c r="I44" s="8">
        <f>SUM(B44:H44)</f>
        <v>90875000</v>
      </c>
      <c r="J44" s="7">
        <v>53475000</v>
      </c>
      <c r="K44" s="7"/>
      <c r="L44" s="7">
        <v>-46259</v>
      </c>
      <c r="M44" s="7">
        <f>+SUM(J44:L44)</f>
        <v>53428741</v>
      </c>
      <c r="N44" s="7">
        <v>19500000</v>
      </c>
      <c r="O44" s="8"/>
      <c r="P44" s="7">
        <f>+AC44-N44-O44</f>
        <v>-988668</v>
      </c>
      <c r="Q44" s="7">
        <f>+SUM(N44:P44)</f>
        <v>18511332</v>
      </c>
      <c r="R44" s="7">
        <f>17946259-2200000-2270900</f>
        <v>13475359</v>
      </c>
      <c r="S44" s="7"/>
      <c r="T44" s="7"/>
      <c r="U44" s="7">
        <f>-R44-S44-T44+AD44</f>
        <v>-1494351</v>
      </c>
      <c r="V44" s="7">
        <f>+SUM(R44:U44)</f>
        <v>11981008</v>
      </c>
      <c r="W44" s="7">
        <v>6953919</v>
      </c>
      <c r="X44" s="7"/>
      <c r="Y44" s="7"/>
      <c r="Z44" s="7">
        <f>+SUM(W44:Y44)</f>
        <v>6953919</v>
      </c>
      <c r="AA44" s="8">
        <f>+M44+Q44+V44+Z44</f>
        <v>90875000</v>
      </c>
      <c r="AB44" s="357">
        <f>+'[4]PPC ENE-MAR-11'!$G$269</f>
        <v>53428741</v>
      </c>
      <c r="AC44" s="357">
        <f>+'[4]PPC ABR-JUN-11'!$G$323</f>
        <v>18511332</v>
      </c>
      <c r="AD44" s="357">
        <f>+'[4]PPC JUL-SEP-11'!$G$324</f>
        <v>11981008</v>
      </c>
      <c r="AE44" s="357">
        <f>+'[4]PPC OCT-DIC-11'!$G$363</f>
        <v>6944766.68</v>
      </c>
      <c r="AF44" s="357">
        <f>SUM(AB44:AE44)</f>
        <v>90865847.68</v>
      </c>
      <c r="AG44" s="36">
        <f t="shared" si="46"/>
        <v>0</v>
      </c>
      <c r="AH44" s="36">
        <f>+AH45+SUM(AH48:AH53)</f>
        <v>0</v>
      </c>
      <c r="AI44" s="7">
        <f>+AI45+SUM(AI48:AI53)</f>
        <v>0</v>
      </c>
      <c r="AJ44" s="7">
        <f t="shared" si="50"/>
        <v>9152.320000000298</v>
      </c>
      <c r="AK44" s="7">
        <f t="shared" si="47"/>
        <v>90875000</v>
      </c>
      <c r="AL44" s="7">
        <f t="shared" si="51"/>
        <v>0</v>
      </c>
      <c r="AM44" s="7">
        <f aca="true" t="shared" si="53" ref="AM44:AM66">+AK44-AF44</f>
        <v>9152.319999992847</v>
      </c>
      <c r="AN44" s="133">
        <f t="shared" si="48"/>
        <v>0.9998992867125173</v>
      </c>
      <c r="AO44" s="133">
        <f>+AB44/M44</f>
        <v>1</v>
      </c>
      <c r="AP44" s="133">
        <f t="shared" si="49"/>
        <v>1</v>
      </c>
      <c r="AQ44" s="133">
        <f>+AD44/V44</f>
        <v>1</v>
      </c>
      <c r="AR44" s="176">
        <f t="shared" si="52"/>
        <v>0.9986838615750341</v>
      </c>
    </row>
    <row r="45" spans="1:44" ht="15" hidden="1" outlineLevel="1">
      <c r="A45" s="187" t="s">
        <v>162</v>
      </c>
      <c r="B45" s="209">
        <v>717284324.7360001</v>
      </c>
      <c r="C45" s="8"/>
      <c r="D45" s="8"/>
      <c r="E45" s="8">
        <v>-20000000</v>
      </c>
      <c r="F45" s="8">
        <v>-48079909</v>
      </c>
      <c r="G45" s="8"/>
      <c r="H45" s="370">
        <f>554723+1494886</f>
        <v>2049609</v>
      </c>
      <c r="I45" s="8">
        <f>SUM(B45:H45)</f>
        <v>651254024.7360001</v>
      </c>
      <c r="J45" s="7">
        <v>180300000</v>
      </c>
      <c r="K45" s="7"/>
      <c r="L45" s="7">
        <v>-19783451</v>
      </c>
      <c r="M45" s="7">
        <f>+SUM(J45:L45)</f>
        <v>160516549</v>
      </c>
      <c r="N45" s="7">
        <v>170000000</v>
      </c>
      <c r="O45" s="8"/>
      <c r="P45" s="7">
        <f>+AC45-N45-O45</f>
        <v>-8312133</v>
      </c>
      <c r="Q45" s="7">
        <f>+SUM(N45:P45)</f>
        <v>161687867</v>
      </c>
      <c r="R45" s="7">
        <v>180000000</v>
      </c>
      <c r="S45" s="7"/>
      <c r="T45" s="7"/>
      <c r="U45" s="7">
        <f>-R45-S45-T45+AD45</f>
        <v>-15541851</v>
      </c>
      <c r="V45" s="7">
        <f>+SUM(R45:U45)</f>
        <v>164458149</v>
      </c>
      <c r="W45" s="7">
        <f>162541851+554723+1494866</f>
        <v>164591440</v>
      </c>
      <c r="X45" s="7"/>
      <c r="Y45" s="7"/>
      <c r="Z45" s="7">
        <f>+SUM(W45:Y45)</f>
        <v>164591440</v>
      </c>
      <c r="AA45" s="8">
        <f>+M45+Q45+V45+Z45</f>
        <v>651254005</v>
      </c>
      <c r="AB45" s="357">
        <f>+'[4]PPC ENE-MAR-11'!$G$285</f>
        <v>160516549</v>
      </c>
      <c r="AC45" s="357">
        <f>+'[4]PPC ABR-JUN-11'!$G$339</f>
        <v>161687867</v>
      </c>
      <c r="AD45" s="357">
        <f>+'[4]PPC JUL-SEP-11'!$G$342</f>
        <v>164458149</v>
      </c>
      <c r="AE45" s="357">
        <f>+'[4]PPC OCT-DIC-11'!$G$375</f>
        <v>164591040</v>
      </c>
      <c r="AF45" s="357">
        <f>SUM(AB45:AE45)</f>
        <v>651253605</v>
      </c>
      <c r="AG45" s="12">
        <f t="shared" si="46"/>
        <v>0</v>
      </c>
      <c r="AH45" s="12">
        <f>+Q45-AC45</f>
        <v>0</v>
      </c>
      <c r="AI45" s="12">
        <f aca="true" t="shared" si="54" ref="AI45:AI60">+V45-AD45</f>
        <v>0</v>
      </c>
      <c r="AJ45" s="12">
        <f t="shared" si="50"/>
        <v>400</v>
      </c>
      <c r="AK45" s="12">
        <f t="shared" si="47"/>
        <v>651254005</v>
      </c>
      <c r="AL45" s="12">
        <f t="shared" si="51"/>
        <v>19.736000061035156</v>
      </c>
      <c r="AM45" s="12">
        <f t="shared" si="53"/>
        <v>400</v>
      </c>
      <c r="AN45" s="130">
        <f t="shared" si="48"/>
        <v>0.9999993554957296</v>
      </c>
      <c r="AO45" s="130">
        <f>+AB45/M45</f>
        <v>1</v>
      </c>
      <c r="AP45" s="130">
        <f t="shared" si="49"/>
        <v>1</v>
      </c>
      <c r="AQ45" s="130">
        <f>+AD45/V45</f>
        <v>1</v>
      </c>
      <c r="AR45" s="169">
        <f t="shared" si="52"/>
        <v>0.9999975697399573</v>
      </c>
    </row>
    <row r="46" spans="1:44" ht="15" hidden="1" outlineLevel="1">
      <c r="A46" s="187" t="s">
        <v>163</v>
      </c>
      <c r="B46" s="209">
        <v>361725785.68</v>
      </c>
      <c r="C46" s="8">
        <v>0</v>
      </c>
      <c r="D46" s="8"/>
      <c r="E46" s="8">
        <v>-198000000</v>
      </c>
      <c r="F46" s="8"/>
      <c r="G46" s="8"/>
      <c r="H46" s="370">
        <f>44000000-554723</f>
        <v>43445277</v>
      </c>
      <c r="I46" s="8">
        <f>SUM(B46:H46)</f>
        <v>207171062.68</v>
      </c>
      <c r="J46" s="7">
        <v>58000000</v>
      </c>
      <c r="K46" s="7"/>
      <c r="L46" s="7">
        <v>-34920259</v>
      </c>
      <c r="M46" s="7">
        <f>+SUM(J46:L46)</f>
        <v>23079741</v>
      </c>
      <c r="N46" s="7">
        <v>50000000</v>
      </c>
      <c r="O46" s="8"/>
      <c r="P46" s="7">
        <f>+AC46-N46-O46</f>
        <v>-342968</v>
      </c>
      <c r="Q46" s="7">
        <f>+SUM(N46:P46)</f>
        <v>49657032</v>
      </c>
      <c r="R46" s="7">
        <f>50000000+2200000</f>
        <v>52200000</v>
      </c>
      <c r="S46" s="7"/>
      <c r="T46" s="7"/>
      <c r="U46" s="7">
        <f>-R46-S46-T46+AD46</f>
        <v>-54680</v>
      </c>
      <c r="V46" s="7">
        <f>+SUM(R46:U46)</f>
        <v>52145320</v>
      </c>
      <c r="W46" s="7">
        <f>82843693-554723</f>
        <v>82288970</v>
      </c>
      <c r="X46" s="7"/>
      <c r="Y46" s="7"/>
      <c r="Z46" s="7">
        <f>+SUM(W46:Y46)</f>
        <v>82288970</v>
      </c>
      <c r="AA46" s="8">
        <f>+M46+Q46+V46+Z46</f>
        <v>207171063</v>
      </c>
      <c r="AB46" s="357">
        <f>+'[4]PPC ENE-MAR-11'!$G$393</f>
        <v>23079741</v>
      </c>
      <c r="AC46" s="357">
        <f>+'[4]PPC ABR-JUN-11'!$G$455</f>
        <v>49657032</v>
      </c>
      <c r="AD46" s="357">
        <f>+'[4]PPC JUL-SEP-11'!$G$455</f>
        <v>52145320</v>
      </c>
      <c r="AE46" s="357">
        <f>+'[4]PPC OCT-DIC-11'!$G$483</f>
        <v>82288970</v>
      </c>
      <c r="AF46" s="357">
        <f>SUM(AB46:AE46)</f>
        <v>207171063</v>
      </c>
      <c r="AG46" s="12">
        <f t="shared" si="46"/>
        <v>0</v>
      </c>
      <c r="AH46" s="12">
        <f>+Q46-AC46</f>
        <v>0</v>
      </c>
      <c r="AI46" s="12">
        <f t="shared" si="54"/>
        <v>0</v>
      </c>
      <c r="AJ46" s="12">
        <f t="shared" si="50"/>
        <v>0</v>
      </c>
      <c r="AK46" s="12">
        <f t="shared" si="47"/>
        <v>207171063</v>
      </c>
      <c r="AL46" s="12">
        <f t="shared" si="51"/>
        <v>-0.3199999928474426</v>
      </c>
      <c r="AM46" s="12">
        <f t="shared" si="53"/>
        <v>0</v>
      </c>
      <c r="AN46" s="130">
        <f t="shared" si="48"/>
        <v>1.0000000015446173</v>
      </c>
      <c r="AO46" s="130">
        <v>0</v>
      </c>
      <c r="AP46" s="130">
        <f t="shared" si="49"/>
        <v>1</v>
      </c>
      <c r="AQ46" s="130">
        <f>+AD46/V46</f>
        <v>1</v>
      </c>
      <c r="AR46" s="169">
        <f t="shared" si="52"/>
        <v>1</v>
      </c>
    </row>
    <row r="47" spans="1:44" ht="16.5" collapsed="1">
      <c r="A47" s="217" t="s">
        <v>164</v>
      </c>
      <c r="B47" s="208">
        <f aca="true" t="shared" si="55" ref="B47:N47">+B48+B52</f>
        <v>283325000</v>
      </c>
      <c r="C47" s="36">
        <f t="shared" si="55"/>
        <v>0</v>
      </c>
      <c r="D47" s="36">
        <f t="shared" si="55"/>
        <v>0</v>
      </c>
      <c r="E47" s="36">
        <f>+E48+E52</f>
        <v>0</v>
      </c>
      <c r="F47" s="36">
        <f>+F48+F52</f>
        <v>0</v>
      </c>
      <c r="G47" s="36">
        <f>+G48+G52</f>
        <v>0</v>
      </c>
      <c r="H47" s="373">
        <f>+H48+H52</f>
        <v>0</v>
      </c>
      <c r="I47" s="19">
        <f t="shared" si="55"/>
        <v>283325000</v>
      </c>
      <c r="J47" s="21">
        <f t="shared" si="55"/>
        <v>103913000</v>
      </c>
      <c r="K47" s="21"/>
      <c r="L47" s="21">
        <f t="shared" si="55"/>
        <v>-112644</v>
      </c>
      <c r="M47" s="21">
        <f t="shared" si="55"/>
        <v>86085623</v>
      </c>
      <c r="N47" s="21">
        <f t="shared" si="55"/>
        <v>38600000</v>
      </c>
      <c r="O47" s="21">
        <f aca="true" t="shared" si="56" ref="O47:V47">+O48+O52</f>
        <v>0</v>
      </c>
      <c r="P47" s="21">
        <f>+P48+P52</f>
        <v>-3998312</v>
      </c>
      <c r="Q47" s="21">
        <f t="shared" si="56"/>
        <v>34601688</v>
      </c>
      <c r="R47" s="21">
        <f t="shared" si="56"/>
        <v>107000000</v>
      </c>
      <c r="S47" s="21">
        <f>+S48+S52</f>
        <v>0</v>
      </c>
      <c r="T47" s="21">
        <f>+T48+T52</f>
        <v>0</v>
      </c>
      <c r="U47" s="21">
        <f>+U48+U52</f>
        <v>-11717402</v>
      </c>
      <c r="V47" s="21">
        <f t="shared" si="56"/>
        <v>95282598</v>
      </c>
      <c r="W47" s="21">
        <f aca="true" t="shared" si="57" ref="W47:AF47">+W48+W52</f>
        <v>52498153</v>
      </c>
      <c r="X47" s="21">
        <f>+X48+X52</f>
        <v>0</v>
      </c>
      <c r="Y47" s="21">
        <f t="shared" si="57"/>
        <v>0</v>
      </c>
      <c r="Z47" s="21">
        <f t="shared" si="57"/>
        <v>52498153</v>
      </c>
      <c r="AA47" s="20">
        <f t="shared" si="57"/>
        <v>268468062</v>
      </c>
      <c r="AB47" s="373">
        <f t="shared" si="57"/>
        <v>86085623</v>
      </c>
      <c r="AC47" s="392">
        <f t="shared" si="57"/>
        <v>34601688</v>
      </c>
      <c r="AD47" s="392">
        <f>+AD48+AD52</f>
        <v>95282598</v>
      </c>
      <c r="AE47" s="392">
        <f>+'[4]PPC OCT-DIC-11'!$G$543</f>
        <v>50924205</v>
      </c>
      <c r="AF47" s="392">
        <f t="shared" si="57"/>
        <v>266894114</v>
      </c>
      <c r="AG47" s="22">
        <f t="shared" si="46"/>
        <v>0</v>
      </c>
      <c r="AH47" s="22">
        <f>+Q47-AC47</f>
        <v>0</v>
      </c>
      <c r="AI47" s="21">
        <f t="shared" si="54"/>
        <v>0</v>
      </c>
      <c r="AJ47" s="21">
        <f t="shared" si="50"/>
        <v>1573948</v>
      </c>
      <c r="AK47" s="21">
        <f t="shared" si="47"/>
        <v>268468062</v>
      </c>
      <c r="AL47" s="21">
        <f t="shared" si="51"/>
        <v>14856938</v>
      </c>
      <c r="AM47" s="21">
        <f t="shared" si="53"/>
        <v>1573948</v>
      </c>
      <c r="AN47" s="133">
        <f t="shared" si="48"/>
        <v>0.9420069319685873</v>
      </c>
      <c r="AO47" s="130">
        <v>0</v>
      </c>
      <c r="AP47" s="130">
        <f t="shared" si="49"/>
        <v>1</v>
      </c>
      <c r="AQ47" s="130">
        <f>+AE47/V47</f>
        <v>0.5344544131762654</v>
      </c>
      <c r="AR47" s="169">
        <f t="shared" si="52"/>
        <v>0.9700189833345184</v>
      </c>
    </row>
    <row r="48" spans="1:44" ht="16.5" hidden="1" outlineLevel="1">
      <c r="A48" s="217" t="s">
        <v>165</v>
      </c>
      <c r="B48" s="208">
        <f>+SUM(B49:B51)</f>
        <v>212161670</v>
      </c>
      <c r="C48" s="36"/>
      <c r="D48" s="36"/>
      <c r="E48" s="208">
        <f>+SUM(E49:E51)</f>
        <v>0</v>
      </c>
      <c r="F48" s="36"/>
      <c r="G48" s="36"/>
      <c r="H48" s="373">
        <f>+SUM(H49:H51)</f>
        <v>5500000</v>
      </c>
      <c r="I48" s="19">
        <f>+SUM(I49:I51)</f>
        <v>217661670</v>
      </c>
      <c r="J48" s="21">
        <f>+SUM(J49:J51)</f>
        <v>86109670</v>
      </c>
      <c r="K48" s="21"/>
      <c r="L48" s="21">
        <f>+L49+L51</f>
        <v>-1808</v>
      </c>
      <c r="M48" s="21">
        <f>+SUM(M49:M51)</f>
        <v>68393129</v>
      </c>
      <c r="N48" s="21">
        <f>+SUM(N49:N51)</f>
        <v>20000000</v>
      </c>
      <c r="O48" s="21">
        <f aca="true" t="shared" si="58" ref="O48:V48">+SUM(O49:O51)</f>
        <v>0</v>
      </c>
      <c r="P48" s="21">
        <f>+SUM(P49:P51)</f>
        <v>-2442038</v>
      </c>
      <c r="Q48" s="21">
        <f t="shared" si="58"/>
        <v>17557962</v>
      </c>
      <c r="R48" s="21">
        <f t="shared" si="58"/>
        <v>79531145</v>
      </c>
      <c r="S48" s="21">
        <f>+SUM(S49:S51)</f>
        <v>0</v>
      </c>
      <c r="T48" s="21">
        <f>+SUM(T49:T51)</f>
        <v>0</v>
      </c>
      <c r="U48" s="21">
        <f>+SUM(U49:U51)</f>
        <v>-8648167</v>
      </c>
      <c r="V48" s="21">
        <f t="shared" si="58"/>
        <v>70882978</v>
      </c>
      <c r="W48" s="21">
        <f>+SUM(W49:W51)</f>
        <v>45970663</v>
      </c>
      <c r="X48" s="21">
        <f>+SUM(X49:X51)</f>
        <v>0</v>
      </c>
      <c r="Y48" s="21">
        <f>+SUM(Y49:Y51)</f>
        <v>0</v>
      </c>
      <c r="Z48" s="21">
        <f>+SUM(Z49:Z51)</f>
        <v>45970663</v>
      </c>
      <c r="AA48" s="20">
        <f>+SUM(AA49:AA51)</f>
        <v>202804732</v>
      </c>
      <c r="AB48" s="358">
        <f>+AB49+AB51+AB50</f>
        <v>68393129</v>
      </c>
      <c r="AC48" s="392">
        <f>SUM(AC49:AC51)</f>
        <v>17557962</v>
      </c>
      <c r="AD48" s="392">
        <f>+SUM(AD49:AD51)</f>
        <v>70882978</v>
      </c>
      <c r="AE48" s="392">
        <f>+'[4]PPC OCT-DIC-11'!$G$544</f>
        <v>44396715</v>
      </c>
      <c r="AF48" s="392">
        <f>+SUM(AF49:AF51)</f>
        <v>201230784</v>
      </c>
      <c r="AG48" s="22">
        <f t="shared" si="46"/>
        <v>0</v>
      </c>
      <c r="AH48" s="22">
        <f>+Q48-AC48</f>
        <v>0</v>
      </c>
      <c r="AI48" s="21">
        <f t="shared" si="54"/>
        <v>0</v>
      </c>
      <c r="AJ48" s="21">
        <f t="shared" si="50"/>
        <v>1573948</v>
      </c>
      <c r="AK48" s="21">
        <f t="shared" si="47"/>
        <v>202804732</v>
      </c>
      <c r="AL48" s="21">
        <f t="shared" si="51"/>
        <v>14856938</v>
      </c>
      <c r="AM48" s="21">
        <f t="shared" si="53"/>
        <v>1573948</v>
      </c>
      <c r="AN48" s="130">
        <v>0</v>
      </c>
      <c r="AO48" s="130">
        <v>0</v>
      </c>
      <c r="AP48" s="130">
        <v>0</v>
      </c>
      <c r="AQ48" s="130">
        <f aca="true" t="shared" si="59" ref="AQ48:AQ60">+AD48/V48</f>
        <v>1</v>
      </c>
      <c r="AR48" s="169">
        <f t="shared" si="52"/>
        <v>0.9657619034121827</v>
      </c>
    </row>
    <row r="49" spans="1:44" ht="16.5" hidden="1" outlineLevel="2">
      <c r="A49" s="187" t="s">
        <v>191</v>
      </c>
      <c r="B49" s="211">
        <f>22313000+1483689-203330</f>
        <v>23593359</v>
      </c>
      <c r="C49" s="8"/>
      <c r="D49" s="8"/>
      <c r="E49" s="8"/>
      <c r="F49" s="8"/>
      <c r="G49" s="8"/>
      <c r="H49" s="370"/>
      <c r="I49" s="8">
        <f>SUM(B49:H49)</f>
        <v>23593359</v>
      </c>
      <c r="J49" s="7">
        <f>22313000+1483689-203330</f>
        <v>23593359</v>
      </c>
      <c r="K49" s="7"/>
      <c r="L49" s="7">
        <v>0</v>
      </c>
      <c r="M49" s="7">
        <f aca="true" t="shared" si="60" ref="M49:M60">+SUM(J49:L49)</f>
        <v>23593359</v>
      </c>
      <c r="N49" s="7">
        <v>0</v>
      </c>
      <c r="O49" s="8"/>
      <c r="P49" s="7">
        <f>+AC49-N49-O49</f>
        <v>0</v>
      </c>
      <c r="Q49" s="7">
        <f>+SUM(N49:P49)</f>
        <v>0</v>
      </c>
      <c r="R49" s="7">
        <v>0</v>
      </c>
      <c r="S49" s="7"/>
      <c r="T49" s="7"/>
      <c r="U49" s="7">
        <f>-R49-S49-T49+AD49</f>
        <v>0</v>
      </c>
      <c r="V49" s="7">
        <f>+SUM(R49:U49)</f>
        <v>0</v>
      </c>
      <c r="W49" s="7">
        <f>+I49-M49-Q49-V49</f>
        <v>0</v>
      </c>
      <c r="X49" s="7"/>
      <c r="Y49" s="7"/>
      <c r="Z49" s="7">
        <f>+SUM(W49:Y49)</f>
        <v>0</v>
      </c>
      <c r="AA49" s="8">
        <f>+M49+Q49+V49+Z49</f>
        <v>23593359</v>
      </c>
      <c r="AB49" s="357">
        <f>+'[4]PPC ENE-MAR-11'!$G$439</f>
        <v>23593359</v>
      </c>
      <c r="AC49" s="357">
        <f>+'[4]PPC ABR-JUN-11'!$G$523</f>
        <v>0</v>
      </c>
      <c r="AD49" s="357">
        <f>+'[4]PPC JUL-SEP-11'!$G$512</f>
        <v>0</v>
      </c>
      <c r="AE49" s="357">
        <f>+'[4]PPC OCT-DIC-11'!$G$545</f>
        <v>0</v>
      </c>
      <c r="AF49" s="357">
        <f>SUM(AB49:AE49)</f>
        <v>23593359</v>
      </c>
      <c r="AG49" s="36">
        <f t="shared" si="46"/>
        <v>0</v>
      </c>
      <c r="AH49" s="36">
        <f>+AH51</f>
        <v>0</v>
      </c>
      <c r="AI49" s="7">
        <f t="shared" si="54"/>
        <v>0</v>
      </c>
      <c r="AJ49" s="7">
        <f t="shared" si="50"/>
        <v>0</v>
      </c>
      <c r="AK49" s="7">
        <f t="shared" si="47"/>
        <v>23593359</v>
      </c>
      <c r="AL49" s="7">
        <f t="shared" si="51"/>
        <v>0</v>
      </c>
      <c r="AM49" s="7">
        <f t="shared" si="53"/>
        <v>0</v>
      </c>
      <c r="AN49" s="133">
        <f aca="true" t="shared" si="61" ref="AN49:AN57">+AF49/I49</f>
        <v>1</v>
      </c>
      <c r="AO49" s="133">
        <f>+AB49/M49</f>
        <v>1</v>
      </c>
      <c r="AP49" s="130">
        <v>0</v>
      </c>
      <c r="AQ49" s="133" t="e">
        <f t="shared" si="59"/>
        <v>#DIV/0!</v>
      </c>
      <c r="AR49" s="176" t="e">
        <f t="shared" si="52"/>
        <v>#DIV/0!</v>
      </c>
    </row>
    <row r="50" spans="1:44" ht="16.5" hidden="1" outlineLevel="2">
      <c r="A50" s="187" t="s">
        <v>173</v>
      </c>
      <c r="B50" s="211">
        <f>142052000-2500000</f>
        <v>139552000</v>
      </c>
      <c r="C50" s="8"/>
      <c r="D50" s="8"/>
      <c r="E50" s="8"/>
      <c r="F50" s="8"/>
      <c r="G50" s="8"/>
      <c r="H50" s="370"/>
      <c r="I50" s="8">
        <f>SUM(B50:H50)</f>
        <v>139552000</v>
      </c>
      <c r="J50" s="7">
        <f>50000000-2500000</f>
        <v>47500000</v>
      </c>
      <c r="K50" s="7"/>
      <c r="L50" s="7">
        <v>-17714733</v>
      </c>
      <c r="M50" s="7">
        <f t="shared" si="60"/>
        <v>29785267</v>
      </c>
      <c r="N50" s="7">
        <v>20000000</v>
      </c>
      <c r="O50" s="8"/>
      <c r="P50" s="7">
        <f>+AC50-N50-O50</f>
        <v>-2442038</v>
      </c>
      <c r="Q50" s="7">
        <f>+SUM(N50:P50)</f>
        <v>17557962</v>
      </c>
      <c r="R50" s="7">
        <v>70000000</v>
      </c>
      <c r="S50" s="7"/>
      <c r="T50" s="7"/>
      <c r="U50" s="7">
        <f>-R50-S50-T50+AD50</f>
        <v>-8648167</v>
      </c>
      <c r="V50" s="7">
        <f>+SUM(R50:U50)</f>
        <v>61351833</v>
      </c>
      <c r="W50" s="7">
        <v>16000000</v>
      </c>
      <c r="X50" s="7"/>
      <c r="Y50" s="7"/>
      <c r="Z50" s="7">
        <f>+SUM(W50:Y50)</f>
        <v>16000000</v>
      </c>
      <c r="AA50" s="8">
        <f>+M50+Q50+V50+Z50</f>
        <v>124695062</v>
      </c>
      <c r="AB50" s="357">
        <f>+'[4]PPC ENE-MAR-11'!$G$459</f>
        <v>29785267</v>
      </c>
      <c r="AC50" s="357">
        <f>+'[4]PPC ABR-JUN-11'!$G$528</f>
        <v>17557962</v>
      </c>
      <c r="AD50" s="357">
        <f>+'[4]PPC JUL-SEP-11'!$G$516</f>
        <v>61351833</v>
      </c>
      <c r="AE50" s="357">
        <f>+'[4]PPC OCT-DIC-11'!$G$550</f>
        <v>14775272</v>
      </c>
      <c r="AF50" s="357">
        <f>SUM(AB50:AE50)</f>
        <v>123470334</v>
      </c>
      <c r="AG50" s="36">
        <f t="shared" si="46"/>
        <v>0</v>
      </c>
      <c r="AH50" s="36">
        <f>+AH52</f>
        <v>0</v>
      </c>
      <c r="AI50" s="7">
        <f t="shared" si="54"/>
        <v>0</v>
      </c>
      <c r="AJ50" s="7">
        <f t="shared" si="50"/>
        <v>1224728</v>
      </c>
      <c r="AK50" s="7">
        <f>+AA50</f>
        <v>124695062</v>
      </c>
      <c r="AL50" s="7">
        <f t="shared" si="51"/>
        <v>14856938</v>
      </c>
      <c r="AM50" s="7">
        <f>+AK50-AF50</f>
        <v>1224728</v>
      </c>
      <c r="AN50" s="133">
        <f t="shared" si="61"/>
        <v>0.884762196170603</v>
      </c>
      <c r="AO50" s="133">
        <f>+AB50/M50</f>
        <v>1</v>
      </c>
      <c r="AP50" s="130">
        <v>0</v>
      </c>
      <c r="AQ50" s="133">
        <f t="shared" si="59"/>
        <v>1</v>
      </c>
      <c r="AR50" s="176">
        <f>+AE50/Z50</f>
        <v>0.9234545</v>
      </c>
    </row>
    <row r="51" spans="1:44" ht="16.5" hidden="1" outlineLevel="2">
      <c r="A51" s="187" t="s">
        <v>174</v>
      </c>
      <c r="B51" s="211">
        <f>48000000+2500000-1483689</f>
        <v>49016311</v>
      </c>
      <c r="C51" s="8"/>
      <c r="D51" s="8"/>
      <c r="E51" s="8"/>
      <c r="F51" s="8"/>
      <c r="G51" s="8"/>
      <c r="H51" s="370">
        <v>5500000</v>
      </c>
      <c r="I51" s="8">
        <f>SUM(B51:H51)</f>
        <v>54516311</v>
      </c>
      <c r="J51" s="7">
        <f>13000000+2500000+1000000-1483689</f>
        <v>15016311</v>
      </c>
      <c r="K51" s="7"/>
      <c r="L51" s="7">
        <v>-1808</v>
      </c>
      <c r="M51" s="7">
        <f t="shared" si="60"/>
        <v>15014503</v>
      </c>
      <c r="N51" s="7">
        <v>0</v>
      </c>
      <c r="O51" s="8"/>
      <c r="P51" s="7">
        <f>+AC51-N51-O51</f>
        <v>0</v>
      </c>
      <c r="Q51" s="7">
        <f>+SUM(N51:P51)</f>
        <v>0</v>
      </c>
      <c r="R51" s="7">
        <f>12000000-2468855</f>
        <v>9531145</v>
      </c>
      <c r="S51" s="7"/>
      <c r="T51" s="7"/>
      <c r="U51" s="7">
        <f>-R51-S51-T51+AD51</f>
        <v>0</v>
      </c>
      <c r="V51" s="7">
        <f>+SUM(R51:U51)</f>
        <v>9531145</v>
      </c>
      <c r="W51" s="7">
        <f>24470663+5500000</f>
        <v>29970663</v>
      </c>
      <c r="X51" s="7"/>
      <c r="Y51" s="12"/>
      <c r="Z51" s="7">
        <f>+SUM(W51:Y51)</f>
        <v>29970663</v>
      </c>
      <c r="AA51" s="8">
        <f>+M51+Q51+V51+Z51</f>
        <v>54516311</v>
      </c>
      <c r="AB51" s="357">
        <f>+'[4]PPC ENE-MAR-11'!$G$479</f>
        <v>15014503</v>
      </c>
      <c r="AC51" s="357">
        <f>+'[4]PPC ABR-JUN-11'!$G$551</f>
        <v>0</v>
      </c>
      <c r="AD51" s="357">
        <f>+'[4]PPC JUL-SEP-11'!$G$560</f>
        <v>9531145</v>
      </c>
      <c r="AE51" s="357">
        <f>+'[4]PPC OCT-DIC-11'!$G$574</f>
        <v>29621443</v>
      </c>
      <c r="AF51" s="357">
        <f>SUM(AB51:AE51)</f>
        <v>54167091</v>
      </c>
      <c r="AG51" s="19">
        <f t="shared" si="46"/>
        <v>0</v>
      </c>
      <c r="AH51" s="19">
        <f>+SUM(AH52:AH53)</f>
        <v>0</v>
      </c>
      <c r="AI51" s="12">
        <f t="shared" si="54"/>
        <v>0</v>
      </c>
      <c r="AJ51" s="12">
        <f t="shared" si="50"/>
        <v>349220</v>
      </c>
      <c r="AK51" s="12">
        <f t="shared" si="47"/>
        <v>54516311</v>
      </c>
      <c r="AL51" s="12">
        <f t="shared" si="51"/>
        <v>0</v>
      </c>
      <c r="AM51" s="12">
        <f t="shared" si="53"/>
        <v>349220</v>
      </c>
      <c r="AN51" s="133">
        <f t="shared" si="61"/>
        <v>0.9935942107308031</v>
      </c>
      <c r="AO51" s="133">
        <f>+AB51/M51</f>
        <v>1</v>
      </c>
      <c r="AP51" s="130">
        <v>0</v>
      </c>
      <c r="AQ51" s="133">
        <f t="shared" si="59"/>
        <v>1</v>
      </c>
      <c r="AR51" s="176">
        <f t="shared" si="52"/>
        <v>0.9883479387826689</v>
      </c>
    </row>
    <row r="52" spans="1:44" ht="16.5" hidden="1" outlineLevel="1">
      <c r="A52" s="217" t="s">
        <v>175</v>
      </c>
      <c r="B52" s="208">
        <f aca="true" t="shared" si="62" ref="B52:Z52">+B53</f>
        <v>71163330</v>
      </c>
      <c r="C52" s="19">
        <f t="shared" si="62"/>
        <v>0</v>
      </c>
      <c r="D52" s="19">
        <f t="shared" si="62"/>
        <v>0</v>
      </c>
      <c r="E52" s="19">
        <f t="shared" si="62"/>
        <v>0</v>
      </c>
      <c r="F52" s="19">
        <f t="shared" si="62"/>
        <v>0</v>
      </c>
      <c r="G52" s="19">
        <f t="shared" si="62"/>
        <v>0</v>
      </c>
      <c r="H52" s="358">
        <f t="shared" si="62"/>
        <v>-5500000</v>
      </c>
      <c r="I52" s="19">
        <f t="shared" si="62"/>
        <v>65663330</v>
      </c>
      <c r="J52" s="21">
        <f t="shared" si="62"/>
        <v>17803330</v>
      </c>
      <c r="K52" s="21"/>
      <c r="L52" s="21">
        <f t="shared" si="62"/>
        <v>-110836</v>
      </c>
      <c r="M52" s="21">
        <f t="shared" si="62"/>
        <v>17692494</v>
      </c>
      <c r="N52" s="21">
        <f t="shared" si="62"/>
        <v>18600000</v>
      </c>
      <c r="O52" s="21">
        <f t="shared" si="62"/>
        <v>0</v>
      </c>
      <c r="P52" s="21">
        <f t="shared" si="62"/>
        <v>-1556274</v>
      </c>
      <c r="Q52" s="21">
        <f t="shared" si="62"/>
        <v>17043726</v>
      </c>
      <c r="R52" s="21">
        <f t="shared" si="62"/>
        <v>27468855</v>
      </c>
      <c r="S52" s="21">
        <f t="shared" si="62"/>
        <v>0</v>
      </c>
      <c r="T52" s="21">
        <f t="shared" si="62"/>
        <v>0</v>
      </c>
      <c r="U52" s="21">
        <f t="shared" si="62"/>
        <v>-3069235</v>
      </c>
      <c r="V52" s="21">
        <f t="shared" si="62"/>
        <v>24399620</v>
      </c>
      <c r="W52" s="21">
        <f t="shared" si="62"/>
        <v>6527490</v>
      </c>
      <c r="X52" s="21">
        <f t="shared" si="62"/>
        <v>0</v>
      </c>
      <c r="Y52" s="21">
        <f t="shared" si="62"/>
        <v>0</v>
      </c>
      <c r="Z52" s="21">
        <f t="shared" si="62"/>
        <v>6527490</v>
      </c>
      <c r="AA52" s="20">
        <f aca="true" t="shared" si="63" ref="AA52:AF52">+AA53</f>
        <v>65663330</v>
      </c>
      <c r="AB52" s="358">
        <f t="shared" si="63"/>
        <v>17692494</v>
      </c>
      <c r="AC52" s="392">
        <f t="shared" si="63"/>
        <v>17043726</v>
      </c>
      <c r="AD52" s="392">
        <f t="shared" si="63"/>
        <v>24399620</v>
      </c>
      <c r="AE52" s="392">
        <f>+'[4]PPC OCT-DIC-11'!$G$590</f>
        <v>6527490</v>
      </c>
      <c r="AF52" s="392">
        <f t="shared" si="63"/>
        <v>65663330</v>
      </c>
      <c r="AG52" s="22">
        <f t="shared" si="46"/>
        <v>0</v>
      </c>
      <c r="AH52" s="22">
        <f>+Q52-AC52</f>
        <v>0</v>
      </c>
      <c r="AI52" s="21">
        <f t="shared" si="54"/>
        <v>0</v>
      </c>
      <c r="AJ52" s="21">
        <f t="shared" si="50"/>
        <v>0</v>
      </c>
      <c r="AK52" s="21">
        <f t="shared" si="47"/>
        <v>65663330</v>
      </c>
      <c r="AL52" s="21">
        <f t="shared" si="51"/>
        <v>0</v>
      </c>
      <c r="AM52" s="21">
        <f t="shared" si="53"/>
        <v>0</v>
      </c>
      <c r="AN52" s="130">
        <f t="shared" si="61"/>
        <v>1</v>
      </c>
      <c r="AO52" s="130">
        <v>0</v>
      </c>
      <c r="AP52" s="130">
        <f>+AC52/Q52</f>
        <v>1</v>
      </c>
      <c r="AQ52" s="130">
        <f t="shared" si="59"/>
        <v>1</v>
      </c>
      <c r="AR52" s="169">
        <f t="shared" si="52"/>
        <v>1</v>
      </c>
    </row>
    <row r="53" spans="1:44" ht="15" hidden="1" outlineLevel="1">
      <c r="A53" s="187" t="s">
        <v>176</v>
      </c>
      <c r="B53" s="211">
        <f>70960000+203330</f>
        <v>71163330</v>
      </c>
      <c r="C53" s="8"/>
      <c r="D53" s="8"/>
      <c r="E53" s="8"/>
      <c r="F53" s="8"/>
      <c r="G53" s="8"/>
      <c r="H53" s="370">
        <v>-5500000</v>
      </c>
      <c r="I53" s="8">
        <f>SUM(B53:H53)</f>
        <v>65663330</v>
      </c>
      <c r="J53" s="7">
        <f>18600000-1000000+203330</f>
        <v>17803330</v>
      </c>
      <c r="K53" s="7"/>
      <c r="L53" s="7">
        <v>-110836</v>
      </c>
      <c r="M53" s="7">
        <f t="shared" si="60"/>
        <v>17692494</v>
      </c>
      <c r="N53" s="7">
        <v>18600000</v>
      </c>
      <c r="O53" s="8"/>
      <c r="P53" s="7">
        <f>+AC53-N53-O53</f>
        <v>-1556274</v>
      </c>
      <c r="Q53" s="7">
        <f>+SUM(N53:P53)</f>
        <v>17043726</v>
      </c>
      <c r="R53" s="7">
        <f>25000000+2468855</f>
        <v>27468855</v>
      </c>
      <c r="S53" s="7"/>
      <c r="T53" s="7"/>
      <c r="U53" s="7">
        <f>-R53-S53-T53+AD53</f>
        <v>-3069235</v>
      </c>
      <c r="V53" s="7">
        <f>+SUM(R53:U53)</f>
        <v>24399620</v>
      </c>
      <c r="W53" s="7">
        <f>12027490-5500000</f>
        <v>6527490</v>
      </c>
      <c r="X53" s="7"/>
      <c r="Y53" s="7"/>
      <c r="Z53" s="7">
        <f>+SUM(W53:Y53)</f>
        <v>6527490</v>
      </c>
      <c r="AA53" s="8">
        <f>+M53+Q53+V53+Z53</f>
        <v>65663330</v>
      </c>
      <c r="AB53" s="360">
        <f>+'[4]PPC ENE-MAR-11'!$G$490</f>
        <v>17692494</v>
      </c>
      <c r="AC53" s="357">
        <f>+'[4]PPC ABR-JUN-11'!$G$557</f>
        <v>17043726</v>
      </c>
      <c r="AD53" s="357">
        <f>+'[4]PPC JUL-SEP-11'!$G$569</f>
        <v>24399620</v>
      </c>
      <c r="AE53" s="357">
        <f>+'[4]PPC OCT-DIC-11'!$G$591</f>
        <v>6527490</v>
      </c>
      <c r="AF53" s="357">
        <f>SUM(AB53:AE53)</f>
        <v>65663330</v>
      </c>
      <c r="AG53" s="12">
        <f t="shared" si="46"/>
        <v>0</v>
      </c>
      <c r="AH53" s="12">
        <f>+Q53-AC53</f>
        <v>0</v>
      </c>
      <c r="AI53" s="12">
        <f t="shared" si="54"/>
        <v>0</v>
      </c>
      <c r="AJ53" s="12">
        <f t="shared" si="50"/>
        <v>0</v>
      </c>
      <c r="AK53" s="12">
        <f t="shared" si="47"/>
        <v>65663330</v>
      </c>
      <c r="AL53" s="12">
        <f t="shared" si="51"/>
        <v>0</v>
      </c>
      <c r="AM53" s="12">
        <f t="shared" si="53"/>
        <v>0</v>
      </c>
      <c r="AN53" s="130">
        <f t="shared" si="61"/>
        <v>1</v>
      </c>
      <c r="AO53" s="130">
        <f>+AB53/M53</f>
        <v>1</v>
      </c>
      <c r="AP53" s="130">
        <f>+AC53/Q53</f>
        <v>1</v>
      </c>
      <c r="AQ53" s="130">
        <f t="shared" si="59"/>
        <v>1</v>
      </c>
      <c r="AR53" s="169">
        <f t="shared" si="52"/>
        <v>1</v>
      </c>
    </row>
    <row r="54" spans="1:44" ht="18" customHeight="1" collapsed="1">
      <c r="A54" s="218" t="s">
        <v>166</v>
      </c>
      <c r="B54" s="208">
        <f aca="true" t="shared" si="64" ref="B54:Q54">SUM(B55:B58)</f>
        <v>140000000</v>
      </c>
      <c r="C54" s="21">
        <f t="shared" si="64"/>
        <v>0</v>
      </c>
      <c r="D54" s="21">
        <f t="shared" si="64"/>
        <v>0</v>
      </c>
      <c r="E54" s="21">
        <f>SUM(E55:E58)</f>
        <v>92000000</v>
      </c>
      <c r="F54" s="21">
        <f>SUM(F55:F58)</f>
        <v>-36700000</v>
      </c>
      <c r="G54" s="21">
        <f>SUM(G55:G58)</f>
        <v>0</v>
      </c>
      <c r="H54" s="434">
        <f>SUM(H55:H58)</f>
        <v>0</v>
      </c>
      <c r="I54" s="20">
        <f t="shared" si="64"/>
        <v>195300000</v>
      </c>
      <c r="J54" s="19">
        <f t="shared" si="64"/>
        <v>30000000</v>
      </c>
      <c r="K54" s="19"/>
      <c r="L54" s="19">
        <f t="shared" si="64"/>
        <v>-274.25</v>
      </c>
      <c r="M54" s="19">
        <f t="shared" si="64"/>
        <v>29999725.75</v>
      </c>
      <c r="N54" s="21">
        <f t="shared" si="64"/>
        <v>90000000</v>
      </c>
      <c r="O54" s="21">
        <f t="shared" si="64"/>
        <v>0</v>
      </c>
      <c r="P54" s="21">
        <f>SUM(P55:P58)</f>
        <v>-3017.75</v>
      </c>
      <c r="Q54" s="21">
        <f t="shared" si="64"/>
        <v>89996982.25</v>
      </c>
      <c r="R54" s="21">
        <f aca="true" t="shared" si="65" ref="R54:X54">SUM(R55:R58)</f>
        <v>112000000</v>
      </c>
      <c r="S54" s="21">
        <f t="shared" si="65"/>
        <v>-36700000</v>
      </c>
      <c r="T54" s="21">
        <f>SUM(T55:T58)</f>
        <v>0</v>
      </c>
      <c r="U54" s="21">
        <f t="shared" si="65"/>
        <v>-2053356</v>
      </c>
      <c r="V54" s="21">
        <f t="shared" si="65"/>
        <v>73246644</v>
      </c>
      <c r="W54" s="21">
        <f t="shared" si="65"/>
        <v>389630</v>
      </c>
      <c r="X54" s="21">
        <f t="shared" si="65"/>
        <v>0</v>
      </c>
      <c r="Y54" s="21">
        <f>+Y55</f>
        <v>0</v>
      </c>
      <c r="Z54" s="21">
        <f aca="true" t="shared" si="66" ref="Z54:AF54">SUM(Z55:Z58)</f>
        <v>389630</v>
      </c>
      <c r="AA54" s="20">
        <f t="shared" si="66"/>
        <v>193632982</v>
      </c>
      <c r="AB54" s="373">
        <f t="shared" si="66"/>
        <v>29999725.75</v>
      </c>
      <c r="AC54" s="392">
        <f t="shared" si="66"/>
        <v>89996982.25</v>
      </c>
      <c r="AD54" s="392">
        <f t="shared" si="66"/>
        <v>73246644</v>
      </c>
      <c r="AE54" s="392">
        <f>+'[4]PPC OCT-DIC-11'!$G$607</f>
        <v>383890</v>
      </c>
      <c r="AF54" s="392">
        <f t="shared" si="66"/>
        <v>193627242</v>
      </c>
      <c r="AG54" s="19">
        <f t="shared" si="46"/>
        <v>0</v>
      </c>
      <c r="AH54" s="19">
        <f>+AH55</f>
        <v>0</v>
      </c>
      <c r="AI54" s="20">
        <f t="shared" si="54"/>
        <v>0</v>
      </c>
      <c r="AJ54" s="20">
        <f t="shared" si="50"/>
        <v>5740</v>
      </c>
      <c r="AK54" s="20">
        <f t="shared" si="47"/>
        <v>193632982</v>
      </c>
      <c r="AL54" s="20">
        <f t="shared" si="51"/>
        <v>1667018</v>
      </c>
      <c r="AM54" s="20">
        <f t="shared" si="53"/>
        <v>5740</v>
      </c>
      <c r="AN54" s="133">
        <f t="shared" si="61"/>
        <v>0.991434930875576</v>
      </c>
      <c r="AO54" s="133">
        <v>0</v>
      </c>
      <c r="AP54" s="133">
        <v>0</v>
      </c>
      <c r="AQ54" s="133">
        <f t="shared" si="59"/>
        <v>1</v>
      </c>
      <c r="AR54" s="176">
        <f t="shared" si="52"/>
        <v>0.985268074840233</v>
      </c>
    </row>
    <row r="55" spans="1:44" ht="15" hidden="1" outlineLevel="1">
      <c r="A55" s="219" t="s">
        <v>167</v>
      </c>
      <c r="B55" s="211">
        <v>90000000</v>
      </c>
      <c r="C55" s="8"/>
      <c r="D55" s="8"/>
      <c r="E55" s="8">
        <f>52000000+40000000</f>
        <v>92000000</v>
      </c>
      <c r="F55" s="8">
        <v>-36700000</v>
      </c>
      <c r="G55" s="8"/>
      <c r="H55" s="370"/>
      <c r="I55" s="8">
        <f>SUM(B55:H55)</f>
        <v>145300000</v>
      </c>
      <c r="J55" s="7">
        <v>20000000</v>
      </c>
      <c r="K55" s="7"/>
      <c r="L55" s="7">
        <v>-0.25</v>
      </c>
      <c r="M55" s="7">
        <f t="shared" si="60"/>
        <v>19999999.75</v>
      </c>
      <c r="N55" s="7">
        <v>60000000</v>
      </c>
      <c r="O55" s="8"/>
      <c r="P55" s="7">
        <f>+AC55-N55-O55</f>
        <v>-3017.75</v>
      </c>
      <c r="Q55" s="7">
        <f>+SUM(N55:P55)</f>
        <v>59996982.25</v>
      </c>
      <c r="R55" s="7">
        <f>26000000+36000000+40000000</f>
        <v>102000000</v>
      </c>
      <c r="S55" s="7">
        <v>-36700000</v>
      </c>
      <c r="T55" s="7"/>
      <c r="U55" s="7">
        <f>-R55-S55-T55+AD55</f>
        <v>-1664000</v>
      </c>
      <c r="V55" s="7">
        <f>+SUM(R55:U55)</f>
        <v>63636000</v>
      </c>
      <c r="W55" s="7"/>
      <c r="X55" s="7"/>
      <c r="Y55" s="7"/>
      <c r="Z55" s="7">
        <f>+SUM(W55:Y55)</f>
        <v>0</v>
      </c>
      <c r="AA55" s="8">
        <f>+M55+Q55+V55+Z55</f>
        <v>143632982</v>
      </c>
      <c r="AB55" s="360">
        <f>+'[4]PPC ENE-MAR-11'!$G$505</f>
        <v>19999999.75</v>
      </c>
      <c r="AC55" s="357">
        <f>+'[4]PPC ABR-JUN-11'!$G$574</f>
        <v>59996982.25</v>
      </c>
      <c r="AD55" s="357">
        <f>+'[4]PPC JUL-SEP-11'!$G$591</f>
        <v>63636000</v>
      </c>
      <c r="AE55" s="357">
        <f>+'[4]PPC OCT-DIC-11'!$G$608</f>
        <v>0</v>
      </c>
      <c r="AF55" s="357">
        <f>SUM(AB55:AE55)</f>
        <v>143632982</v>
      </c>
      <c r="AG55" s="12">
        <f t="shared" si="46"/>
        <v>0</v>
      </c>
      <c r="AH55" s="12">
        <f>+Q55-AC55</f>
        <v>0</v>
      </c>
      <c r="AI55" s="12">
        <f t="shared" si="54"/>
        <v>0</v>
      </c>
      <c r="AJ55" s="12">
        <f t="shared" si="50"/>
        <v>0</v>
      </c>
      <c r="AK55" s="12">
        <f t="shared" si="47"/>
        <v>143632982</v>
      </c>
      <c r="AL55" s="12">
        <f t="shared" si="51"/>
        <v>1667018</v>
      </c>
      <c r="AM55" s="12">
        <f t="shared" si="53"/>
        <v>0</v>
      </c>
      <c r="AN55" s="130">
        <f t="shared" si="61"/>
        <v>0.9885270612525808</v>
      </c>
      <c r="AO55" s="130">
        <v>0</v>
      </c>
      <c r="AP55" s="130">
        <v>0</v>
      </c>
      <c r="AQ55" s="130">
        <f t="shared" si="59"/>
        <v>1</v>
      </c>
      <c r="AR55" s="169" t="e">
        <f t="shared" si="52"/>
        <v>#DIV/0!</v>
      </c>
    </row>
    <row r="56" spans="1:44" ht="15" hidden="1" outlineLevel="1">
      <c r="A56" s="219" t="s">
        <v>168</v>
      </c>
      <c r="B56" s="211">
        <v>25000000</v>
      </c>
      <c r="C56" s="8"/>
      <c r="D56" s="8"/>
      <c r="E56" s="8"/>
      <c r="F56" s="8"/>
      <c r="G56" s="8"/>
      <c r="H56" s="370"/>
      <c r="I56" s="8">
        <f>SUM(B56:H56)</f>
        <v>25000000</v>
      </c>
      <c r="J56" s="7">
        <v>5000000</v>
      </c>
      <c r="K56" s="7"/>
      <c r="L56" s="7">
        <v>0</v>
      </c>
      <c r="M56" s="7">
        <f t="shared" si="60"/>
        <v>5000000</v>
      </c>
      <c r="N56" s="7">
        <v>20000000</v>
      </c>
      <c r="O56" s="8"/>
      <c r="P56" s="7">
        <f>+AC56-N56-O56</f>
        <v>0</v>
      </c>
      <c r="Q56" s="7">
        <f>+SUM(N56:P56)</f>
        <v>20000000</v>
      </c>
      <c r="R56" s="7">
        <v>0</v>
      </c>
      <c r="S56" s="7"/>
      <c r="T56" s="7"/>
      <c r="U56" s="7">
        <f>-R56-S56-T56+AD56</f>
        <v>0</v>
      </c>
      <c r="V56" s="7">
        <f>+SUM(R56:U56)</f>
        <v>0</v>
      </c>
      <c r="W56" s="7">
        <v>0</v>
      </c>
      <c r="X56" s="7"/>
      <c r="Y56" s="7"/>
      <c r="Z56" s="7">
        <f>+SUM(W56:Y56)</f>
        <v>0</v>
      </c>
      <c r="AA56" s="8">
        <f>+M56+Q56+V56+Z56</f>
        <v>25000000</v>
      </c>
      <c r="AB56" s="360">
        <f>+'[4]PPC ENE-MAR-11'!$G$512</f>
        <v>5000000</v>
      </c>
      <c r="AC56" s="357">
        <f>+'[4]PPC ABR-JUN-11'!$G$624</f>
        <v>20000000</v>
      </c>
      <c r="AD56" s="357">
        <f>+'[4]PPC JUL-SEP-11'!$G$671</f>
        <v>0</v>
      </c>
      <c r="AE56" s="357">
        <f>+'[4]PPC OCT-DIC-11'!$G$621</f>
        <v>0</v>
      </c>
      <c r="AF56" s="357">
        <f>SUM(AB56:AE56)</f>
        <v>25000000</v>
      </c>
      <c r="AG56" s="12">
        <f t="shared" si="46"/>
        <v>0</v>
      </c>
      <c r="AH56" s="12">
        <f>SUM(AH57:AH60)</f>
        <v>0</v>
      </c>
      <c r="AI56" s="12">
        <f t="shared" si="54"/>
        <v>0</v>
      </c>
      <c r="AJ56" s="12">
        <f t="shared" si="50"/>
        <v>0</v>
      </c>
      <c r="AK56" s="12">
        <f t="shared" si="47"/>
        <v>25000000</v>
      </c>
      <c r="AL56" s="12">
        <f t="shared" si="51"/>
        <v>0</v>
      </c>
      <c r="AM56" s="12">
        <f t="shared" si="53"/>
        <v>0</v>
      </c>
      <c r="AN56" s="130">
        <f t="shared" si="61"/>
        <v>1</v>
      </c>
      <c r="AO56" s="130">
        <f>+AB56/M56</f>
        <v>1</v>
      </c>
      <c r="AP56" s="130">
        <f>+AC56/Q56</f>
        <v>1</v>
      </c>
      <c r="AQ56" s="130" t="e">
        <f t="shared" si="59"/>
        <v>#DIV/0!</v>
      </c>
      <c r="AR56" s="169" t="e">
        <f t="shared" si="52"/>
        <v>#DIV/0!</v>
      </c>
    </row>
    <row r="57" spans="1:44" ht="15" hidden="1" outlineLevel="1">
      <c r="A57" s="219" t="s">
        <v>177</v>
      </c>
      <c r="B57" s="211">
        <v>20000000</v>
      </c>
      <c r="C57" s="8"/>
      <c r="D57" s="8"/>
      <c r="E57" s="8">
        <f>40000000-40000000</f>
        <v>0</v>
      </c>
      <c r="F57" s="8"/>
      <c r="G57" s="8"/>
      <c r="H57" s="370"/>
      <c r="I57" s="8">
        <f>SUM(B57:H57)</f>
        <v>20000000</v>
      </c>
      <c r="J57" s="7">
        <v>5000000</v>
      </c>
      <c r="K57" s="7"/>
      <c r="L57" s="7">
        <v>-274</v>
      </c>
      <c r="M57" s="7">
        <f t="shared" si="60"/>
        <v>4999726</v>
      </c>
      <c r="N57" s="7">
        <v>5000000</v>
      </c>
      <c r="O57" s="8"/>
      <c r="P57" s="7">
        <f>+AC57-N57-O57</f>
        <v>0</v>
      </c>
      <c r="Q57" s="7">
        <f>+SUM(N57:P57)</f>
        <v>5000000</v>
      </c>
      <c r="R57" s="7">
        <f>50000000-40000000</f>
        <v>10000000</v>
      </c>
      <c r="S57" s="7"/>
      <c r="T57" s="7"/>
      <c r="U57" s="7">
        <f>-R57-S57-T57+AD57</f>
        <v>-389356</v>
      </c>
      <c r="V57" s="7">
        <f>+SUM(R57:U57)</f>
        <v>9610644</v>
      </c>
      <c r="W57" s="7">
        <v>389630</v>
      </c>
      <c r="X57" s="7"/>
      <c r="Y57" s="7"/>
      <c r="Z57" s="7">
        <f>+SUM(W57:Y57)</f>
        <v>389630</v>
      </c>
      <c r="AA57" s="8">
        <f>+M57+Q57+V57+Z57</f>
        <v>20000000</v>
      </c>
      <c r="AB57" s="360">
        <f>+'[4]PPC ENE-MAR-11'!$G$517</f>
        <v>4999726</v>
      </c>
      <c r="AC57" s="357">
        <f>+'[4]PPC ABR-JUN-11'!$G$630</f>
        <v>5000000</v>
      </c>
      <c r="AD57" s="357">
        <f>+'[4]PPC JUL-SEP-11'!$G$675</f>
        <v>9610644</v>
      </c>
      <c r="AE57" s="357">
        <f>+'[4]PPC OCT-DIC-11'!$G$627</f>
        <v>383890</v>
      </c>
      <c r="AF57" s="357">
        <f>SUM(AB57:AE57)</f>
        <v>19994260</v>
      </c>
      <c r="AG57" s="12">
        <f t="shared" si="46"/>
        <v>0</v>
      </c>
      <c r="AH57" s="12">
        <f>+Q57-AC57</f>
        <v>0</v>
      </c>
      <c r="AI57" s="12">
        <f t="shared" si="54"/>
        <v>0</v>
      </c>
      <c r="AJ57" s="12">
        <f t="shared" si="50"/>
        <v>5740</v>
      </c>
      <c r="AK57" s="12">
        <f t="shared" si="47"/>
        <v>20000000</v>
      </c>
      <c r="AL57" s="12">
        <f t="shared" si="51"/>
        <v>0</v>
      </c>
      <c r="AM57" s="12">
        <f t="shared" si="53"/>
        <v>5740</v>
      </c>
      <c r="AN57" s="130">
        <f t="shared" si="61"/>
        <v>0.999713</v>
      </c>
      <c r="AO57" s="130">
        <f>+AB57/M57</f>
        <v>1</v>
      </c>
      <c r="AP57" s="130">
        <f>+AC57/Q57</f>
        <v>1</v>
      </c>
      <c r="AQ57" s="130">
        <f t="shared" si="59"/>
        <v>1</v>
      </c>
      <c r="AR57" s="169">
        <f t="shared" si="52"/>
        <v>0.985268074840233</v>
      </c>
    </row>
    <row r="58" spans="1:44" ht="15" hidden="1" outlineLevel="1">
      <c r="A58" s="219" t="s">
        <v>192</v>
      </c>
      <c r="B58" s="211">
        <v>5000000</v>
      </c>
      <c r="C58" s="8"/>
      <c r="D58" s="8"/>
      <c r="E58" s="8"/>
      <c r="F58" s="8"/>
      <c r="G58" s="8"/>
      <c r="H58" s="370"/>
      <c r="I58" s="8">
        <f>SUM(B58:H58)</f>
        <v>5000000</v>
      </c>
      <c r="J58" s="7">
        <v>0</v>
      </c>
      <c r="K58" s="7"/>
      <c r="L58" s="7">
        <v>0</v>
      </c>
      <c r="M58" s="7">
        <f t="shared" si="60"/>
        <v>0</v>
      </c>
      <c r="N58" s="7">
        <v>5000000</v>
      </c>
      <c r="O58" s="8"/>
      <c r="P58" s="7">
        <f>+AC58-N58-O58</f>
        <v>0</v>
      </c>
      <c r="Q58" s="7">
        <f>+SUM(N58:P58)</f>
        <v>5000000</v>
      </c>
      <c r="R58" s="7"/>
      <c r="S58" s="7"/>
      <c r="T58" s="7"/>
      <c r="U58" s="7">
        <f>-R58-S58-T58+AD58</f>
        <v>0</v>
      </c>
      <c r="V58" s="7">
        <f>+SUM(R58:U58)</f>
        <v>0</v>
      </c>
      <c r="W58" s="7">
        <v>0</v>
      </c>
      <c r="X58" s="7"/>
      <c r="Y58" s="7"/>
      <c r="Z58" s="7">
        <f>+SUM(W58:Y58)</f>
        <v>0</v>
      </c>
      <c r="AA58" s="8">
        <f>+M58+Q58+V58+Z58</f>
        <v>5000000</v>
      </c>
      <c r="AB58" s="360">
        <f>+'[4]PPC ENE-MAR-11'!$G$523</f>
        <v>0</v>
      </c>
      <c r="AC58" s="357">
        <f>+'[4]PPC ABR-JUN-11'!$G$636</f>
        <v>5000000</v>
      </c>
      <c r="AD58" s="357">
        <f>+'[4]PPC JUL-SEP-11'!$G$682</f>
        <v>0</v>
      </c>
      <c r="AE58" s="357">
        <f>+'[4]PPC OCT-DIC-11'!$G$634</f>
        <v>0</v>
      </c>
      <c r="AF58" s="357">
        <f>SUM(AB58:AE58)</f>
        <v>5000000</v>
      </c>
      <c r="AG58" s="12">
        <f t="shared" si="46"/>
        <v>0</v>
      </c>
      <c r="AH58" s="12">
        <f>+Q58-AC58</f>
        <v>0</v>
      </c>
      <c r="AI58" s="12">
        <f t="shared" si="54"/>
        <v>0</v>
      </c>
      <c r="AJ58" s="12">
        <f t="shared" si="50"/>
        <v>0</v>
      </c>
      <c r="AK58" s="12">
        <f t="shared" si="47"/>
        <v>5000000</v>
      </c>
      <c r="AL58" s="12">
        <f t="shared" si="51"/>
        <v>0</v>
      </c>
      <c r="AM58" s="12">
        <f t="shared" si="53"/>
        <v>0</v>
      </c>
      <c r="AN58" s="130">
        <v>0</v>
      </c>
      <c r="AO58" s="130" t="e">
        <f>+AB58/M58</f>
        <v>#DIV/0!</v>
      </c>
      <c r="AP58" s="130">
        <v>0</v>
      </c>
      <c r="AQ58" s="130" t="e">
        <f t="shared" si="59"/>
        <v>#DIV/0!</v>
      </c>
      <c r="AR58" s="169" t="e">
        <f t="shared" si="52"/>
        <v>#DIV/0!</v>
      </c>
    </row>
    <row r="59" spans="1:44" ht="16.5" collapsed="1">
      <c r="A59" s="218" t="s">
        <v>169</v>
      </c>
      <c r="B59" s="109">
        <f aca="true" t="shared" si="67" ref="B59:Z59">+B60</f>
        <v>290700000</v>
      </c>
      <c r="C59" s="19">
        <f t="shared" si="67"/>
        <v>0</v>
      </c>
      <c r="D59" s="19">
        <f t="shared" si="67"/>
        <v>0</v>
      </c>
      <c r="E59" s="19">
        <f t="shared" si="67"/>
        <v>-80000000</v>
      </c>
      <c r="F59" s="19">
        <f t="shared" si="67"/>
        <v>0</v>
      </c>
      <c r="G59" s="19">
        <f t="shared" si="67"/>
        <v>0</v>
      </c>
      <c r="H59" s="358">
        <f t="shared" si="67"/>
        <v>0</v>
      </c>
      <c r="I59" s="36">
        <f t="shared" si="67"/>
        <v>210700000</v>
      </c>
      <c r="J59" s="58">
        <f t="shared" si="67"/>
        <v>106200000</v>
      </c>
      <c r="K59" s="58"/>
      <c r="L59" s="58">
        <f t="shared" si="67"/>
        <v>-94735084</v>
      </c>
      <c r="M59" s="58">
        <f t="shared" si="67"/>
        <v>11464916</v>
      </c>
      <c r="N59" s="58">
        <f t="shared" si="67"/>
        <v>67200000</v>
      </c>
      <c r="O59" s="58">
        <f t="shared" si="67"/>
        <v>0</v>
      </c>
      <c r="P59" s="58">
        <f t="shared" si="67"/>
        <v>-16783061</v>
      </c>
      <c r="Q59" s="58">
        <f t="shared" si="67"/>
        <v>50416939</v>
      </c>
      <c r="R59" s="58">
        <f t="shared" si="67"/>
        <v>70000000</v>
      </c>
      <c r="S59" s="58">
        <f t="shared" si="67"/>
        <v>0</v>
      </c>
      <c r="T59" s="58">
        <f t="shared" si="67"/>
        <v>0</v>
      </c>
      <c r="U59" s="58">
        <f t="shared" si="67"/>
        <v>-8874947</v>
      </c>
      <c r="V59" s="58">
        <f t="shared" si="67"/>
        <v>61125053</v>
      </c>
      <c r="W59" s="58">
        <f t="shared" si="67"/>
        <v>87693092</v>
      </c>
      <c r="X59" s="58">
        <f t="shared" si="67"/>
        <v>0</v>
      </c>
      <c r="Y59" s="58">
        <f t="shared" si="67"/>
        <v>0</v>
      </c>
      <c r="Z59" s="58">
        <f t="shared" si="67"/>
        <v>87693092</v>
      </c>
      <c r="AA59" s="45">
        <f aca="true" t="shared" si="68" ref="AA59:AF59">+AA60</f>
        <v>210700000</v>
      </c>
      <c r="AB59" s="373">
        <f t="shared" si="68"/>
        <v>11464916</v>
      </c>
      <c r="AC59" s="392">
        <f t="shared" si="68"/>
        <v>50416939</v>
      </c>
      <c r="AD59" s="392">
        <f t="shared" si="68"/>
        <v>61125053</v>
      </c>
      <c r="AE59" s="392">
        <f>+'[4]PPC OCT-DIC-11'!$G$639</f>
        <v>69793099</v>
      </c>
      <c r="AF59" s="392">
        <f t="shared" si="68"/>
        <v>192800007</v>
      </c>
      <c r="AG59" s="22">
        <f t="shared" si="46"/>
        <v>0</v>
      </c>
      <c r="AH59" s="22">
        <f>+Q59-AC59</f>
        <v>0</v>
      </c>
      <c r="AI59" s="21">
        <f t="shared" si="54"/>
        <v>0</v>
      </c>
      <c r="AJ59" s="21">
        <f t="shared" si="50"/>
        <v>17899993</v>
      </c>
      <c r="AK59" s="21">
        <f t="shared" si="47"/>
        <v>210700000</v>
      </c>
      <c r="AL59" s="21">
        <f t="shared" si="51"/>
        <v>0</v>
      </c>
      <c r="AM59" s="21">
        <f t="shared" si="53"/>
        <v>17899993</v>
      </c>
      <c r="AN59" s="133">
        <f aca="true" t="shared" si="69" ref="AN59:AN64">+AF59/I59</f>
        <v>0.9150451210251542</v>
      </c>
      <c r="AO59" s="130">
        <f>+AB59/M59</f>
        <v>1</v>
      </c>
      <c r="AP59" s="130">
        <f>+AC59/Q59</f>
        <v>1</v>
      </c>
      <c r="AQ59" s="130">
        <f t="shared" si="59"/>
        <v>1</v>
      </c>
      <c r="AR59" s="169">
        <f t="shared" si="52"/>
        <v>0.7958790984357126</v>
      </c>
    </row>
    <row r="60" spans="1:44" ht="15" hidden="1" outlineLevel="1">
      <c r="A60" s="219" t="s">
        <v>170</v>
      </c>
      <c r="B60" s="210">
        <v>290700000</v>
      </c>
      <c r="C60" s="8"/>
      <c r="D60" s="8"/>
      <c r="E60" s="8">
        <f>-66400000-13600000</f>
        <v>-80000000</v>
      </c>
      <c r="F60" s="8"/>
      <c r="G60" s="8"/>
      <c r="H60" s="370"/>
      <c r="I60" s="8">
        <f>SUM(B60:H60)</f>
        <v>210700000</v>
      </c>
      <c r="J60" s="7">
        <v>106200000</v>
      </c>
      <c r="K60" s="7"/>
      <c r="L60" s="7">
        <v>-94735084</v>
      </c>
      <c r="M60" s="7">
        <f t="shared" si="60"/>
        <v>11464916</v>
      </c>
      <c r="N60" s="7">
        <v>67200000</v>
      </c>
      <c r="O60" s="8"/>
      <c r="P60" s="7">
        <f>+AC60-N60-O60</f>
        <v>-16783061</v>
      </c>
      <c r="Q60" s="7">
        <f>+SUM(N60:P60)</f>
        <v>50416939</v>
      </c>
      <c r="R60" s="7">
        <v>70000000</v>
      </c>
      <c r="S60" s="7"/>
      <c r="T60" s="7"/>
      <c r="U60" s="7">
        <f>-R60-S60-T60+AD60</f>
        <v>-8874947</v>
      </c>
      <c r="V60" s="7">
        <f>+SUM(R60:U60)</f>
        <v>61125053</v>
      </c>
      <c r="W60" s="7">
        <v>87693092</v>
      </c>
      <c r="X60" s="7"/>
      <c r="Y60" s="7"/>
      <c r="Z60" s="7">
        <f>+SUM(W60:Y60)</f>
        <v>87693092</v>
      </c>
      <c r="AA60" s="8">
        <f>+M60+Q60+V60+Z60</f>
        <v>210700000</v>
      </c>
      <c r="AB60" s="360">
        <f>+'[4]PPC ENE-MAR-11'!$G$528</f>
        <v>11464916</v>
      </c>
      <c r="AC60" s="357">
        <f>+'[4]PPC ABR-JUN-11'!$G$641</f>
        <v>50416939</v>
      </c>
      <c r="AD60" s="357">
        <f>+'[4]PPC JUL-SEP-11'!$G$687</f>
        <v>61125053</v>
      </c>
      <c r="AE60" s="357">
        <f>+'[4]PPC OCT-DIC-11'!$G$640</f>
        <v>69793099</v>
      </c>
      <c r="AF60" s="357">
        <f>SUM(AB60:AE60)</f>
        <v>192800007</v>
      </c>
      <c r="AG60" s="12">
        <f t="shared" si="46"/>
        <v>0</v>
      </c>
      <c r="AH60" s="12">
        <f>+Q60-AC60</f>
        <v>0</v>
      </c>
      <c r="AI60" s="12">
        <f t="shared" si="54"/>
        <v>0</v>
      </c>
      <c r="AJ60" s="12">
        <f t="shared" si="50"/>
        <v>17899993</v>
      </c>
      <c r="AK60" s="12">
        <f t="shared" si="47"/>
        <v>210700000</v>
      </c>
      <c r="AL60" s="12">
        <f t="shared" si="51"/>
        <v>0</v>
      </c>
      <c r="AM60" s="12">
        <f t="shared" si="53"/>
        <v>17899993</v>
      </c>
      <c r="AN60" s="130">
        <f t="shared" si="69"/>
        <v>0.9150451210251542</v>
      </c>
      <c r="AO60" s="130">
        <f>+AB60/M60</f>
        <v>1</v>
      </c>
      <c r="AP60" s="130">
        <f>+AC60/Q60</f>
        <v>1</v>
      </c>
      <c r="AQ60" s="130">
        <f t="shared" si="59"/>
        <v>1</v>
      </c>
      <c r="AR60" s="169">
        <f t="shared" si="52"/>
        <v>0.7958790984357126</v>
      </c>
    </row>
    <row r="61" spans="1:44" ht="16.5" collapsed="1">
      <c r="A61" s="218" t="s">
        <v>178</v>
      </c>
      <c r="B61" s="208">
        <f>+B62+B63+B64+B65+B66</f>
        <v>1284500598.3336</v>
      </c>
      <c r="C61" s="21">
        <f aca="true" t="shared" si="70" ref="C61:AQ61">+C62+C63+C64+C65+C66</f>
        <v>0</v>
      </c>
      <c r="D61" s="21">
        <f t="shared" si="70"/>
        <v>0</v>
      </c>
      <c r="E61" s="21">
        <f t="shared" si="70"/>
        <v>211600000</v>
      </c>
      <c r="F61" s="21">
        <f t="shared" si="70"/>
        <v>-69957555</v>
      </c>
      <c r="G61" s="21">
        <f>+G62+G63+G64+G65+G66</f>
        <v>0</v>
      </c>
      <c r="H61" s="434">
        <f>+H62+H63+H64+H65+H66</f>
        <v>0</v>
      </c>
      <c r="I61" s="20">
        <f t="shared" si="70"/>
        <v>1426143043.3336</v>
      </c>
      <c r="J61" s="19">
        <f t="shared" si="70"/>
        <v>405950000</v>
      </c>
      <c r="K61" s="19"/>
      <c r="L61" s="19">
        <f t="shared" si="70"/>
        <v>-31164424</v>
      </c>
      <c r="M61" s="19">
        <f t="shared" si="70"/>
        <v>374785576</v>
      </c>
      <c r="N61" s="21">
        <f t="shared" si="70"/>
        <v>331000000</v>
      </c>
      <c r="O61" s="21">
        <f t="shared" si="70"/>
        <v>0</v>
      </c>
      <c r="P61" s="21">
        <f t="shared" si="70"/>
        <v>-41624009</v>
      </c>
      <c r="Q61" s="21">
        <f t="shared" si="70"/>
        <v>289375991</v>
      </c>
      <c r="R61" s="21">
        <f t="shared" si="70"/>
        <v>299000000</v>
      </c>
      <c r="S61" s="21">
        <f t="shared" si="70"/>
        <v>0</v>
      </c>
      <c r="T61" s="21">
        <f>+T62+T63+T64+T65+T66</f>
        <v>0</v>
      </c>
      <c r="U61" s="21">
        <f t="shared" si="70"/>
        <v>-36037061</v>
      </c>
      <c r="V61" s="21">
        <f t="shared" si="70"/>
        <v>262962939</v>
      </c>
      <c r="W61" s="21">
        <f t="shared" si="70"/>
        <v>456265461</v>
      </c>
      <c r="X61" s="21">
        <f t="shared" si="70"/>
        <v>0</v>
      </c>
      <c r="Y61" s="21">
        <f t="shared" si="70"/>
        <v>0</v>
      </c>
      <c r="Z61" s="21">
        <f t="shared" si="70"/>
        <v>456265461</v>
      </c>
      <c r="AA61" s="20">
        <f t="shared" si="70"/>
        <v>1383389967</v>
      </c>
      <c r="AB61" s="373">
        <f t="shared" si="70"/>
        <v>374785576</v>
      </c>
      <c r="AC61" s="392">
        <f t="shared" si="70"/>
        <v>289375991</v>
      </c>
      <c r="AD61" s="392">
        <f t="shared" si="70"/>
        <v>262962939</v>
      </c>
      <c r="AE61" s="392">
        <f>+'[4]PPC OCT-DIC-11'!$G$655</f>
        <v>436674568</v>
      </c>
      <c r="AF61" s="392">
        <f t="shared" si="70"/>
        <v>1363799074</v>
      </c>
      <c r="AG61" s="19">
        <f t="shared" si="70"/>
        <v>0</v>
      </c>
      <c r="AH61" s="19">
        <f t="shared" si="70"/>
        <v>0</v>
      </c>
      <c r="AI61" s="20">
        <f t="shared" si="70"/>
        <v>0</v>
      </c>
      <c r="AJ61" s="20">
        <f>+AJ62+AJ63+AJ64+AJ65+AJ66</f>
        <v>19590893</v>
      </c>
      <c r="AK61" s="20">
        <f t="shared" si="70"/>
        <v>1383389967</v>
      </c>
      <c r="AL61" s="20">
        <f t="shared" si="70"/>
        <v>42753076.33359994</v>
      </c>
      <c r="AM61" s="20">
        <f t="shared" si="70"/>
        <v>19590893</v>
      </c>
      <c r="AN61" s="133">
        <f t="shared" si="69"/>
        <v>0.9562849115135944</v>
      </c>
      <c r="AO61" s="133">
        <f t="shared" si="70"/>
        <v>3</v>
      </c>
      <c r="AP61" s="133">
        <f t="shared" si="70"/>
        <v>4</v>
      </c>
      <c r="AQ61" s="133">
        <f t="shared" si="70"/>
        <v>4</v>
      </c>
      <c r="AR61" s="176">
        <f t="shared" si="52"/>
        <v>0.9570625114663238</v>
      </c>
    </row>
    <row r="62" spans="1:44" ht="15" hidden="1" outlineLevel="1">
      <c r="A62" s="219" t="s">
        <v>171</v>
      </c>
      <c r="B62" s="102">
        <f>1124275295.8416+23400000</f>
        <v>1147675295.8416</v>
      </c>
      <c r="C62" s="23"/>
      <c r="D62" s="23"/>
      <c r="E62" s="23">
        <f>198000000+13600000</f>
        <v>211600000</v>
      </c>
      <c r="F62" s="23">
        <v>-69957555</v>
      </c>
      <c r="G62" s="23"/>
      <c r="H62" s="369">
        <v>-6533000</v>
      </c>
      <c r="I62" s="8">
        <f>SUM(B62:H62)</f>
        <v>1282784740.8416</v>
      </c>
      <c r="J62" s="7">
        <v>375000000</v>
      </c>
      <c r="K62" s="7"/>
      <c r="L62" s="7">
        <v>-29376260</v>
      </c>
      <c r="M62" s="7">
        <f>+SUM(J62:L62)</f>
        <v>345623740</v>
      </c>
      <c r="N62" s="7">
        <v>300000000</v>
      </c>
      <c r="O62" s="23"/>
      <c r="P62" s="7">
        <f>+AC62-N62-O62</f>
        <v>-41305999</v>
      </c>
      <c r="Q62" s="7">
        <f>+SUM(N62:P62)</f>
        <v>258694001</v>
      </c>
      <c r="R62" s="7">
        <v>265000000</v>
      </c>
      <c r="S62" s="7"/>
      <c r="T62" s="7"/>
      <c r="U62" s="7">
        <f>-R62-S62-T62+AD62</f>
        <v>-30194573</v>
      </c>
      <c r="V62" s="7">
        <f>+SUM(R62:U62)</f>
        <v>234805427</v>
      </c>
      <c r="W62" s="7">
        <f>420000000-6533000</f>
        <v>413467000</v>
      </c>
      <c r="X62" s="23"/>
      <c r="Y62" s="7"/>
      <c r="Z62" s="7">
        <f>+SUM(W62:Y62)</f>
        <v>413467000</v>
      </c>
      <c r="AA62" s="8">
        <f>+M62+Q62+V62+Z62</f>
        <v>1252590168</v>
      </c>
      <c r="AB62" s="12">
        <f>+'[4]PPC ENE-MAR-11'!$G$539</f>
        <v>345623740</v>
      </c>
      <c r="AC62" s="7">
        <f>+'[4]PPC ABR-JUN-11'!$G$657</f>
        <v>258694001</v>
      </c>
      <c r="AD62" s="7">
        <f>+'[4]PPC JUL-SEP-11'!$G$704</f>
        <v>234805427</v>
      </c>
      <c r="AE62" s="7">
        <f>+'[4]PPC OCT-DIC-11'!$G$656</f>
        <v>395572682</v>
      </c>
      <c r="AF62" s="7">
        <f>SUM(AB62:AE62)</f>
        <v>1234695850</v>
      </c>
      <c r="AG62" s="12">
        <f aca="true" t="shared" si="71" ref="AG62:AG70">+M62-AB62</f>
        <v>0</v>
      </c>
      <c r="AH62" s="12">
        <f>+Q62-AC62</f>
        <v>0</v>
      </c>
      <c r="AI62" s="12">
        <f aca="true" t="shared" si="72" ref="AI62:AI67">+V62-AD62</f>
        <v>0</v>
      </c>
      <c r="AJ62" s="12">
        <f>+Z62-AE62</f>
        <v>17894318</v>
      </c>
      <c r="AK62" s="12">
        <f t="shared" si="47"/>
        <v>1252590168</v>
      </c>
      <c r="AL62" s="12">
        <f>+I62-AK62</f>
        <v>30194572.84159994</v>
      </c>
      <c r="AM62" s="12">
        <f t="shared" si="53"/>
        <v>17894318</v>
      </c>
      <c r="AN62" s="130">
        <f t="shared" si="69"/>
        <v>0.962512111883986</v>
      </c>
      <c r="AO62" s="130">
        <f>+AB62/M62</f>
        <v>1</v>
      </c>
      <c r="AP62" s="130">
        <f>+AC62/Q62</f>
        <v>1</v>
      </c>
      <c r="AQ62" s="130">
        <f>+AD62/V62</f>
        <v>1</v>
      </c>
      <c r="AR62" s="169">
        <f t="shared" si="52"/>
        <v>0.9567212909373662</v>
      </c>
    </row>
    <row r="63" spans="1:44" ht="15" hidden="1" outlineLevel="1">
      <c r="A63" s="219" t="s">
        <v>43</v>
      </c>
      <c r="B63" s="102">
        <v>12000000</v>
      </c>
      <c r="C63" s="8"/>
      <c r="D63" s="8"/>
      <c r="E63" s="8"/>
      <c r="F63" s="8"/>
      <c r="G63" s="8"/>
      <c r="H63" s="370"/>
      <c r="I63" s="8">
        <f>SUM(B63:H63)</f>
        <v>12000000</v>
      </c>
      <c r="J63" s="7">
        <v>2000000</v>
      </c>
      <c r="K63" s="7"/>
      <c r="L63" s="7">
        <v>-503032</v>
      </c>
      <c r="M63" s="7">
        <f>+SUM(J63:L63)</f>
        <v>1496968</v>
      </c>
      <c r="N63" s="7">
        <f>2000000+264000</f>
        <v>2264000</v>
      </c>
      <c r="O63" s="8"/>
      <c r="P63" s="7">
        <f>+AC63-N63-O63</f>
        <v>0</v>
      </c>
      <c r="Q63" s="7">
        <f>+SUM(N63:P63)</f>
        <v>2264000</v>
      </c>
      <c r="R63" s="7">
        <v>4000000</v>
      </c>
      <c r="S63" s="7"/>
      <c r="T63" s="7"/>
      <c r="U63" s="7">
        <f>-R63-S63-T63+AD63</f>
        <v>-1327608</v>
      </c>
      <c r="V63" s="7">
        <f>+SUM(R63:U63)</f>
        <v>2672392</v>
      </c>
      <c r="W63" s="7">
        <v>3671319</v>
      </c>
      <c r="X63" s="8"/>
      <c r="Y63" s="7"/>
      <c r="Z63" s="7">
        <f>+SUM(W63:Y63)</f>
        <v>3671319</v>
      </c>
      <c r="AA63" s="8">
        <f>+M63+Q63+V63+Z63</f>
        <v>10104679</v>
      </c>
      <c r="AB63" s="12">
        <f>+'[4]PPC ENE-MAR-11'!$G$547</f>
        <v>1496968</v>
      </c>
      <c r="AC63" s="7">
        <f>+'[4]PPC ABR-JUN-11'!$G$667</f>
        <v>2264000</v>
      </c>
      <c r="AD63" s="7">
        <f>+'[4]PPC JUL-SEP-11'!$G$711</f>
        <v>2672392</v>
      </c>
      <c r="AE63" s="7">
        <f>+'[4]PPC OCT-DIC-11'!$G$663</f>
        <v>3671319</v>
      </c>
      <c r="AF63" s="7">
        <f>SUM(AB63:AE63)</f>
        <v>10104679</v>
      </c>
      <c r="AG63" s="12">
        <f t="shared" si="71"/>
        <v>0</v>
      </c>
      <c r="AH63" s="12">
        <f>+Q63-AC63</f>
        <v>0</v>
      </c>
      <c r="AI63" s="12">
        <f t="shared" si="72"/>
        <v>0</v>
      </c>
      <c r="AJ63" s="12">
        <f>+Z63-AE63</f>
        <v>0</v>
      </c>
      <c r="AK63" s="12">
        <f t="shared" si="47"/>
        <v>10104679</v>
      </c>
      <c r="AL63" s="12">
        <f>+I63-AK63</f>
        <v>1895321</v>
      </c>
      <c r="AM63" s="12">
        <f t="shared" si="53"/>
        <v>0</v>
      </c>
      <c r="AN63" s="130">
        <f t="shared" si="69"/>
        <v>0.8420565833333333</v>
      </c>
      <c r="AO63" s="130">
        <v>0</v>
      </c>
      <c r="AP63" s="130">
        <f>+AC63/Q63</f>
        <v>1</v>
      </c>
      <c r="AQ63" s="130">
        <f>+AD63/V63</f>
        <v>1</v>
      </c>
      <c r="AR63" s="169">
        <f t="shared" si="52"/>
        <v>1</v>
      </c>
    </row>
    <row r="64" spans="1:44" ht="15" hidden="1" outlineLevel="1">
      <c r="A64" s="219" t="s">
        <v>193</v>
      </c>
      <c r="B64" s="102">
        <f>104425302.492-450000-23400000</f>
        <v>80575302.492</v>
      </c>
      <c r="C64" s="23"/>
      <c r="D64" s="23"/>
      <c r="E64" s="23"/>
      <c r="F64" s="23"/>
      <c r="G64" s="23"/>
      <c r="H64" s="369">
        <f>-300000+6533000+167000+5000</f>
        <v>6405000</v>
      </c>
      <c r="I64" s="8">
        <f>SUM(B64:H64)</f>
        <v>86980302.492</v>
      </c>
      <c r="J64" s="7">
        <f>20000000-1250000</f>
        <v>18750000</v>
      </c>
      <c r="K64" s="7"/>
      <c r="L64" s="7">
        <v>-1221000</v>
      </c>
      <c r="M64" s="7">
        <f>+SUM(J64:L64)</f>
        <v>17529000</v>
      </c>
      <c r="N64" s="7">
        <f>19000000-450000</f>
        <v>18550000</v>
      </c>
      <c r="O64" s="23"/>
      <c r="P64" s="7">
        <f>+AC64-N64-O64</f>
        <v>-2000</v>
      </c>
      <c r="Q64" s="7">
        <f>+SUM(N64:P64)</f>
        <v>18548000</v>
      </c>
      <c r="R64" s="7">
        <f>19000000</f>
        <v>19000000</v>
      </c>
      <c r="S64" s="7"/>
      <c r="T64" s="7"/>
      <c r="U64" s="7">
        <f>-R64-S64-T64+AD64</f>
        <v>-2726000</v>
      </c>
      <c r="V64" s="7">
        <f>+SUM(R64:U64)</f>
        <v>16274000</v>
      </c>
      <c r="W64" s="7">
        <f>19000000-300000+6533000+167000+5000</f>
        <v>25405000</v>
      </c>
      <c r="X64" s="7"/>
      <c r="Y64" s="7"/>
      <c r="Z64" s="7">
        <f>+SUM(W64:Y64)</f>
        <v>25405000</v>
      </c>
      <c r="AA64" s="8">
        <f>+M64+Q64+V64+Z64</f>
        <v>77756000</v>
      </c>
      <c r="AB64" s="12">
        <f>+'[4]PPC ENE-MAR-11'!$G$557</f>
        <v>17529000</v>
      </c>
      <c r="AC64" s="7">
        <f>+'[4]PPC ABR-JUN-11'!$G$674</f>
        <v>18548000</v>
      </c>
      <c r="AD64" s="7">
        <f>+'[4]PPC JUL-SEP-11'!$G$720</f>
        <v>16274000</v>
      </c>
      <c r="AE64" s="7">
        <f>+'[4]PPC OCT-DIC-11'!$G$674</f>
        <v>25405000</v>
      </c>
      <c r="AF64" s="7">
        <f>SUM(AB64:AE64)</f>
        <v>77756000</v>
      </c>
      <c r="AG64" s="12">
        <f t="shared" si="71"/>
        <v>0</v>
      </c>
      <c r="AH64" s="12">
        <f>+Q64-AC64</f>
        <v>0</v>
      </c>
      <c r="AI64" s="12">
        <f t="shared" si="72"/>
        <v>0</v>
      </c>
      <c r="AJ64" s="12">
        <f>+Z64-AE64</f>
        <v>0</v>
      </c>
      <c r="AK64" s="12">
        <f t="shared" si="47"/>
        <v>77756000</v>
      </c>
      <c r="AL64" s="12">
        <f>+I64-AK64</f>
        <v>9224302.491999999</v>
      </c>
      <c r="AM64" s="12">
        <f t="shared" si="53"/>
        <v>0</v>
      </c>
      <c r="AN64" s="130">
        <f t="shared" si="69"/>
        <v>0.8939495238838885</v>
      </c>
      <c r="AO64" s="130">
        <f>+AB64/M64</f>
        <v>1</v>
      </c>
      <c r="AP64" s="130">
        <f>+AC64/Q64</f>
        <v>1</v>
      </c>
      <c r="AQ64" s="130">
        <f>+AD64/V64</f>
        <v>1</v>
      </c>
      <c r="AR64" s="169">
        <f t="shared" si="52"/>
        <v>1</v>
      </c>
    </row>
    <row r="65" spans="1:44" ht="15" hidden="1" outlineLevel="1">
      <c r="A65" s="219" t="s">
        <v>179</v>
      </c>
      <c r="B65" s="102">
        <v>36000000</v>
      </c>
      <c r="C65" s="8"/>
      <c r="D65" s="8"/>
      <c r="E65" s="8"/>
      <c r="F65" s="8"/>
      <c r="G65" s="8"/>
      <c r="H65" s="370">
        <f>-3150000-167000-300000-5000</f>
        <v>-3622000</v>
      </c>
      <c r="I65" s="8">
        <f>SUM(B65:H65)</f>
        <v>32378000</v>
      </c>
      <c r="J65" s="7">
        <f>7000000+1250000</f>
        <v>8250000</v>
      </c>
      <c r="K65" s="7"/>
      <c r="L65" s="7">
        <v>-8694</v>
      </c>
      <c r="M65" s="7">
        <f>+SUM(J65:L65)</f>
        <v>8241306</v>
      </c>
      <c r="N65" s="7">
        <f>7600000-264000</f>
        <v>7336000</v>
      </c>
      <c r="O65" s="8"/>
      <c r="P65" s="7">
        <f>+AC65-N65-O65</f>
        <v>-316010</v>
      </c>
      <c r="Q65" s="7">
        <f>+SUM(N65:P65)</f>
        <v>7019990</v>
      </c>
      <c r="R65" s="7">
        <v>9000000</v>
      </c>
      <c r="S65" s="7"/>
      <c r="T65" s="7"/>
      <c r="U65" s="7">
        <f>-R65-S65-T65+AD65</f>
        <v>-1738880</v>
      </c>
      <c r="V65" s="7">
        <f>+SUM(R65:U65)</f>
        <v>7261120</v>
      </c>
      <c r="W65" s="7">
        <f>11738704-3150000-167000-5000</f>
        <v>8416704</v>
      </c>
      <c r="X65" s="7"/>
      <c r="Y65" s="7"/>
      <c r="Z65" s="7">
        <f>+SUM(W65:Y65)</f>
        <v>8416704</v>
      </c>
      <c r="AA65" s="8">
        <f>+M65+Q65+V65+Z65</f>
        <v>30939120</v>
      </c>
      <c r="AB65" s="12">
        <f>+'[4]PPC ENE-MAR-11'!$G$586</f>
        <v>8241306</v>
      </c>
      <c r="AC65" s="7">
        <f>+'[4]PPC ABR-JUN-11'!$G$709</f>
        <v>7019990</v>
      </c>
      <c r="AD65" s="7">
        <f>+'[4]PPC JUL-SEP-11'!$G$752</f>
        <v>7261120</v>
      </c>
      <c r="AE65" s="7">
        <f>+'[4]PPC OCT-DIC-11'!$G$710</f>
        <v>8091560</v>
      </c>
      <c r="AF65" s="7">
        <f>SUM(AB65:AE65)</f>
        <v>30613976</v>
      </c>
      <c r="AG65" s="12">
        <f t="shared" si="71"/>
        <v>0</v>
      </c>
      <c r="AH65" s="12"/>
      <c r="AI65" s="12">
        <f t="shared" si="72"/>
        <v>0</v>
      </c>
      <c r="AJ65" s="12">
        <f>+Z65-AE65</f>
        <v>325144</v>
      </c>
      <c r="AK65" s="12">
        <f t="shared" si="47"/>
        <v>30939120</v>
      </c>
      <c r="AL65" s="12">
        <f>+I65-AK65</f>
        <v>1438880</v>
      </c>
      <c r="AM65" s="12">
        <f t="shared" si="53"/>
        <v>325144</v>
      </c>
      <c r="AN65" s="130"/>
      <c r="AO65" s="130"/>
      <c r="AP65" s="130"/>
      <c r="AQ65" s="130"/>
      <c r="AR65" s="169"/>
    </row>
    <row r="66" spans="1:44" ht="15" hidden="1" outlineLevel="1">
      <c r="A66" s="219" t="s">
        <v>194</v>
      </c>
      <c r="B66" s="102">
        <f>7800000+450000</f>
        <v>8250000</v>
      </c>
      <c r="C66" s="8"/>
      <c r="D66" s="8"/>
      <c r="E66" s="8"/>
      <c r="F66" s="8"/>
      <c r="G66" s="8"/>
      <c r="H66" s="370">
        <f>3150000+300000+300000</f>
        <v>3750000</v>
      </c>
      <c r="I66" s="8">
        <f>SUM(B66:H66)</f>
        <v>12000000</v>
      </c>
      <c r="J66" s="7">
        <v>1950000</v>
      </c>
      <c r="K66" s="7"/>
      <c r="L66" s="7">
        <v>-55438</v>
      </c>
      <c r="M66" s="7">
        <f>+SUM(J66:L66)</f>
        <v>1894562</v>
      </c>
      <c r="N66" s="7">
        <f>2400000+450000</f>
        <v>2850000</v>
      </c>
      <c r="O66" s="8"/>
      <c r="P66" s="7">
        <f>+AC66-N66-O66</f>
        <v>0</v>
      </c>
      <c r="Q66" s="7">
        <f>+SUM(N66:P66)</f>
        <v>2850000</v>
      </c>
      <c r="R66" s="7">
        <f>2000000</f>
        <v>2000000</v>
      </c>
      <c r="S66" s="7"/>
      <c r="T66" s="7"/>
      <c r="U66" s="7">
        <f>-R66-S66-T66+AD66</f>
        <v>-50000</v>
      </c>
      <c r="V66" s="7">
        <f>+SUM(R66:U66)</f>
        <v>1950000</v>
      </c>
      <c r="W66" s="7">
        <f>1855438+300000+3150000</f>
        <v>5305438</v>
      </c>
      <c r="X66" s="7"/>
      <c r="Y66" s="7"/>
      <c r="Z66" s="7">
        <f>+SUM(W66:Y66)</f>
        <v>5305438</v>
      </c>
      <c r="AA66" s="8">
        <f>+M66+Q66+V66+Z66</f>
        <v>12000000</v>
      </c>
      <c r="AB66" s="12">
        <f>+'[4]PPC ENE-MAR-11'!$G$609</f>
        <v>1894562</v>
      </c>
      <c r="AC66" s="7">
        <f>+'[4]PPC ABR-JUN-11'!$G$732</f>
        <v>2850000</v>
      </c>
      <c r="AD66" s="7">
        <f>+'[4]PPC JUL-SEP-11'!$G$774</f>
        <v>1950000</v>
      </c>
      <c r="AE66" s="7">
        <f>+'[4]PPC OCT-DIC-11'!$G$734</f>
        <v>3934007</v>
      </c>
      <c r="AF66" s="7">
        <f>SUM(AB66:AE66)</f>
        <v>10628569</v>
      </c>
      <c r="AG66" s="12">
        <f t="shared" si="71"/>
        <v>0</v>
      </c>
      <c r="AH66" s="12">
        <f>+Q66-AC66</f>
        <v>0</v>
      </c>
      <c r="AI66" s="12">
        <f t="shared" si="72"/>
        <v>0</v>
      </c>
      <c r="AJ66" s="12">
        <f>+Z66-AE66</f>
        <v>1371431</v>
      </c>
      <c r="AK66" s="12">
        <f t="shared" si="47"/>
        <v>12000000</v>
      </c>
      <c r="AL66" s="12">
        <f>+I66-AK66</f>
        <v>0</v>
      </c>
      <c r="AM66" s="12">
        <f t="shared" si="53"/>
        <v>1371431</v>
      </c>
      <c r="AN66" s="130">
        <f>+AF66/I66</f>
        <v>0.8857140833333333</v>
      </c>
      <c r="AO66" s="130">
        <f>+AB66/M66</f>
        <v>1</v>
      </c>
      <c r="AP66" s="130">
        <f>+AC66/Q66</f>
        <v>1</v>
      </c>
      <c r="AQ66" s="130">
        <f>+AD66/V66</f>
        <v>1</v>
      </c>
      <c r="AR66" s="169">
        <f t="shared" si="52"/>
        <v>0.7415046599357112</v>
      </c>
    </row>
    <row r="67" spans="1:44" ht="17.25" collapsed="1" thickBot="1">
      <c r="A67" s="220"/>
      <c r="B67" s="104"/>
      <c r="C67" s="221"/>
      <c r="D67" s="221"/>
      <c r="E67" s="221"/>
      <c r="F67" s="221"/>
      <c r="G67" s="221"/>
      <c r="H67" s="221"/>
      <c r="I67" s="222"/>
      <c r="J67" s="14"/>
      <c r="K67" s="14"/>
      <c r="L67" s="14"/>
      <c r="M67" s="28"/>
      <c r="N67" s="14"/>
      <c r="O67" s="221"/>
      <c r="P67" s="221"/>
      <c r="Q67" s="28"/>
      <c r="R67" s="14"/>
      <c r="S67" s="14"/>
      <c r="T67" s="14"/>
      <c r="U67" s="14"/>
      <c r="V67" s="14"/>
      <c r="W67" s="14"/>
      <c r="X67" s="14"/>
      <c r="Y67" s="14"/>
      <c r="Z67" s="14"/>
      <c r="AA67" s="409"/>
      <c r="AB67" s="28"/>
      <c r="AC67" s="14"/>
      <c r="AD67" s="14"/>
      <c r="AE67" s="14"/>
      <c r="AF67" s="14"/>
      <c r="AG67" s="14">
        <f t="shared" si="71"/>
        <v>0</v>
      </c>
      <c r="AH67" s="28"/>
      <c r="AI67" s="28">
        <f t="shared" si="72"/>
        <v>0</v>
      </c>
      <c r="AJ67" s="28"/>
      <c r="AK67" s="28"/>
      <c r="AL67" s="14"/>
      <c r="AM67" s="14"/>
      <c r="AN67" s="132"/>
      <c r="AO67" s="132"/>
      <c r="AP67" s="132"/>
      <c r="AQ67" s="132"/>
      <c r="AR67" s="169"/>
    </row>
    <row r="68" spans="1:44" ht="15" customHeight="1" thickBot="1">
      <c r="A68" s="153" t="s">
        <v>57</v>
      </c>
      <c r="B68" s="153">
        <f aca="true" t="shared" si="73" ref="B68:J68">+B40</f>
        <v>4625165946.33424</v>
      </c>
      <c r="C68" s="153">
        <f t="shared" si="73"/>
        <v>0</v>
      </c>
      <c r="D68" s="153">
        <f t="shared" si="73"/>
        <v>0</v>
      </c>
      <c r="E68" s="153">
        <f t="shared" si="73"/>
        <v>5600000</v>
      </c>
      <c r="F68" s="153">
        <f t="shared" si="73"/>
        <v>-258677677</v>
      </c>
      <c r="G68" s="153">
        <f t="shared" si="73"/>
        <v>270000000</v>
      </c>
      <c r="H68" s="153">
        <f t="shared" si="73"/>
        <v>0</v>
      </c>
      <c r="I68" s="153">
        <f t="shared" si="73"/>
        <v>4642088269.33424</v>
      </c>
      <c r="J68" s="153">
        <f t="shared" si="73"/>
        <v>1287838000</v>
      </c>
      <c r="K68" s="153"/>
      <c r="L68" s="153">
        <f aca="true" t="shared" si="74" ref="L68:AF68">+L40</f>
        <v>-298419907.83</v>
      </c>
      <c r="M68" s="153">
        <f t="shared" si="74"/>
        <v>971703359.1700001</v>
      </c>
      <c r="N68" s="153">
        <f t="shared" si="74"/>
        <v>1431000000</v>
      </c>
      <c r="O68" s="153">
        <f t="shared" si="74"/>
        <v>0</v>
      </c>
      <c r="P68" s="153">
        <f t="shared" si="74"/>
        <v>-382244731.95</v>
      </c>
      <c r="Q68" s="153">
        <f t="shared" si="74"/>
        <v>1048755268.05</v>
      </c>
      <c r="R68" s="153">
        <f t="shared" si="74"/>
        <v>1255946259</v>
      </c>
      <c r="S68" s="153">
        <f t="shared" si="74"/>
        <v>-36700000</v>
      </c>
      <c r="T68" s="153">
        <f t="shared" si="74"/>
        <v>0</v>
      </c>
      <c r="U68" s="153">
        <f t="shared" si="74"/>
        <v>-75773648</v>
      </c>
      <c r="V68" s="153">
        <f t="shared" si="74"/>
        <v>1143472611</v>
      </c>
      <c r="W68" s="153">
        <f t="shared" si="74"/>
        <v>1148879979</v>
      </c>
      <c r="X68" s="153">
        <f t="shared" si="74"/>
        <v>270000000</v>
      </c>
      <c r="Y68" s="153">
        <f t="shared" si="74"/>
        <v>0</v>
      </c>
      <c r="Z68" s="153">
        <f t="shared" si="74"/>
        <v>1418879979</v>
      </c>
      <c r="AA68" s="410">
        <f t="shared" si="74"/>
        <v>4582811217.22</v>
      </c>
      <c r="AB68" s="413">
        <f t="shared" si="74"/>
        <v>971703359.1700001</v>
      </c>
      <c r="AC68" s="153">
        <f t="shared" si="74"/>
        <v>1048755268.05</v>
      </c>
      <c r="AD68" s="153">
        <f t="shared" si="74"/>
        <v>1143472611</v>
      </c>
      <c r="AE68" s="153">
        <f t="shared" si="74"/>
        <v>1342463740.6799998</v>
      </c>
      <c r="AF68" s="153">
        <f t="shared" si="74"/>
        <v>4506394978.9</v>
      </c>
      <c r="AG68" s="153">
        <f t="shared" si="71"/>
        <v>0</v>
      </c>
      <c r="AH68" s="153">
        <f aca="true" t="shared" si="75" ref="AH68:AM68">+AH40</f>
        <v>0</v>
      </c>
      <c r="AI68" s="153">
        <f t="shared" si="75"/>
        <v>0</v>
      </c>
      <c r="AJ68" s="153">
        <f t="shared" si="75"/>
        <v>76416238.32</v>
      </c>
      <c r="AK68" s="153">
        <f t="shared" si="75"/>
        <v>4582811217.22</v>
      </c>
      <c r="AL68" s="153">
        <f t="shared" si="75"/>
        <v>59277052.114240006</v>
      </c>
      <c r="AM68" s="153">
        <f t="shared" si="75"/>
        <v>76416238.32</v>
      </c>
      <c r="AN68" s="148">
        <f>+AF68/I68</f>
        <v>0.9707689120582575</v>
      </c>
      <c r="AO68" s="148">
        <f>+AB68/M68</f>
        <v>1</v>
      </c>
      <c r="AP68" s="148">
        <f>+AC68/Q68</f>
        <v>1</v>
      </c>
      <c r="AQ68" s="148">
        <f>+AD68/V68</f>
        <v>1</v>
      </c>
      <c r="AR68" s="148">
        <f>+AE68/Z68</f>
        <v>0.9461432683165655</v>
      </c>
    </row>
    <row r="69" spans="1:44" ht="15.75" thickBot="1">
      <c r="A69" s="223"/>
      <c r="B69" s="225"/>
      <c r="C69" s="49"/>
      <c r="D69" s="49"/>
      <c r="E69" s="49"/>
      <c r="F69" s="49"/>
      <c r="G69" s="49"/>
      <c r="H69" s="49"/>
      <c r="I69" s="225"/>
      <c r="J69" s="59"/>
      <c r="K69" s="49"/>
      <c r="L69" s="49"/>
      <c r="M69" s="225"/>
      <c r="N69" s="59"/>
      <c r="O69" s="49"/>
      <c r="P69" s="59"/>
      <c r="Q69" s="225"/>
      <c r="R69" s="225"/>
      <c r="S69" s="225"/>
      <c r="T69" s="225"/>
      <c r="U69" s="225"/>
      <c r="V69" s="225"/>
      <c r="W69" s="48"/>
      <c r="X69" s="225"/>
      <c r="Y69" s="225"/>
      <c r="Z69" s="48"/>
      <c r="AA69" s="48"/>
      <c r="AB69" s="48"/>
      <c r="AC69" s="48"/>
      <c r="AD69" s="48"/>
      <c r="AE69" s="48"/>
      <c r="AF69" s="48"/>
      <c r="AG69" s="48">
        <f t="shared" si="71"/>
        <v>0</v>
      </c>
      <c r="AH69" s="48"/>
      <c r="AI69" s="48"/>
      <c r="AJ69" s="48"/>
      <c r="AK69" s="48"/>
      <c r="AL69" s="48"/>
      <c r="AM69" s="48"/>
      <c r="AN69" s="70"/>
      <c r="AO69" s="70"/>
      <c r="AP69" s="70"/>
      <c r="AQ69" s="70"/>
      <c r="AR69" s="212"/>
    </row>
    <row r="70" spans="1:44" ht="17.25" thickBot="1">
      <c r="A70" s="50" t="s">
        <v>180</v>
      </c>
      <c r="B70" s="50">
        <f aca="true" t="shared" si="76" ref="B70:J70">+B22+B37+B68</f>
        <v>5831945211.9295</v>
      </c>
      <c r="C70" s="50">
        <f t="shared" si="76"/>
        <v>0</v>
      </c>
      <c r="D70" s="50">
        <f t="shared" si="76"/>
        <v>0</v>
      </c>
      <c r="E70" s="50">
        <f t="shared" si="76"/>
        <v>5600000</v>
      </c>
      <c r="F70" s="50">
        <f t="shared" si="76"/>
        <v>-250677677</v>
      </c>
      <c r="G70" s="50">
        <f>+G22+G37+G68</f>
        <v>277000000</v>
      </c>
      <c r="H70" s="50">
        <f t="shared" si="76"/>
        <v>0</v>
      </c>
      <c r="I70" s="50">
        <f t="shared" si="76"/>
        <v>5863867534.9295</v>
      </c>
      <c r="J70" s="50">
        <f t="shared" si="76"/>
        <v>1589937864.0275002</v>
      </c>
      <c r="K70" s="50"/>
      <c r="L70" s="50">
        <f>+L68+L37+L22</f>
        <v>-337907091.60749996</v>
      </c>
      <c r="M70" s="50">
        <f aca="true" t="shared" si="77" ref="M70:AF70">+M22+M37+M68</f>
        <v>1234316039.42</v>
      </c>
      <c r="N70" s="50">
        <f t="shared" si="77"/>
        <v>1733982490.531103</v>
      </c>
      <c r="O70" s="50">
        <f t="shared" si="77"/>
        <v>0</v>
      </c>
      <c r="P70" s="50">
        <f t="shared" si="77"/>
        <v>-385676192.8511029</v>
      </c>
      <c r="Q70" s="50">
        <f t="shared" si="77"/>
        <v>1348306297.6799998</v>
      </c>
      <c r="R70" s="50">
        <f t="shared" si="77"/>
        <v>1569410560.531103</v>
      </c>
      <c r="S70" s="50">
        <f t="shared" si="77"/>
        <v>-36700000</v>
      </c>
      <c r="T70" s="50">
        <f>+T22+T37+T68</f>
        <v>0</v>
      </c>
      <c r="U70" s="50">
        <f t="shared" si="77"/>
        <v>-80337598.2611029</v>
      </c>
      <c r="V70" s="50">
        <f t="shared" si="77"/>
        <v>1452372962.27</v>
      </c>
      <c r="W70" s="50">
        <f t="shared" si="77"/>
        <v>1491894611.24526</v>
      </c>
      <c r="X70" s="50">
        <f t="shared" si="77"/>
        <v>277000000</v>
      </c>
      <c r="Y70" s="50">
        <f t="shared" si="77"/>
        <v>0</v>
      </c>
      <c r="Z70" s="50">
        <f t="shared" si="77"/>
        <v>1768894611.24526</v>
      </c>
      <c r="AA70" s="408">
        <f t="shared" si="77"/>
        <v>5803889910.61526</v>
      </c>
      <c r="AB70" s="412">
        <f t="shared" si="77"/>
        <v>1234316039.42</v>
      </c>
      <c r="AC70" s="50">
        <f t="shared" si="77"/>
        <v>1348306297.6799998</v>
      </c>
      <c r="AD70" s="50">
        <f t="shared" si="77"/>
        <v>1452372962.27</v>
      </c>
      <c r="AE70" s="50">
        <f t="shared" si="77"/>
        <v>1624416432.8999999</v>
      </c>
      <c r="AF70" s="50">
        <f t="shared" si="77"/>
        <v>5659411732.2699995</v>
      </c>
      <c r="AG70" s="50">
        <f t="shared" si="71"/>
        <v>0</v>
      </c>
      <c r="AH70" s="50">
        <f aca="true" t="shared" si="78" ref="AH70:AM70">+AH22+AH37+AH68</f>
        <v>0</v>
      </c>
      <c r="AI70" s="50">
        <f t="shared" si="78"/>
        <v>0</v>
      </c>
      <c r="AJ70" s="50">
        <f>+AJ22+AJ37+AJ68</f>
        <v>144478178.34526</v>
      </c>
      <c r="AK70" s="50">
        <f t="shared" si="78"/>
        <v>5803889910.61526</v>
      </c>
      <c r="AL70" s="50">
        <f t="shared" si="78"/>
        <v>59977624.31424001</v>
      </c>
      <c r="AM70" s="50">
        <f t="shared" si="78"/>
        <v>144478178.34526</v>
      </c>
      <c r="AN70" s="148">
        <f>+AF70/I70</f>
        <v>0.965132943157121</v>
      </c>
      <c r="AO70" s="148">
        <f>+AB70/M70</f>
        <v>1</v>
      </c>
      <c r="AP70" s="148">
        <f>+AC70/Q70</f>
        <v>1</v>
      </c>
      <c r="AQ70" s="148">
        <f>+AD70/V70</f>
        <v>1</v>
      </c>
      <c r="AR70" s="148">
        <f>+AE70/Z70</f>
        <v>0.9183229020955913</v>
      </c>
    </row>
    <row r="71" spans="1:47" ht="1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</row>
    <row r="72" spans="1:47" ht="15">
      <c r="A72" s="49"/>
      <c r="B72" s="224"/>
      <c r="C72" s="49"/>
      <c r="D72" s="49"/>
      <c r="E72" s="49"/>
      <c r="F72" s="49"/>
      <c r="G72" s="49"/>
      <c r="H72" s="49"/>
      <c r="I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</row>
    <row r="73" spans="1:47" ht="1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</row>
    <row r="74" spans="1:47" ht="15">
      <c r="A74" s="49"/>
      <c r="B74" s="49"/>
      <c r="C74" s="49"/>
      <c r="D74" s="49"/>
      <c r="E74" s="49"/>
      <c r="F74" s="49"/>
      <c r="G74" s="49"/>
      <c r="H74" s="49"/>
      <c r="I74" s="332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</row>
    <row r="75" spans="1:47" ht="1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</row>
    <row r="76" spans="1:47" ht="1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</row>
    <row r="77" spans="1:47" ht="1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</row>
    <row r="78" spans="1:47" ht="1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</row>
    <row r="79" spans="1:47" ht="1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</row>
    <row r="80" spans="1:47" ht="1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</row>
    <row r="81" spans="1:47" ht="1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 t="s">
        <v>181</v>
      </c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</row>
    <row r="82" spans="1:47" ht="1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</row>
    <row r="83" spans="1:47" ht="1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C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</row>
    <row r="84" spans="1:47" ht="1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</row>
    <row r="85" spans="1:47" ht="1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</row>
    <row r="86" spans="1:47" ht="1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</row>
    <row r="87" spans="1:47" ht="1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</row>
    <row r="88" spans="1:47" ht="1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</row>
    <row r="89" spans="1:47" ht="1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</row>
    <row r="90" spans="1:47" ht="1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</row>
    <row r="91" spans="1:47" ht="1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</row>
    <row r="92" spans="1:47" ht="1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</row>
    <row r="93" spans="1:47" ht="1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</row>
    <row r="94" spans="1:47" ht="1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</row>
    <row r="95" spans="1:47" ht="1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</row>
    <row r="96" spans="1:47" ht="1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</row>
    <row r="97" spans="1:47" ht="1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</row>
    <row r="98" spans="1:47" ht="1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</row>
    <row r="99" spans="1:47" ht="1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</row>
    <row r="100" spans="1:47" ht="1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</row>
    <row r="101" spans="1:47" ht="1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</row>
    <row r="102" spans="1:47" ht="1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</row>
    <row r="103" spans="1:47" ht="1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</row>
    <row r="104" spans="1:47" ht="1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</row>
    <row r="105" spans="1:47" ht="1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</row>
    <row r="106" spans="1:47" ht="1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</row>
    <row r="107" spans="1:47" ht="1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</row>
    <row r="108" spans="1:47" ht="1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</row>
    <row r="109" spans="1:47" ht="1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</row>
    <row r="110" spans="1:47" ht="1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</row>
    <row r="111" spans="1:47" ht="1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</row>
    <row r="112" spans="1:47" ht="1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</row>
    <row r="113" spans="1:47" ht="1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</row>
    <row r="114" spans="1:47" ht="1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</row>
    <row r="115" spans="1:47" ht="1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</row>
    <row r="116" spans="1:47" ht="1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</row>
    <row r="117" spans="1:47" ht="1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</row>
    <row r="118" spans="1:47" ht="1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</row>
    <row r="119" spans="1:47" ht="1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</row>
    <row r="120" spans="1:47" ht="1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</row>
    <row r="121" spans="1:47" ht="1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</row>
    <row r="122" spans="1:47" ht="1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</row>
    <row r="123" spans="1:47" ht="1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</row>
    <row r="124" spans="1:47" ht="1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</row>
    <row r="125" spans="1:47" ht="1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</row>
    <row r="126" spans="1:47" ht="1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</row>
    <row r="127" spans="1:47" ht="1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</row>
    <row r="128" spans="1:47" ht="1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</row>
    <row r="129" spans="1:47" ht="1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</row>
    <row r="130" spans="1:47" ht="1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</row>
    <row r="131" spans="1:47" ht="1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</row>
    <row r="132" spans="1:47" ht="1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</row>
    <row r="133" spans="1:47" ht="1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</row>
    <row r="134" spans="1:47" ht="1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</row>
    <row r="135" spans="1:47" ht="1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</row>
    <row r="136" spans="1:47" ht="1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</row>
    <row r="137" spans="1:47" ht="1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</row>
    <row r="138" spans="1:47" ht="1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</row>
    <row r="139" spans="1:47" ht="1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</row>
    <row r="140" spans="1:47" ht="1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</row>
    <row r="141" spans="1:47" ht="1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</row>
    <row r="142" spans="1:47" ht="1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</row>
    <row r="143" spans="1:47" ht="1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</row>
    <row r="144" spans="1:47" ht="1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</row>
    <row r="145" spans="1:47" ht="1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</row>
    <row r="146" spans="1:47" ht="1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</row>
    <row r="147" spans="1:47" ht="1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</row>
    <row r="148" spans="1:47" ht="1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</row>
    <row r="149" spans="1:47" ht="1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</row>
    <row r="150" spans="1:47" ht="1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</row>
    <row r="151" spans="1:47" ht="1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</row>
    <row r="152" spans="1:47" ht="1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</row>
    <row r="153" spans="1:47" ht="1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</row>
    <row r="154" spans="1:47" ht="1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</row>
    <row r="155" spans="1:47" ht="1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</row>
    <row r="156" spans="1:47" ht="1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</row>
    <row r="157" spans="1:47" ht="1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</row>
    <row r="158" spans="1:47" ht="1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</row>
    <row r="159" spans="1:47" ht="1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</row>
    <row r="160" spans="1:47" ht="1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</row>
    <row r="161" spans="1:47" ht="1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</row>
    <row r="162" spans="1:47" ht="1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</row>
    <row r="163" spans="1:47" ht="1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</row>
    <row r="164" spans="1:47" ht="1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</row>
    <row r="165" spans="1:47" ht="1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</row>
    <row r="166" spans="1:47" ht="1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</row>
    <row r="167" spans="1:47" ht="1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</row>
    <row r="168" spans="1:47" ht="1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</row>
    <row r="169" spans="1:47" ht="1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</row>
    <row r="170" spans="1:47" ht="1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</row>
    <row r="171" spans="1:47" ht="1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</row>
    <row r="172" spans="1:47" ht="1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</row>
    <row r="173" spans="1:47" ht="1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</row>
    <row r="174" spans="1:47" ht="1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</row>
    <row r="175" spans="1:47" ht="1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</row>
    <row r="176" spans="1:47" ht="1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</row>
    <row r="177" spans="1:47" ht="1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</row>
    <row r="178" spans="1:47" ht="1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</row>
    <row r="179" spans="1:47" ht="1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</row>
    <row r="180" spans="1:47" ht="1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</row>
    <row r="181" spans="1:47" ht="1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</row>
    <row r="182" spans="1:47" ht="15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</row>
    <row r="183" spans="1:47" ht="15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</row>
    <row r="184" spans="1:47" ht="15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</row>
    <row r="185" spans="1:47" ht="15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</row>
    <row r="186" spans="1:47" ht="15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</row>
    <row r="187" spans="1:47" ht="15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</row>
    <row r="188" spans="1:47" ht="15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</row>
    <row r="189" spans="1:47" ht="15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</row>
    <row r="190" spans="1:47" ht="15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</row>
    <row r="191" spans="1:47" ht="15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</row>
    <row r="192" spans="1:47" ht="15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</row>
    <row r="193" spans="1:47" ht="15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</row>
    <row r="194" spans="1:47" ht="1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</row>
    <row r="195" spans="1:47" ht="15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</row>
    <row r="196" spans="1:47" ht="15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</row>
    <row r="197" spans="1:47" ht="15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</row>
    <row r="198" spans="1:47" ht="15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</row>
    <row r="199" spans="1:47" ht="15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</row>
    <row r="200" spans="1:47" ht="15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</row>
    <row r="201" spans="1:47" ht="15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</row>
    <row r="202" spans="1:47" ht="15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</row>
    <row r="203" spans="1:47" ht="15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</row>
    <row r="204" spans="1:47" ht="15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</row>
    <row r="205" spans="1:47" ht="15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</row>
    <row r="206" spans="1:47" ht="15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</row>
    <row r="207" spans="1:47" ht="15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</row>
    <row r="208" spans="1:47" ht="15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  <c r="AT208" s="49"/>
      <c r="AU208" s="49"/>
    </row>
    <row r="209" spans="1:47" ht="15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</row>
    <row r="210" spans="1:47" ht="15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</row>
    <row r="211" spans="1:47" ht="15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</row>
    <row r="212" spans="1:47" ht="15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</row>
    <row r="213" spans="1:47" ht="15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</row>
    <row r="214" spans="1:47" ht="15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</row>
    <row r="215" spans="1:47" ht="15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</row>
    <row r="216" spans="1:47" ht="15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</row>
    <row r="217" spans="1:47" ht="15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</row>
    <row r="218" spans="1:47" ht="15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</row>
    <row r="219" spans="1:47" ht="15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</row>
    <row r="220" spans="1:47" ht="15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</row>
    <row r="221" spans="1:47" ht="15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</row>
    <row r="222" spans="1:47" ht="15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</row>
    <row r="223" spans="1:47" ht="15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</row>
    <row r="224" spans="1:47" ht="15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</row>
    <row r="225" spans="1:47" ht="15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</row>
    <row r="226" spans="1:47" ht="15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</row>
    <row r="227" spans="1:47" ht="15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</row>
    <row r="228" spans="1:47" ht="15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</row>
    <row r="229" spans="1:47" ht="15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</row>
    <row r="230" spans="1:47" ht="15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</row>
    <row r="231" spans="1:47" ht="15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49"/>
      <c r="AS231" s="49"/>
      <c r="AT231" s="49"/>
      <c r="AU231" s="49"/>
    </row>
    <row r="232" spans="1:47" ht="15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</row>
    <row r="233" spans="1:47" ht="15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</row>
    <row r="234" spans="1:47" ht="15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</row>
    <row r="235" spans="1:47" ht="15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49"/>
      <c r="AS235" s="49"/>
      <c r="AT235" s="49"/>
      <c r="AU235" s="49"/>
    </row>
    <row r="236" spans="1:47" ht="15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9"/>
    </row>
    <row r="237" spans="1:47" ht="15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49"/>
      <c r="AT237" s="49"/>
      <c r="AU237" s="49"/>
    </row>
    <row r="238" spans="1:47" ht="15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  <c r="AS238" s="49"/>
      <c r="AT238" s="49"/>
      <c r="AU238" s="49"/>
    </row>
    <row r="239" spans="1:47" ht="15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49"/>
      <c r="AS239" s="49"/>
      <c r="AT239" s="49"/>
      <c r="AU239" s="49"/>
    </row>
    <row r="240" spans="1:47" ht="15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49"/>
      <c r="AS240" s="49"/>
      <c r="AT240" s="49"/>
      <c r="AU240" s="49"/>
    </row>
    <row r="241" spans="1:47" ht="15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49"/>
      <c r="AS241" s="49"/>
      <c r="AT241" s="49"/>
      <c r="AU241" s="49"/>
    </row>
    <row r="242" spans="1:47" ht="15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  <c r="AT242" s="49"/>
      <c r="AU242" s="49"/>
    </row>
    <row r="243" spans="1:47" ht="15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  <c r="AU243" s="49"/>
    </row>
    <row r="244" spans="1:47" ht="15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49"/>
      <c r="AS244" s="49"/>
      <c r="AT244" s="49"/>
      <c r="AU244" s="49"/>
    </row>
    <row r="245" spans="1:47" ht="15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49"/>
      <c r="AS245" s="49"/>
      <c r="AT245" s="49"/>
      <c r="AU245" s="49"/>
    </row>
    <row r="246" spans="1:47" ht="15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49"/>
      <c r="AS246" s="49"/>
      <c r="AT246" s="49"/>
      <c r="AU246" s="49"/>
    </row>
    <row r="247" spans="1:47" ht="15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49"/>
      <c r="AS247" s="49"/>
      <c r="AT247" s="49"/>
      <c r="AU247" s="49"/>
    </row>
    <row r="248" spans="1:47" ht="15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49"/>
      <c r="AT248" s="49"/>
      <c r="AU248" s="49"/>
    </row>
    <row r="249" spans="1:47" ht="15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  <c r="AS249" s="49"/>
      <c r="AT249" s="49"/>
      <c r="AU249" s="49"/>
    </row>
    <row r="250" spans="1:47" ht="15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49"/>
      <c r="AS250" s="49"/>
      <c r="AT250" s="49"/>
      <c r="AU250" s="49"/>
    </row>
    <row r="251" spans="1:47" ht="15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49"/>
      <c r="AT251" s="49"/>
      <c r="AU251" s="49"/>
    </row>
    <row r="252" spans="1:47" ht="15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9"/>
    </row>
    <row r="253" spans="1:47" ht="15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  <c r="AS253" s="49"/>
      <c r="AT253" s="49"/>
      <c r="AU253" s="49"/>
    </row>
    <row r="254" spans="1:47" ht="15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  <c r="AT254" s="49"/>
      <c r="AU254" s="49"/>
    </row>
    <row r="255" spans="1:47" ht="15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</row>
    <row r="256" spans="1:47" ht="15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49"/>
      <c r="AS256" s="49"/>
      <c r="AT256" s="49"/>
      <c r="AU256" s="49"/>
    </row>
    <row r="257" spans="1:47" ht="15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49"/>
      <c r="AS257" s="49"/>
      <c r="AT257" s="49"/>
      <c r="AU257" s="49"/>
    </row>
    <row r="258" spans="1:47" ht="15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  <c r="AT258" s="49"/>
      <c r="AU258" s="49"/>
    </row>
    <row r="259" spans="1:47" ht="15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49"/>
      <c r="AS259" s="49"/>
      <c r="AT259" s="49"/>
      <c r="AU259" s="49"/>
    </row>
    <row r="260" spans="1:47" ht="15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49"/>
      <c r="AS260" s="49"/>
      <c r="AT260" s="49"/>
      <c r="AU260" s="49"/>
    </row>
    <row r="261" spans="1:47" ht="15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49"/>
      <c r="AS261" s="49"/>
      <c r="AT261" s="49"/>
      <c r="AU261" s="49"/>
    </row>
    <row r="262" spans="1:47" ht="15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49"/>
      <c r="AS262" s="49"/>
      <c r="AT262" s="49"/>
      <c r="AU262" s="49"/>
    </row>
    <row r="263" spans="1:47" ht="15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49"/>
      <c r="AT263" s="49"/>
      <c r="AU263" s="49"/>
    </row>
    <row r="264" spans="1:47" ht="15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</row>
    <row r="265" spans="1:47" ht="15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  <c r="AM265" s="49"/>
      <c r="AN265" s="49"/>
      <c r="AO265" s="49"/>
      <c r="AP265" s="49"/>
      <c r="AQ265" s="49"/>
      <c r="AR265" s="49"/>
      <c r="AS265" s="49"/>
      <c r="AT265" s="49"/>
      <c r="AU265" s="49"/>
    </row>
    <row r="266" spans="1:47" ht="15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49"/>
      <c r="AS266" s="49"/>
      <c r="AT266" s="49"/>
      <c r="AU266" s="49"/>
    </row>
    <row r="267" spans="1:47" ht="15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  <c r="AR267" s="49"/>
      <c r="AS267" s="49"/>
      <c r="AT267" s="49"/>
      <c r="AU267" s="49"/>
    </row>
    <row r="268" spans="1:47" ht="15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  <c r="AJ268" s="49"/>
      <c r="AK268" s="49"/>
      <c r="AL268" s="49"/>
      <c r="AM268" s="49"/>
      <c r="AN268" s="49"/>
      <c r="AO268" s="49"/>
      <c r="AP268" s="49"/>
      <c r="AQ268" s="49"/>
      <c r="AR268" s="49"/>
      <c r="AS268" s="49"/>
      <c r="AT268" s="49"/>
      <c r="AU268" s="49"/>
    </row>
    <row r="269" spans="1:47" ht="15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  <c r="AJ269" s="49"/>
      <c r="AK269" s="49"/>
      <c r="AL269" s="49"/>
      <c r="AM269" s="49"/>
      <c r="AN269" s="49"/>
      <c r="AO269" s="49"/>
      <c r="AP269" s="49"/>
      <c r="AQ269" s="49"/>
      <c r="AR269" s="49"/>
      <c r="AS269" s="49"/>
      <c r="AT269" s="49"/>
      <c r="AU269" s="49"/>
    </row>
    <row r="270" spans="1:47" ht="15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  <c r="AP270" s="49"/>
      <c r="AQ270" s="49"/>
      <c r="AR270" s="49"/>
      <c r="AS270" s="49"/>
      <c r="AT270" s="49"/>
      <c r="AU270" s="49"/>
    </row>
    <row r="271" spans="1:47" ht="15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  <c r="AM271" s="49"/>
      <c r="AN271" s="49"/>
      <c r="AO271" s="49"/>
      <c r="AP271" s="49"/>
      <c r="AQ271" s="49"/>
      <c r="AR271" s="49"/>
      <c r="AS271" s="49"/>
      <c r="AT271" s="49"/>
      <c r="AU271" s="49"/>
    </row>
    <row r="272" spans="1:47" ht="15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  <c r="AM272" s="49"/>
      <c r="AN272" s="49"/>
      <c r="AO272" s="49"/>
      <c r="AP272" s="49"/>
      <c r="AQ272" s="49"/>
      <c r="AR272" s="49"/>
      <c r="AS272" s="49"/>
      <c r="AT272" s="49"/>
      <c r="AU272" s="49"/>
    </row>
    <row r="273" spans="1:47" ht="15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  <c r="AJ273" s="49"/>
      <c r="AK273" s="49"/>
      <c r="AL273" s="49"/>
      <c r="AM273" s="49"/>
      <c r="AN273" s="49"/>
      <c r="AO273" s="49"/>
      <c r="AP273" s="49"/>
      <c r="AQ273" s="49"/>
      <c r="AR273" s="49"/>
      <c r="AS273" s="49"/>
      <c r="AT273" s="49"/>
      <c r="AU273" s="49"/>
    </row>
    <row r="274" spans="1:47" ht="15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49"/>
      <c r="AN274" s="49"/>
      <c r="AO274" s="49"/>
      <c r="AP274" s="49"/>
      <c r="AQ274" s="49"/>
      <c r="AR274" s="49"/>
      <c r="AS274" s="49"/>
      <c r="AT274" s="49"/>
      <c r="AU274" s="49"/>
    </row>
    <row r="275" spans="1:47" ht="15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  <c r="AN275" s="49"/>
      <c r="AO275" s="49"/>
      <c r="AP275" s="49"/>
      <c r="AQ275" s="49"/>
      <c r="AR275" s="49"/>
      <c r="AS275" s="49"/>
      <c r="AT275" s="49"/>
      <c r="AU275" s="49"/>
    </row>
    <row r="276" spans="1:47" ht="15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49"/>
      <c r="AJ276" s="49"/>
      <c r="AK276" s="49"/>
      <c r="AL276" s="49"/>
      <c r="AM276" s="49"/>
      <c r="AN276" s="49"/>
      <c r="AO276" s="49"/>
      <c r="AP276" s="49"/>
      <c r="AQ276" s="49"/>
      <c r="AR276" s="49"/>
      <c r="AS276" s="49"/>
      <c r="AT276" s="49"/>
      <c r="AU276" s="49"/>
    </row>
    <row r="277" spans="1:47" ht="15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  <c r="AJ277" s="49"/>
      <c r="AK277" s="49"/>
      <c r="AL277" s="49"/>
      <c r="AM277" s="49"/>
      <c r="AN277" s="49"/>
      <c r="AO277" s="49"/>
      <c r="AP277" s="49"/>
      <c r="AQ277" s="49"/>
      <c r="AR277" s="49"/>
      <c r="AS277" s="49"/>
      <c r="AT277" s="49"/>
      <c r="AU277" s="49"/>
    </row>
    <row r="278" spans="1:47" ht="15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  <c r="AJ278" s="49"/>
      <c r="AK278" s="49"/>
      <c r="AL278" s="49"/>
      <c r="AM278" s="49"/>
      <c r="AN278" s="49"/>
      <c r="AO278" s="49"/>
      <c r="AP278" s="49"/>
      <c r="AQ278" s="49"/>
      <c r="AR278" s="49"/>
      <c r="AS278" s="49"/>
      <c r="AT278" s="49"/>
      <c r="AU278" s="49"/>
    </row>
    <row r="279" spans="1:47" ht="15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  <c r="AJ279" s="49"/>
      <c r="AK279" s="49"/>
      <c r="AL279" s="49"/>
      <c r="AM279" s="49"/>
      <c r="AN279" s="49"/>
      <c r="AO279" s="49"/>
      <c r="AP279" s="49"/>
      <c r="AQ279" s="49"/>
      <c r="AR279" s="49"/>
      <c r="AS279" s="49"/>
      <c r="AT279" s="49"/>
      <c r="AU279" s="49"/>
    </row>
    <row r="280" spans="1:47" ht="15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  <c r="AJ280" s="49"/>
      <c r="AK280" s="49"/>
      <c r="AL280" s="49"/>
      <c r="AM280" s="49"/>
      <c r="AN280" s="49"/>
      <c r="AO280" s="49"/>
      <c r="AP280" s="49"/>
      <c r="AQ280" s="49"/>
      <c r="AR280" s="49"/>
      <c r="AS280" s="49"/>
      <c r="AT280" s="49"/>
      <c r="AU280" s="49"/>
    </row>
    <row r="281" spans="1:47" ht="15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  <c r="AJ281" s="49"/>
      <c r="AK281" s="49"/>
      <c r="AL281" s="49"/>
      <c r="AM281" s="49"/>
      <c r="AN281" s="49"/>
      <c r="AO281" s="49"/>
      <c r="AP281" s="49"/>
      <c r="AQ281" s="49"/>
      <c r="AR281" s="49"/>
      <c r="AS281" s="49"/>
      <c r="AT281" s="49"/>
      <c r="AU281" s="49"/>
    </row>
    <row r="282" spans="1:47" ht="15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  <c r="AI282" s="49"/>
      <c r="AJ282" s="49"/>
      <c r="AK282" s="49"/>
      <c r="AL282" s="49"/>
      <c r="AM282" s="49"/>
      <c r="AN282" s="49"/>
      <c r="AO282" s="49"/>
      <c r="AP282" s="49"/>
      <c r="AQ282" s="49"/>
      <c r="AR282" s="49"/>
      <c r="AS282" s="49"/>
      <c r="AT282" s="49"/>
      <c r="AU282" s="49"/>
    </row>
    <row r="283" spans="1:47" ht="15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  <c r="AI283" s="49"/>
      <c r="AJ283" s="49"/>
      <c r="AK283" s="49"/>
      <c r="AL283" s="49"/>
      <c r="AM283" s="49"/>
      <c r="AN283" s="49"/>
      <c r="AO283" s="49"/>
      <c r="AP283" s="49"/>
      <c r="AQ283" s="49"/>
      <c r="AR283" s="49"/>
      <c r="AS283" s="49"/>
      <c r="AT283" s="49"/>
      <c r="AU283" s="49"/>
    </row>
    <row r="284" spans="1:47" ht="15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  <c r="AJ284" s="49"/>
      <c r="AK284" s="49"/>
      <c r="AL284" s="49"/>
      <c r="AM284" s="49"/>
      <c r="AN284" s="49"/>
      <c r="AO284" s="49"/>
      <c r="AP284" s="49"/>
      <c r="AQ284" s="49"/>
      <c r="AR284" s="49"/>
      <c r="AS284" s="49"/>
      <c r="AT284" s="49"/>
      <c r="AU284" s="49"/>
    </row>
    <row r="285" spans="1:47" ht="15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49"/>
      <c r="AJ285" s="49"/>
      <c r="AK285" s="49"/>
      <c r="AL285" s="49"/>
      <c r="AM285" s="49"/>
      <c r="AN285" s="49"/>
      <c r="AO285" s="49"/>
      <c r="AP285" s="49"/>
      <c r="AQ285" s="49"/>
      <c r="AR285" s="49"/>
      <c r="AS285" s="49"/>
      <c r="AT285" s="49"/>
      <c r="AU285" s="49"/>
    </row>
    <row r="286" spans="1:47" ht="15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  <c r="AJ286" s="49"/>
      <c r="AK286" s="49"/>
      <c r="AL286" s="49"/>
      <c r="AM286" s="49"/>
      <c r="AN286" s="49"/>
      <c r="AO286" s="49"/>
      <c r="AP286" s="49"/>
      <c r="AQ286" s="49"/>
      <c r="AR286" s="49"/>
      <c r="AS286" s="49"/>
      <c r="AT286" s="49"/>
      <c r="AU286" s="49"/>
    </row>
    <row r="287" spans="1:47" ht="15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  <c r="AJ287" s="49"/>
      <c r="AK287" s="49"/>
      <c r="AL287" s="49"/>
      <c r="AM287" s="49"/>
      <c r="AN287" s="49"/>
      <c r="AO287" s="49"/>
      <c r="AP287" s="49"/>
      <c r="AQ287" s="49"/>
      <c r="AR287" s="49"/>
      <c r="AS287" s="49"/>
      <c r="AT287" s="49"/>
      <c r="AU287" s="49"/>
    </row>
    <row r="288" spans="1:47" ht="15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  <c r="AJ288" s="49"/>
      <c r="AK288" s="49"/>
      <c r="AL288" s="49"/>
      <c r="AM288" s="49"/>
      <c r="AN288" s="49"/>
      <c r="AO288" s="49"/>
      <c r="AP288" s="49"/>
      <c r="AQ288" s="49"/>
      <c r="AR288" s="49"/>
      <c r="AS288" s="49"/>
      <c r="AT288" s="49"/>
      <c r="AU288" s="49"/>
    </row>
    <row r="289" spans="1:47" ht="15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  <c r="AJ289" s="49"/>
      <c r="AK289" s="49"/>
      <c r="AL289" s="49"/>
      <c r="AM289" s="49"/>
      <c r="AN289" s="49"/>
      <c r="AO289" s="49"/>
      <c r="AP289" s="49"/>
      <c r="AQ289" s="49"/>
      <c r="AR289" s="49"/>
      <c r="AS289" s="49"/>
      <c r="AT289" s="49"/>
      <c r="AU289" s="49"/>
    </row>
    <row r="290" spans="1:47" ht="15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  <c r="AJ290" s="49"/>
      <c r="AK290" s="49"/>
      <c r="AL290" s="49"/>
      <c r="AM290" s="49"/>
      <c r="AN290" s="49"/>
      <c r="AO290" s="49"/>
      <c r="AP290" s="49"/>
      <c r="AQ290" s="49"/>
      <c r="AR290" s="49"/>
      <c r="AS290" s="49"/>
      <c r="AT290" s="49"/>
      <c r="AU290" s="49"/>
    </row>
    <row r="291" spans="1:47" ht="15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  <c r="AJ291" s="49"/>
      <c r="AK291" s="49"/>
      <c r="AL291" s="49"/>
      <c r="AM291" s="49"/>
      <c r="AN291" s="49"/>
      <c r="AO291" s="49"/>
      <c r="AP291" s="49"/>
      <c r="AQ291" s="49"/>
      <c r="AR291" s="49"/>
      <c r="AS291" s="49"/>
      <c r="AT291" s="49"/>
      <c r="AU291" s="49"/>
    </row>
    <row r="292" spans="1:47" ht="15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  <c r="AJ292" s="49"/>
      <c r="AK292" s="49"/>
      <c r="AL292" s="49"/>
      <c r="AM292" s="49"/>
      <c r="AN292" s="49"/>
      <c r="AO292" s="49"/>
      <c r="AP292" s="49"/>
      <c r="AQ292" s="49"/>
      <c r="AR292" s="49"/>
      <c r="AS292" s="49"/>
      <c r="AT292" s="49"/>
      <c r="AU292" s="49"/>
    </row>
    <row r="293" spans="1:47" ht="15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  <c r="AJ293" s="49"/>
      <c r="AK293" s="49"/>
      <c r="AL293" s="49"/>
      <c r="AM293" s="49"/>
      <c r="AN293" s="49"/>
      <c r="AO293" s="49"/>
      <c r="AP293" s="49"/>
      <c r="AQ293" s="49"/>
      <c r="AR293" s="49"/>
      <c r="AS293" s="49"/>
      <c r="AT293" s="49"/>
      <c r="AU293" s="49"/>
    </row>
    <row r="294" spans="1:47" ht="15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  <c r="AI294" s="49"/>
      <c r="AJ294" s="49"/>
      <c r="AK294" s="49"/>
      <c r="AL294" s="49"/>
      <c r="AM294" s="49"/>
      <c r="AN294" s="49"/>
      <c r="AO294" s="49"/>
      <c r="AP294" s="49"/>
      <c r="AQ294" s="49"/>
      <c r="AR294" s="49"/>
      <c r="AS294" s="49"/>
      <c r="AT294" s="49"/>
      <c r="AU294" s="49"/>
    </row>
    <row r="295" spans="1:47" ht="15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  <c r="AJ295" s="49"/>
      <c r="AK295" s="49"/>
      <c r="AL295" s="49"/>
      <c r="AM295" s="49"/>
      <c r="AN295" s="49"/>
      <c r="AO295" s="49"/>
      <c r="AP295" s="49"/>
      <c r="AQ295" s="49"/>
      <c r="AR295" s="49"/>
      <c r="AS295" s="49"/>
      <c r="AT295" s="49"/>
      <c r="AU295" s="49"/>
    </row>
    <row r="296" spans="1:47" ht="15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  <c r="AJ296" s="49"/>
      <c r="AK296" s="49"/>
      <c r="AL296" s="49"/>
      <c r="AM296" s="49"/>
      <c r="AN296" s="49"/>
      <c r="AO296" s="49"/>
      <c r="AP296" s="49"/>
      <c r="AQ296" s="49"/>
      <c r="AR296" s="49"/>
      <c r="AS296" s="49"/>
      <c r="AT296" s="49"/>
      <c r="AU296" s="49"/>
    </row>
    <row r="297" spans="1:47" ht="15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  <c r="AJ297" s="49"/>
      <c r="AK297" s="49"/>
      <c r="AL297" s="49"/>
      <c r="AM297" s="49"/>
      <c r="AN297" s="49"/>
      <c r="AO297" s="49"/>
      <c r="AP297" s="49"/>
      <c r="AQ297" s="49"/>
      <c r="AR297" s="49"/>
      <c r="AS297" s="49"/>
      <c r="AT297" s="49"/>
      <c r="AU297" s="49"/>
    </row>
    <row r="298" spans="1:47" ht="15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  <c r="AJ298" s="49"/>
      <c r="AK298" s="49"/>
      <c r="AL298" s="49"/>
      <c r="AM298" s="49"/>
      <c r="AN298" s="49"/>
      <c r="AO298" s="49"/>
      <c r="AP298" s="49"/>
      <c r="AQ298" s="49"/>
      <c r="AR298" s="49"/>
      <c r="AS298" s="49"/>
      <c r="AT298" s="49"/>
      <c r="AU298" s="49"/>
    </row>
    <row r="299" spans="1:47" ht="15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  <c r="AI299" s="49"/>
      <c r="AJ299" s="49"/>
      <c r="AK299" s="49"/>
      <c r="AL299" s="49"/>
      <c r="AM299" s="49"/>
      <c r="AN299" s="49"/>
      <c r="AO299" s="49"/>
      <c r="AP299" s="49"/>
      <c r="AQ299" s="49"/>
      <c r="AR299" s="49"/>
      <c r="AS299" s="49"/>
      <c r="AT299" s="49"/>
      <c r="AU299" s="49"/>
    </row>
    <row r="300" spans="1:47" ht="15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  <c r="AI300" s="49"/>
      <c r="AJ300" s="49"/>
      <c r="AK300" s="49"/>
      <c r="AL300" s="49"/>
      <c r="AM300" s="49"/>
      <c r="AN300" s="49"/>
      <c r="AO300" s="49"/>
      <c r="AP300" s="49"/>
      <c r="AQ300" s="49"/>
      <c r="AR300" s="49"/>
      <c r="AS300" s="49"/>
      <c r="AT300" s="49"/>
      <c r="AU300" s="49"/>
    </row>
    <row r="301" spans="1:47" ht="15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  <c r="AI301" s="49"/>
      <c r="AJ301" s="49"/>
      <c r="AK301" s="49"/>
      <c r="AL301" s="49"/>
      <c r="AM301" s="49"/>
      <c r="AN301" s="49"/>
      <c r="AO301" s="49"/>
      <c r="AP301" s="49"/>
      <c r="AQ301" s="49"/>
      <c r="AR301" s="49"/>
      <c r="AS301" s="49"/>
      <c r="AT301" s="49"/>
      <c r="AU301" s="49"/>
    </row>
    <row r="302" spans="1:47" ht="15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  <c r="AI302" s="49"/>
      <c r="AJ302" s="49"/>
      <c r="AK302" s="49"/>
      <c r="AL302" s="49"/>
      <c r="AM302" s="49"/>
      <c r="AN302" s="49"/>
      <c r="AO302" s="49"/>
      <c r="AP302" s="49"/>
      <c r="AQ302" s="49"/>
      <c r="AR302" s="49"/>
      <c r="AS302" s="49"/>
      <c r="AT302" s="49"/>
      <c r="AU302" s="49"/>
    </row>
    <row r="303" spans="1:47" ht="15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  <c r="AI303" s="49"/>
      <c r="AJ303" s="49"/>
      <c r="AK303" s="49"/>
      <c r="AL303" s="49"/>
      <c r="AM303" s="49"/>
      <c r="AN303" s="49"/>
      <c r="AO303" s="49"/>
      <c r="AP303" s="49"/>
      <c r="AQ303" s="49"/>
      <c r="AR303" s="49"/>
      <c r="AS303" s="49"/>
      <c r="AT303" s="49"/>
      <c r="AU303" s="49"/>
    </row>
    <row r="304" spans="1:47" ht="15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  <c r="AI304" s="49"/>
      <c r="AJ304" s="49"/>
      <c r="AK304" s="49"/>
      <c r="AL304" s="49"/>
      <c r="AM304" s="49"/>
      <c r="AN304" s="49"/>
      <c r="AO304" s="49"/>
      <c r="AP304" s="49"/>
      <c r="AQ304" s="49"/>
      <c r="AR304" s="49"/>
      <c r="AS304" s="49"/>
      <c r="AT304" s="49"/>
      <c r="AU304" s="49"/>
    </row>
    <row r="305" spans="1:47" ht="15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  <c r="AJ305" s="49"/>
      <c r="AK305" s="49"/>
      <c r="AL305" s="49"/>
      <c r="AM305" s="49"/>
      <c r="AN305" s="49"/>
      <c r="AO305" s="49"/>
      <c r="AP305" s="49"/>
      <c r="AQ305" s="49"/>
      <c r="AR305" s="49"/>
      <c r="AS305" s="49"/>
      <c r="AT305" s="49"/>
      <c r="AU305" s="49"/>
    </row>
    <row r="306" spans="1:47" ht="15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  <c r="AI306" s="49"/>
      <c r="AJ306" s="49"/>
      <c r="AK306" s="49"/>
      <c r="AL306" s="49"/>
      <c r="AM306" s="49"/>
      <c r="AN306" s="49"/>
      <c r="AO306" s="49"/>
      <c r="AP306" s="49"/>
      <c r="AQ306" s="49"/>
      <c r="AR306" s="49"/>
      <c r="AS306" s="49"/>
      <c r="AT306" s="49"/>
      <c r="AU306" s="49"/>
    </row>
    <row r="307" spans="1:47" ht="15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  <c r="AJ307" s="49"/>
      <c r="AK307" s="49"/>
      <c r="AL307" s="49"/>
      <c r="AM307" s="49"/>
      <c r="AN307" s="49"/>
      <c r="AO307" s="49"/>
      <c r="AP307" s="49"/>
      <c r="AQ307" s="49"/>
      <c r="AR307" s="49"/>
      <c r="AS307" s="49"/>
      <c r="AT307" s="49"/>
      <c r="AU307" s="49"/>
    </row>
    <row r="308" spans="1:47" ht="15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  <c r="AI308" s="49"/>
      <c r="AJ308" s="49"/>
      <c r="AK308" s="49"/>
      <c r="AL308" s="49"/>
      <c r="AM308" s="49"/>
      <c r="AN308" s="49"/>
      <c r="AO308" s="49"/>
      <c r="AP308" s="49"/>
      <c r="AQ308" s="49"/>
      <c r="AR308" s="49"/>
      <c r="AS308" s="49"/>
      <c r="AT308" s="49"/>
      <c r="AU308" s="49"/>
    </row>
    <row r="309" spans="1:47" ht="15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  <c r="AG309" s="49"/>
      <c r="AH309" s="49"/>
      <c r="AI309" s="49"/>
      <c r="AJ309" s="49"/>
      <c r="AK309" s="49"/>
      <c r="AL309" s="49"/>
      <c r="AM309" s="49"/>
      <c r="AN309" s="49"/>
      <c r="AO309" s="49"/>
      <c r="AP309" s="49"/>
      <c r="AQ309" s="49"/>
      <c r="AR309" s="49"/>
      <c r="AS309" s="49"/>
      <c r="AT309" s="49"/>
      <c r="AU309" s="49"/>
    </row>
    <row r="310" spans="1:47" ht="15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  <c r="AI310" s="49"/>
      <c r="AJ310" s="49"/>
      <c r="AK310" s="49"/>
      <c r="AL310" s="49"/>
      <c r="AM310" s="49"/>
      <c r="AN310" s="49"/>
      <c r="AO310" s="49"/>
      <c r="AP310" s="49"/>
      <c r="AQ310" s="49"/>
      <c r="AR310" s="49"/>
      <c r="AS310" s="49"/>
      <c r="AT310" s="49"/>
      <c r="AU310" s="49"/>
    </row>
    <row r="311" spans="1:47" ht="15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  <c r="AJ311" s="49"/>
      <c r="AK311" s="49"/>
      <c r="AL311" s="49"/>
      <c r="AM311" s="49"/>
      <c r="AN311" s="49"/>
      <c r="AO311" s="49"/>
      <c r="AP311" s="49"/>
      <c r="AQ311" s="49"/>
      <c r="AR311" s="49"/>
      <c r="AS311" s="49"/>
      <c r="AT311" s="49"/>
      <c r="AU311" s="49"/>
    </row>
    <row r="312" spans="1:47" ht="15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  <c r="AI312" s="49"/>
      <c r="AJ312" s="49"/>
      <c r="AK312" s="49"/>
      <c r="AL312" s="49"/>
      <c r="AM312" s="49"/>
      <c r="AN312" s="49"/>
      <c r="AO312" s="49"/>
      <c r="AP312" s="49"/>
      <c r="AQ312" s="49"/>
      <c r="AR312" s="49"/>
      <c r="AS312" s="49"/>
      <c r="AT312" s="49"/>
      <c r="AU312" s="49"/>
    </row>
    <row r="313" spans="1:47" ht="15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  <c r="AI313" s="49"/>
      <c r="AJ313" s="49"/>
      <c r="AK313" s="49"/>
      <c r="AL313" s="49"/>
      <c r="AM313" s="49"/>
      <c r="AN313" s="49"/>
      <c r="AO313" s="49"/>
      <c r="AP313" s="49"/>
      <c r="AQ313" s="49"/>
      <c r="AR313" s="49"/>
      <c r="AS313" s="49"/>
      <c r="AT313" s="49"/>
      <c r="AU313" s="49"/>
    </row>
    <row r="314" spans="1:47" ht="15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  <c r="AI314" s="49"/>
      <c r="AJ314" s="49"/>
      <c r="AK314" s="49"/>
      <c r="AL314" s="49"/>
      <c r="AM314" s="49"/>
      <c r="AN314" s="49"/>
      <c r="AO314" s="49"/>
      <c r="AP314" s="49"/>
      <c r="AQ314" s="49"/>
      <c r="AR314" s="49"/>
      <c r="AS314" s="49"/>
      <c r="AT314" s="49"/>
      <c r="AU314" s="49"/>
    </row>
    <row r="315" spans="1:47" ht="15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  <c r="AI315" s="49"/>
      <c r="AJ315" s="49"/>
      <c r="AK315" s="49"/>
      <c r="AL315" s="49"/>
      <c r="AM315" s="49"/>
      <c r="AN315" s="49"/>
      <c r="AO315" s="49"/>
      <c r="AP315" s="49"/>
      <c r="AQ315" s="49"/>
      <c r="AR315" s="49"/>
      <c r="AS315" s="49"/>
      <c r="AT315" s="49"/>
      <c r="AU315" s="49"/>
    </row>
    <row r="316" spans="1:47" ht="15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  <c r="AI316" s="49"/>
      <c r="AJ316" s="49"/>
      <c r="AK316" s="49"/>
      <c r="AL316" s="49"/>
      <c r="AM316" s="49"/>
      <c r="AN316" s="49"/>
      <c r="AO316" s="49"/>
      <c r="AP316" s="49"/>
      <c r="AQ316" s="49"/>
      <c r="AR316" s="49"/>
      <c r="AS316" s="49"/>
      <c r="AT316" s="49"/>
      <c r="AU316" s="49"/>
    </row>
    <row r="317" spans="1:47" ht="15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  <c r="AI317" s="49"/>
      <c r="AJ317" s="49"/>
      <c r="AK317" s="49"/>
      <c r="AL317" s="49"/>
      <c r="AM317" s="49"/>
      <c r="AN317" s="49"/>
      <c r="AO317" s="49"/>
      <c r="AP317" s="49"/>
      <c r="AQ317" s="49"/>
      <c r="AR317" s="49"/>
      <c r="AS317" s="49"/>
      <c r="AT317" s="49"/>
      <c r="AU317" s="49"/>
    </row>
    <row r="318" spans="1:47" ht="15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  <c r="AI318" s="49"/>
      <c r="AJ318" s="49"/>
      <c r="AK318" s="49"/>
      <c r="AL318" s="49"/>
      <c r="AM318" s="49"/>
      <c r="AN318" s="49"/>
      <c r="AO318" s="49"/>
      <c r="AP318" s="49"/>
      <c r="AQ318" s="49"/>
      <c r="AR318" s="49"/>
      <c r="AS318" s="49"/>
      <c r="AT318" s="49"/>
      <c r="AU318" s="49"/>
    </row>
    <row r="319" spans="1:47" ht="15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  <c r="AI319" s="49"/>
      <c r="AJ319" s="49"/>
      <c r="AK319" s="49"/>
      <c r="AL319" s="49"/>
      <c r="AM319" s="49"/>
      <c r="AN319" s="49"/>
      <c r="AO319" s="49"/>
      <c r="AP319" s="49"/>
      <c r="AQ319" s="49"/>
      <c r="AR319" s="49"/>
      <c r="AS319" s="49"/>
      <c r="AT319" s="49"/>
      <c r="AU319" s="49"/>
    </row>
    <row r="320" spans="1:47" ht="15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  <c r="AI320" s="49"/>
      <c r="AJ320" s="49"/>
      <c r="AK320" s="49"/>
      <c r="AL320" s="49"/>
      <c r="AM320" s="49"/>
      <c r="AN320" s="49"/>
      <c r="AO320" s="49"/>
      <c r="AP320" s="49"/>
      <c r="AQ320" s="49"/>
      <c r="AR320" s="49"/>
      <c r="AS320" s="49"/>
      <c r="AT320" s="49"/>
      <c r="AU320" s="49"/>
    </row>
    <row r="321" spans="1:47" ht="15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  <c r="AI321" s="49"/>
      <c r="AJ321" s="49"/>
      <c r="AK321" s="49"/>
      <c r="AL321" s="49"/>
      <c r="AM321" s="49"/>
      <c r="AN321" s="49"/>
      <c r="AO321" s="49"/>
      <c r="AP321" s="49"/>
      <c r="AQ321" s="49"/>
      <c r="AR321" s="49"/>
      <c r="AS321" s="49"/>
      <c r="AT321" s="49"/>
      <c r="AU321" s="49"/>
    </row>
    <row r="322" spans="1:47" ht="15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  <c r="AI322" s="49"/>
      <c r="AJ322" s="49"/>
      <c r="AK322" s="49"/>
      <c r="AL322" s="49"/>
      <c r="AM322" s="49"/>
      <c r="AN322" s="49"/>
      <c r="AO322" s="49"/>
      <c r="AP322" s="49"/>
      <c r="AQ322" s="49"/>
      <c r="AR322" s="49"/>
      <c r="AS322" s="49"/>
      <c r="AT322" s="49"/>
      <c r="AU322" s="49"/>
    </row>
    <row r="323" spans="1:47" ht="15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  <c r="AH323" s="49"/>
      <c r="AI323" s="49"/>
      <c r="AJ323" s="49"/>
      <c r="AK323" s="49"/>
      <c r="AL323" s="49"/>
      <c r="AM323" s="49"/>
      <c r="AN323" s="49"/>
      <c r="AO323" s="49"/>
      <c r="AP323" s="49"/>
      <c r="AQ323" s="49"/>
      <c r="AR323" s="49"/>
      <c r="AS323" s="49"/>
      <c r="AT323" s="49"/>
      <c r="AU323" s="49"/>
    </row>
    <row r="324" spans="1:47" ht="15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  <c r="AI324" s="49"/>
      <c r="AJ324" s="49"/>
      <c r="AK324" s="49"/>
      <c r="AL324" s="49"/>
      <c r="AM324" s="49"/>
      <c r="AN324" s="49"/>
      <c r="AO324" s="49"/>
      <c r="AP324" s="49"/>
      <c r="AQ324" s="49"/>
      <c r="AR324" s="49"/>
      <c r="AS324" s="49"/>
      <c r="AT324" s="49"/>
      <c r="AU324" s="49"/>
    </row>
    <row r="325" spans="1:47" ht="15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  <c r="AI325" s="49"/>
      <c r="AJ325" s="49"/>
      <c r="AK325" s="49"/>
      <c r="AL325" s="49"/>
      <c r="AM325" s="49"/>
      <c r="AN325" s="49"/>
      <c r="AO325" s="49"/>
      <c r="AP325" s="49"/>
      <c r="AQ325" s="49"/>
      <c r="AR325" s="49"/>
      <c r="AS325" s="49"/>
      <c r="AT325" s="49"/>
      <c r="AU325" s="49"/>
    </row>
    <row r="326" spans="1:47" ht="15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  <c r="AI326" s="49"/>
      <c r="AJ326" s="49"/>
      <c r="AK326" s="49"/>
      <c r="AL326" s="49"/>
      <c r="AM326" s="49"/>
      <c r="AN326" s="49"/>
      <c r="AO326" s="49"/>
      <c r="AP326" s="49"/>
      <c r="AQ326" s="49"/>
      <c r="AR326" s="49"/>
      <c r="AS326" s="49"/>
      <c r="AT326" s="49"/>
      <c r="AU326" s="49"/>
    </row>
    <row r="327" spans="1:47" ht="15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  <c r="AI327" s="49"/>
      <c r="AJ327" s="49"/>
      <c r="AK327" s="49"/>
      <c r="AL327" s="49"/>
      <c r="AM327" s="49"/>
      <c r="AN327" s="49"/>
      <c r="AO327" s="49"/>
      <c r="AP327" s="49"/>
      <c r="AQ327" s="49"/>
      <c r="AR327" s="49"/>
      <c r="AS327" s="49"/>
      <c r="AT327" s="49"/>
      <c r="AU327" s="49"/>
    </row>
    <row r="328" spans="1:47" ht="15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  <c r="AI328" s="49"/>
      <c r="AJ328" s="49"/>
      <c r="AK328" s="49"/>
      <c r="AL328" s="49"/>
      <c r="AM328" s="49"/>
      <c r="AN328" s="49"/>
      <c r="AO328" s="49"/>
      <c r="AP328" s="49"/>
      <c r="AQ328" s="49"/>
      <c r="AR328" s="49"/>
      <c r="AS328" s="49"/>
      <c r="AT328" s="49"/>
      <c r="AU328" s="49"/>
    </row>
    <row r="329" spans="1:47" ht="15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  <c r="AI329" s="49"/>
      <c r="AJ329" s="49"/>
      <c r="AK329" s="49"/>
      <c r="AL329" s="49"/>
      <c r="AM329" s="49"/>
      <c r="AN329" s="49"/>
      <c r="AO329" s="49"/>
      <c r="AP329" s="49"/>
      <c r="AQ329" s="49"/>
      <c r="AR329" s="49"/>
      <c r="AS329" s="49"/>
      <c r="AT329" s="49"/>
      <c r="AU329" s="49"/>
    </row>
    <row r="330" spans="1:47" ht="15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  <c r="AH330" s="49"/>
      <c r="AI330" s="49"/>
      <c r="AJ330" s="49"/>
      <c r="AK330" s="49"/>
      <c r="AL330" s="49"/>
      <c r="AM330" s="49"/>
      <c r="AN330" s="49"/>
      <c r="AO330" s="49"/>
      <c r="AP330" s="49"/>
      <c r="AQ330" s="49"/>
      <c r="AR330" s="49"/>
      <c r="AS330" s="49"/>
      <c r="AT330" s="49"/>
      <c r="AU330" s="49"/>
    </row>
    <row r="331" spans="1:47" ht="15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  <c r="AH331" s="49"/>
      <c r="AI331" s="49"/>
      <c r="AJ331" s="49"/>
      <c r="AK331" s="49"/>
      <c r="AL331" s="49"/>
      <c r="AM331" s="49"/>
      <c r="AN331" s="49"/>
      <c r="AO331" s="49"/>
      <c r="AP331" s="49"/>
      <c r="AQ331" s="49"/>
      <c r="AR331" s="49"/>
      <c r="AS331" s="49"/>
      <c r="AT331" s="49"/>
      <c r="AU331" s="49"/>
    </row>
    <row r="332" spans="1:47" ht="15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  <c r="AI332" s="49"/>
      <c r="AJ332" s="49"/>
      <c r="AK332" s="49"/>
      <c r="AL332" s="49"/>
      <c r="AM332" s="49"/>
      <c r="AN332" s="49"/>
      <c r="AO332" s="49"/>
      <c r="AP332" s="49"/>
      <c r="AQ332" s="49"/>
      <c r="AR332" s="49"/>
      <c r="AS332" s="49"/>
      <c r="AT332" s="49"/>
      <c r="AU332" s="49"/>
    </row>
    <row r="333" spans="1:47" ht="15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  <c r="AH333" s="49"/>
      <c r="AI333" s="49"/>
      <c r="AJ333" s="49"/>
      <c r="AK333" s="49"/>
      <c r="AL333" s="49"/>
      <c r="AM333" s="49"/>
      <c r="AN333" s="49"/>
      <c r="AO333" s="49"/>
      <c r="AP333" s="49"/>
      <c r="AQ333" s="49"/>
      <c r="AR333" s="49"/>
      <c r="AS333" s="49"/>
      <c r="AT333" s="49"/>
      <c r="AU333" s="49"/>
    </row>
    <row r="334" spans="1:47" ht="15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49"/>
      <c r="AH334" s="49"/>
      <c r="AI334" s="49"/>
      <c r="AJ334" s="49"/>
      <c r="AK334" s="49"/>
      <c r="AL334" s="49"/>
      <c r="AM334" s="49"/>
      <c r="AN334" s="49"/>
      <c r="AO334" s="49"/>
      <c r="AP334" s="49"/>
      <c r="AQ334" s="49"/>
      <c r="AR334" s="49"/>
      <c r="AS334" s="49"/>
      <c r="AT334" s="49"/>
      <c r="AU334" s="49"/>
    </row>
    <row r="335" spans="1:47" ht="15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  <c r="AG335" s="49"/>
      <c r="AH335" s="49"/>
      <c r="AI335" s="49"/>
      <c r="AJ335" s="49"/>
      <c r="AK335" s="49"/>
      <c r="AL335" s="49"/>
      <c r="AM335" s="49"/>
      <c r="AN335" s="49"/>
      <c r="AO335" s="49"/>
      <c r="AP335" s="49"/>
      <c r="AQ335" s="49"/>
      <c r="AR335" s="49"/>
      <c r="AS335" s="49"/>
      <c r="AT335" s="49"/>
      <c r="AU335" s="49"/>
    </row>
    <row r="336" spans="1:47" ht="15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  <c r="AH336" s="49"/>
      <c r="AI336" s="49"/>
      <c r="AJ336" s="49"/>
      <c r="AK336" s="49"/>
      <c r="AL336" s="49"/>
      <c r="AM336" s="49"/>
      <c r="AN336" s="49"/>
      <c r="AO336" s="49"/>
      <c r="AP336" s="49"/>
      <c r="AQ336" s="49"/>
      <c r="AR336" s="49"/>
      <c r="AS336" s="49"/>
      <c r="AT336" s="49"/>
      <c r="AU336" s="49"/>
    </row>
    <row r="337" spans="1:47" ht="15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  <c r="AI337" s="49"/>
      <c r="AJ337" s="49"/>
      <c r="AK337" s="49"/>
      <c r="AL337" s="49"/>
      <c r="AM337" s="49"/>
      <c r="AN337" s="49"/>
      <c r="AO337" s="49"/>
      <c r="AP337" s="49"/>
      <c r="AQ337" s="49"/>
      <c r="AR337" s="49"/>
      <c r="AS337" s="49"/>
      <c r="AT337" s="49"/>
      <c r="AU337" s="49"/>
    </row>
    <row r="338" spans="1:47" ht="15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  <c r="AH338" s="49"/>
      <c r="AI338" s="49"/>
      <c r="AJ338" s="49"/>
      <c r="AK338" s="49"/>
      <c r="AL338" s="49"/>
      <c r="AM338" s="49"/>
      <c r="AN338" s="49"/>
      <c r="AO338" s="49"/>
      <c r="AP338" s="49"/>
      <c r="AQ338" s="49"/>
      <c r="AR338" s="49"/>
      <c r="AS338" s="49"/>
      <c r="AT338" s="49"/>
      <c r="AU338" s="49"/>
    </row>
    <row r="339" spans="1:47" ht="15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  <c r="AH339" s="49"/>
      <c r="AI339" s="49"/>
      <c r="AJ339" s="49"/>
      <c r="AK339" s="49"/>
      <c r="AL339" s="49"/>
      <c r="AM339" s="49"/>
      <c r="AN339" s="49"/>
      <c r="AO339" s="49"/>
      <c r="AP339" s="49"/>
      <c r="AQ339" s="49"/>
      <c r="AR339" s="49"/>
      <c r="AS339" s="49"/>
      <c r="AT339" s="49"/>
      <c r="AU339" s="49"/>
    </row>
    <row r="340" spans="1:47" ht="15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  <c r="AH340" s="49"/>
      <c r="AI340" s="49"/>
      <c r="AJ340" s="49"/>
      <c r="AK340" s="49"/>
      <c r="AL340" s="49"/>
      <c r="AM340" s="49"/>
      <c r="AN340" s="49"/>
      <c r="AO340" s="49"/>
      <c r="AP340" s="49"/>
      <c r="AQ340" s="49"/>
      <c r="AR340" s="49"/>
      <c r="AS340" s="49"/>
      <c r="AT340" s="49"/>
      <c r="AU340" s="49"/>
    </row>
    <row r="341" spans="1:47" ht="15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  <c r="AH341" s="49"/>
      <c r="AI341" s="49"/>
      <c r="AJ341" s="49"/>
      <c r="AK341" s="49"/>
      <c r="AL341" s="49"/>
      <c r="AM341" s="49"/>
      <c r="AN341" s="49"/>
      <c r="AO341" s="49"/>
      <c r="AP341" s="49"/>
      <c r="AQ341" s="49"/>
      <c r="AR341" s="49"/>
      <c r="AS341" s="49"/>
      <c r="AT341" s="49"/>
      <c r="AU341" s="49"/>
    </row>
    <row r="342" spans="1:47" ht="15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  <c r="AG342" s="49"/>
      <c r="AH342" s="49"/>
      <c r="AI342" s="49"/>
      <c r="AJ342" s="49"/>
      <c r="AK342" s="49"/>
      <c r="AL342" s="49"/>
      <c r="AM342" s="49"/>
      <c r="AN342" s="49"/>
      <c r="AO342" s="49"/>
      <c r="AP342" s="49"/>
      <c r="AQ342" s="49"/>
      <c r="AR342" s="49"/>
      <c r="AS342" s="49"/>
      <c r="AT342" s="49"/>
      <c r="AU342" s="49"/>
    </row>
    <row r="343" spans="1:47" ht="15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  <c r="AG343" s="49"/>
      <c r="AH343" s="49"/>
      <c r="AI343" s="49"/>
      <c r="AJ343" s="49"/>
      <c r="AK343" s="49"/>
      <c r="AL343" s="49"/>
      <c r="AM343" s="49"/>
      <c r="AN343" s="49"/>
      <c r="AO343" s="49"/>
      <c r="AP343" s="49"/>
      <c r="AQ343" s="49"/>
      <c r="AR343" s="49"/>
      <c r="AS343" s="49"/>
      <c r="AT343" s="49"/>
      <c r="AU343" s="49"/>
    </row>
    <row r="344" spans="1:47" ht="15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  <c r="AG344" s="49"/>
      <c r="AH344" s="49"/>
      <c r="AI344" s="49"/>
      <c r="AJ344" s="49"/>
      <c r="AK344" s="49"/>
      <c r="AL344" s="49"/>
      <c r="AM344" s="49"/>
      <c r="AN344" s="49"/>
      <c r="AO344" s="49"/>
      <c r="AP344" s="49"/>
      <c r="AQ344" s="49"/>
      <c r="AR344" s="49"/>
      <c r="AS344" s="49"/>
      <c r="AT344" s="49"/>
      <c r="AU344" s="49"/>
    </row>
    <row r="345" spans="1:47" ht="15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  <c r="AH345" s="49"/>
      <c r="AI345" s="49"/>
      <c r="AJ345" s="49"/>
      <c r="AK345" s="49"/>
      <c r="AL345" s="49"/>
      <c r="AM345" s="49"/>
      <c r="AN345" s="49"/>
      <c r="AO345" s="49"/>
      <c r="AP345" s="49"/>
      <c r="AQ345" s="49"/>
      <c r="AR345" s="49"/>
      <c r="AS345" s="49"/>
      <c r="AT345" s="49"/>
      <c r="AU345" s="49"/>
    </row>
    <row r="346" spans="1:47" ht="15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49"/>
      <c r="AI346" s="49"/>
      <c r="AJ346" s="49"/>
      <c r="AK346" s="49"/>
      <c r="AL346" s="49"/>
      <c r="AM346" s="49"/>
      <c r="AN346" s="49"/>
      <c r="AO346" s="49"/>
      <c r="AP346" s="49"/>
      <c r="AQ346" s="49"/>
      <c r="AR346" s="49"/>
      <c r="AS346" s="49"/>
      <c r="AT346" s="49"/>
      <c r="AU346" s="49"/>
    </row>
    <row r="347" spans="1:47" ht="15">
      <c r="A347" s="49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49"/>
      <c r="AI347" s="49"/>
      <c r="AJ347" s="49"/>
      <c r="AK347" s="49"/>
      <c r="AL347" s="49"/>
      <c r="AM347" s="49"/>
      <c r="AN347" s="49"/>
      <c r="AO347" s="49"/>
      <c r="AP347" s="49"/>
      <c r="AQ347" s="49"/>
      <c r="AR347" s="49"/>
      <c r="AS347" s="49"/>
      <c r="AT347" s="49"/>
      <c r="AU347" s="49"/>
    </row>
    <row r="348" spans="1:47" ht="15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49"/>
      <c r="AI348" s="49"/>
      <c r="AJ348" s="49"/>
      <c r="AK348" s="49"/>
      <c r="AL348" s="49"/>
      <c r="AM348" s="49"/>
      <c r="AN348" s="49"/>
      <c r="AO348" s="49"/>
      <c r="AP348" s="49"/>
      <c r="AQ348" s="49"/>
      <c r="AR348" s="49"/>
      <c r="AS348" s="49"/>
      <c r="AT348" s="49"/>
      <c r="AU348" s="49"/>
    </row>
    <row r="349" spans="1:47" ht="15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  <c r="AG349" s="49"/>
      <c r="AH349" s="49"/>
      <c r="AI349" s="49"/>
      <c r="AJ349" s="49"/>
      <c r="AK349" s="49"/>
      <c r="AL349" s="49"/>
      <c r="AM349" s="49"/>
      <c r="AN349" s="49"/>
      <c r="AO349" s="49"/>
      <c r="AP349" s="49"/>
      <c r="AQ349" s="49"/>
      <c r="AR349" s="49"/>
      <c r="AS349" s="49"/>
      <c r="AT349" s="49"/>
      <c r="AU349" s="49"/>
    </row>
    <row r="350" spans="1:47" ht="15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  <c r="AH350" s="49"/>
      <c r="AI350" s="49"/>
      <c r="AJ350" s="49"/>
      <c r="AK350" s="49"/>
      <c r="AL350" s="49"/>
      <c r="AM350" s="49"/>
      <c r="AN350" s="49"/>
      <c r="AO350" s="49"/>
      <c r="AP350" s="49"/>
      <c r="AQ350" s="49"/>
      <c r="AR350" s="49"/>
      <c r="AS350" s="49"/>
      <c r="AT350" s="49"/>
      <c r="AU350" s="49"/>
    </row>
    <row r="351" spans="1:47" ht="15">
      <c r="A351" s="49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49"/>
      <c r="AI351" s="49"/>
      <c r="AJ351" s="49"/>
      <c r="AK351" s="49"/>
      <c r="AL351" s="49"/>
      <c r="AM351" s="49"/>
      <c r="AN351" s="49"/>
      <c r="AO351" s="49"/>
      <c r="AP351" s="49"/>
      <c r="AQ351" s="49"/>
      <c r="AR351" s="49"/>
      <c r="AS351" s="49"/>
      <c r="AT351" s="49"/>
      <c r="AU351" s="49"/>
    </row>
    <row r="352" spans="1:47" ht="15">
      <c r="A352" s="49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  <c r="AH352" s="49"/>
      <c r="AI352" s="49"/>
      <c r="AJ352" s="49"/>
      <c r="AK352" s="49"/>
      <c r="AL352" s="49"/>
      <c r="AM352" s="49"/>
      <c r="AN352" s="49"/>
      <c r="AO352" s="49"/>
      <c r="AP352" s="49"/>
      <c r="AQ352" s="49"/>
      <c r="AR352" s="49"/>
      <c r="AS352" s="49"/>
      <c r="AT352" s="49"/>
      <c r="AU352" s="49"/>
    </row>
    <row r="353" spans="1:47" ht="15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49"/>
      <c r="AI353" s="49"/>
      <c r="AJ353" s="49"/>
      <c r="AK353" s="49"/>
      <c r="AL353" s="49"/>
      <c r="AM353" s="49"/>
      <c r="AN353" s="49"/>
      <c r="AO353" s="49"/>
      <c r="AP353" s="49"/>
      <c r="AQ353" s="49"/>
      <c r="AR353" s="49"/>
      <c r="AS353" s="49"/>
      <c r="AT353" s="49"/>
      <c r="AU353" s="49"/>
    </row>
    <row r="354" spans="1:47" ht="15">
      <c r="A354" s="49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49"/>
      <c r="AI354" s="49"/>
      <c r="AJ354" s="49"/>
      <c r="AK354" s="49"/>
      <c r="AL354" s="49"/>
      <c r="AM354" s="49"/>
      <c r="AN354" s="49"/>
      <c r="AO354" s="49"/>
      <c r="AP354" s="49"/>
      <c r="AQ354" s="49"/>
      <c r="AR354" s="49"/>
      <c r="AS354" s="49"/>
      <c r="AT354" s="49"/>
      <c r="AU354" s="49"/>
    </row>
    <row r="355" spans="1:47" ht="15">
      <c r="A355" s="49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49"/>
      <c r="AI355" s="49"/>
      <c r="AJ355" s="49"/>
      <c r="AK355" s="49"/>
      <c r="AL355" s="49"/>
      <c r="AM355" s="49"/>
      <c r="AN355" s="49"/>
      <c r="AO355" s="49"/>
      <c r="AP355" s="49"/>
      <c r="AQ355" s="49"/>
      <c r="AR355" s="49"/>
      <c r="AS355" s="49"/>
      <c r="AT355" s="49"/>
      <c r="AU355" s="49"/>
    </row>
    <row r="356" spans="1:47" ht="15">
      <c r="A356" s="49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49"/>
      <c r="AI356" s="49"/>
      <c r="AJ356" s="49"/>
      <c r="AK356" s="49"/>
      <c r="AL356" s="49"/>
      <c r="AM356" s="49"/>
      <c r="AN356" s="49"/>
      <c r="AO356" s="49"/>
      <c r="AP356" s="49"/>
      <c r="AQ356" s="49"/>
      <c r="AR356" s="49"/>
      <c r="AS356" s="49"/>
      <c r="AT356" s="49"/>
      <c r="AU356" s="49"/>
    </row>
    <row r="357" spans="1:47" ht="15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49"/>
      <c r="AI357" s="49"/>
      <c r="AJ357" s="49"/>
      <c r="AK357" s="49"/>
      <c r="AL357" s="49"/>
      <c r="AM357" s="49"/>
      <c r="AN357" s="49"/>
      <c r="AO357" s="49"/>
      <c r="AP357" s="49"/>
      <c r="AQ357" s="49"/>
      <c r="AR357" s="49"/>
      <c r="AS357" s="49"/>
      <c r="AT357" s="49"/>
      <c r="AU357" s="49"/>
    </row>
    <row r="358" spans="1:47" ht="15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49"/>
      <c r="AI358" s="49"/>
      <c r="AJ358" s="49"/>
      <c r="AK358" s="49"/>
      <c r="AL358" s="49"/>
      <c r="AM358" s="49"/>
      <c r="AN358" s="49"/>
      <c r="AO358" s="49"/>
      <c r="AP358" s="49"/>
      <c r="AQ358" s="49"/>
      <c r="AR358" s="49"/>
      <c r="AS358" s="49"/>
      <c r="AT358" s="49"/>
      <c r="AU358" s="49"/>
    </row>
    <row r="359" spans="1:47" ht="15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  <c r="AH359" s="49"/>
      <c r="AI359" s="49"/>
      <c r="AJ359" s="49"/>
      <c r="AK359" s="49"/>
      <c r="AL359" s="49"/>
      <c r="AM359" s="49"/>
      <c r="AN359" s="49"/>
      <c r="AO359" s="49"/>
      <c r="AP359" s="49"/>
      <c r="AQ359" s="49"/>
      <c r="AR359" s="49"/>
      <c r="AS359" s="49"/>
      <c r="AT359" s="49"/>
      <c r="AU359" s="49"/>
    </row>
    <row r="360" spans="1:47" ht="15">
      <c r="A360" s="49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  <c r="AH360" s="49"/>
      <c r="AI360" s="49"/>
      <c r="AJ360" s="49"/>
      <c r="AK360" s="49"/>
      <c r="AL360" s="49"/>
      <c r="AM360" s="49"/>
      <c r="AN360" s="49"/>
      <c r="AO360" s="49"/>
      <c r="AP360" s="49"/>
      <c r="AQ360" s="49"/>
      <c r="AR360" s="49"/>
      <c r="AS360" s="49"/>
      <c r="AT360" s="49"/>
      <c r="AU360" s="49"/>
    </row>
    <row r="361" spans="1:47" ht="15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  <c r="AH361" s="49"/>
      <c r="AI361" s="49"/>
      <c r="AJ361" s="49"/>
      <c r="AK361" s="49"/>
      <c r="AL361" s="49"/>
      <c r="AM361" s="49"/>
      <c r="AN361" s="49"/>
      <c r="AO361" s="49"/>
      <c r="AP361" s="49"/>
      <c r="AQ361" s="49"/>
      <c r="AR361" s="49"/>
      <c r="AS361" s="49"/>
      <c r="AT361" s="49"/>
      <c r="AU361" s="49"/>
    </row>
    <row r="362" spans="1:47" ht="15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  <c r="AH362" s="49"/>
      <c r="AI362" s="49"/>
      <c r="AJ362" s="49"/>
      <c r="AK362" s="49"/>
      <c r="AL362" s="49"/>
      <c r="AM362" s="49"/>
      <c r="AN362" s="49"/>
      <c r="AO362" s="49"/>
      <c r="AP362" s="49"/>
      <c r="AQ362" s="49"/>
      <c r="AR362" s="49"/>
      <c r="AS362" s="49"/>
      <c r="AT362" s="49"/>
      <c r="AU362" s="49"/>
    </row>
    <row r="363" spans="1:47" ht="15">
      <c r="A363" s="49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49"/>
      <c r="AI363" s="49"/>
      <c r="AJ363" s="49"/>
      <c r="AK363" s="49"/>
      <c r="AL363" s="49"/>
      <c r="AM363" s="49"/>
      <c r="AN363" s="49"/>
      <c r="AO363" s="49"/>
      <c r="AP363" s="49"/>
      <c r="AQ363" s="49"/>
      <c r="AR363" s="49"/>
      <c r="AS363" s="49"/>
      <c r="AT363" s="49"/>
      <c r="AU363" s="49"/>
    </row>
    <row r="364" spans="1:47" ht="15">
      <c r="A364" s="49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  <c r="AH364" s="49"/>
      <c r="AI364" s="49"/>
      <c r="AJ364" s="49"/>
      <c r="AK364" s="49"/>
      <c r="AL364" s="49"/>
      <c r="AM364" s="49"/>
      <c r="AN364" s="49"/>
      <c r="AO364" s="49"/>
      <c r="AP364" s="49"/>
      <c r="AQ364" s="49"/>
      <c r="AR364" s="49"/>
      <c r="AS364" s="49"/>
      <c r="AT364" s="49"/>
      <c r="AU364" s="49"/>
    </row>
    <row r="365" spans="1:47" ht="15">
      <c r="A365" s="49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49"/>
      <c r="AI365" s="49"/>
      <c r="AJ365" s="49"/>
      <c r="AK365" s="49"/>
      <c r="AL365" s="49"/>
      <c r="AM365" s="49"/>
      <c r="AN365" s="49"/>
      <c r="AO365" s="49"/>
      <c r="AP365" s="49"/>
      <c r="AQ365" s="49"/>
      <c r="AR365" s="49"/>
      <c r="AS365" s="49"/>
      <c r="AT365" s="49"/>
      <c r="AU365" s="49"/>
    </row>
    <row r="366" spans="1:47" ht="15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  <c r="AH366" s="49"/>
      <c r="AI366" s="49"/>
      <c r="AJ366" s="49"/>
      <c r="AK366" s="49"/>
      <c r="AL366" s="49"/>
      <c r="AM366" s="49"/>
      <c r="AN366" s="49"/>
      <c r="AO366" s="49"/>
      <c r="AP366" s="49"/>
      <c r="AQ366" s="49"/>
      <c r="AR366" s="49"/>
      <c r="AS366" s="49"/>
      <c r="AT366" s="49"/>
      <c r="AU366" s="49"/>
    </row>
    <row r="367" spans="1:47" ht="15">
      <c r="A367" s="49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49"/>
      <c r="AI367" s="49"/>
      <c r="AJ367" s="49"/>
      <c r="AK367" s="49"/>
      <c r="AL367" s="49"/>
      <c r="AM367" s="49"/>
      <c r="AN367" s="49"/>
      <c r="AO367" s="49"/>
      <c r="AP367" s="49"/>
      <c r="AQ367" s="49"/>
      <c r="AR367" s="49"/>
      <c r="AS367" s="49"/>
      <c r="AT367" s="49"/>
      <c r="AU367" s="49"/>
    </row>
    <row r="368" spans="1:47" ht="15">
      <c r="A368" s="49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  <c r="AH368" s="49"/>
      <c r="AI368" s="49"/>
      <c r="AJ368" s="49"/>
      <c r="AK368" s="49"/>
      <c r="AL368" s="49"/>
      <c r="AM368" s="49"/>
      <c r="AN368" s="49"/>
      <c r="AO368" s="49"/>
      <c r="AP368" s="49"/>
      <c r="AQ368" s="49"/>
      <c r="AR368" s="49"/>
      <c r="AS368" s="49"/>
      <c r="AT368" s="49"/>
      <c r="AU368" s="49"/>
    </row>
    <row r="369" spans="1:47" ht="15">
      <c r="A369" s="49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49"/>
      <c r="AI369" s="49"/>
      <c r="AJ369" s="49"/>
      <c r="AK369" s="49"/>
      <c r="AL369" s="49"/>
      <c r="AM369" s="49"/>
      <c r="AN369" s="49"/>
      <c r="AO369" s="49"/>
      <c r="AP369" s="49"/>
      <c r="AQ369" s="49"/>
      <c r="AR369" s="49"/>
      <c r="AS369" s="49"/>
      <c r="AT369" s="49"/>
      <c r="AU369" s="49"/>
    </row>
    <row r="370" spans="1:47" ht="15">
      <c r="A370" s="49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  <c r="AI370" s="49"/>
      <c r="AJ370" s="49"/>
      <c r="AK370" s="49"/>
      <c r="AL370" s="49"/>
      <c r="AM370" s="49"/>
      <c r="AN370" s="49"/>
      <c r="AO370" s="49"/>
      <c r="AP370" s="49"/>
      <c r="AQ370" s="49"/>
      <c r="AR370" s="49"/>
      <c r="AS370" s="49"/>
      <c r="AT370" s="49"/>
      <c r="AU370" s="49"/>
    </row>
    <row r="371" spans="1:47" ht="15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  <c r="AJ371" s="49"/>
      <c r="AK371" s="49"/>
      <c r="AL371" s="49"/>
      <c r="AM371" s="49"/>
      <c r="AN371" s="49"/>
      <c r="AO371" s="49"/>
      <c r="AP371" s="49"/>
      <c r="AQ371" s="49"/>
      <c r="AR371" s="49"/>
      <c r="AS371" s="49"/>
      <c r="AT371" s="49"/>
      <c r="AU371" s="49"/>
    </row>
    <row r="372" spans="1:47" ht="15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  <c r="AH372" s="49"/>
      <c r="AI372" s="49"/>
      <c r="AJ372" s="49"/>
      <c r="AK372" s="49"/>
      <c r="AL372" s="49"/>
      <c r="AM372" s="49"/>
      <c r="AN372" s="49"/>
      <c r="AO372" s="49"/>
      <c r="AP372" s="49"/>
      <c r="AQ372" s="49"/>
      <c r="AR372" s="49"/>
      <c r="AS372" s="49"/>
      <c r="AT372" s="49"/>
      <c r="AU372" s="49"/>
    </row>
    <row r="373" spans="1:47" ht="15">
      <c r="A373" s="49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  <c r="AH373" s="49"/>
      <c r="AI373" s="49"/>
      <c r="AJ373" s="49"/>
      <c r="AK373" s="49"/>
      <c r="AL373" s="49"/>
      <c r="AM373" s="49"/>
      <c r="AN373" s="49"/>
      <c r="AO373" s="49"/>
      <c r="AP373" s="49"/>
      <c r="AQ373" s="49"/>
      <c r="AR373" s="49"/>
      <c r="AS373" s="49"/>
      <c r="AT373" s="49"/>
      <c r="AU373" s="49"/>
    </row>
    <row r="374" spans="1:47" ht="15">
      <c r="A374" s="49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  <c r="AH374" s="49"/>
      <c r="AI374" s="49"/>
      <c r="AJ374" s="49"/>
      <c r="AK374" s="49"/>
      <c r="AL374" s="49"/>
      <c r="AM374" s="49"/>
      <c r="AN374" s="49"/>
      <c r="AO374" s="49"/>
      <c r="AP374" s="49"/>
      <c r="AQ374" s="49"/>
      <c r="AR374" s="49"/>
      <c r="AS374" s="49"/>
      <c r="AT374" s="49"/>
      <c r="AU374" s="49"/>
    </row>
    <row r="375" spans="1:47" ht="15">
      <c r="A375" s="49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  <c r="AH375" s="49"/>
      <c r="AI375" s="49"/>
      <c r="AJ375" s="49"/>
      <c r="AK375" s="49"/>
      <c r="AL375" s="49"/>
      <c r="AM375" s="49"/>
      <c r="AN375" s="49"/>
      <c r="AO375" s="49"/>
      <c r="AP375" s="49"/>
      <c r="AQ375" s="49"/>
      <c r="AR375" s="49"/>
      <c r="AS375" s="49"/>
      <c r="AT375" s="49"/>
      <c r="AU375" s="49"/>
    </row>
    <row r="376" spans="1:47" ht="15">
      <c r="A376" s="49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  <c r="AH376" s="49"/>
      <c r="AI376" s="49"/>
      <c r="AJ376" s="49"/>
      <c r="AK376" s="49"/>
      <c r="AL376" s="49"/>
      <c r="AM376" s="49"/>
      <c r="AN376" s="49"/>
      <c r="AO376" s="49"/>
      <c r="AP376" s="49"/>
      <c r="AQ376" s="49"/>
      <c r="AR376" s="49"/>
      <c r="AS376" s="49"/>
      <c r="AT376" s="49"/>
      <c r="AU376" s="49"/>
    </row>
    <row r="377" spans="1:47" ht="15">
      <c r="A377" s="49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  <c r="AG377" s="49"/>
      <c r="AH377" s="49"/>
      <c r="AI377" s="49"/>
      <c r="AJ377" s="49"/>
      <c r="AK377" s="49"/>
      <c r="AL377" s="49"/>
      <c r="AM377" s="49"/>
      <c r="AN377" s="49"/>
      <c r="AO377" s="49"/>
      <c r="AP377" s="49"/>
      <c r="AQ377" s="49"/>
      <c r="AR377" s="49"/>
      <c r="AS377" s="49"/>
      <c r="AT377" s="49"/>
      <c r="AU377" s="49"/>
    </row>
    <row r="378" spans="1:47" ht="15">
      <c r="A378" s="49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  <c r="AH378" s="49"/>
      <c r="AI378" s="49"/>
      <c r="AJ378" s="49"/>
      <c r="AK378" s="49"/>
      <c r="AL378" s="49"/>
      <c r="AM378" s="49"/>
      <c r="AN378" s="49"/>
      <c r="AO378" s="49"/>
      <c r="AP378" s="49"/>
      <c r="AQ378" s="49"/>
      <c r="AR378" s="49"/>
      <c r="AS378" s="49"/>
      <c r="AT378" s="49"/>
      <c r="AU378" s="49"/>
    </row>
    <row r="379" spans="1:47" ht="15">
      <c r="A379" s="49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  <c r="AG379" s="49"/>
      <c r="AH379" s="49"/>
      <c r="AI379" s="49"/>
      <c r="AJ379" s="49"/>
      <c r="AK379" s="49"/>
      <c r="AL379" s="49"/>
      <c r="AM379" s="49"/>
      <c r="AN379" s="49"/>
      <c r="AO379" s="49"/>
      <c r="AP379" s="49"/>
      <c r="AQ379" s="49"/>
      <c r="AR379" s="49"/>
      <c r="AS379" s="49"/>
      <c r="AT379" s="49"/>
      <c r="AU379" s="49"/>
    </row>
    <row r="380" spans="1:47" ht="15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  <c r="AG380" s="49"/>
      <c r="AH380" s="49"/>
      <c r="AI380" s="49"/>
      <c r="AJ380" s="49"/>
      <c r="AK380" s="49"/>
      <c r="AL380" s="49"/>
      <c r="AM380" s="49"/>
      <c r="AN380" s="49"/>
      <c r="AO380" s="49"/>
      <c r="AP380" s="49"/>
      <c r="AQ380" s="49"/>
      <c r="AR380" s="49"/>
      <c r="AS380" s="49"/>
      <c r="AT380" s="49"/>
      <c r="AU380" s="49"/>
    </row>
    <row r="381" spans="1:47" ht="15">
      <c r="A381" s="49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  <c r="AG381" s="49"/>
      <c r="AH381" s="49"/>
      <c r="AI381" s="49"/>
      <c r="AJ381" s="49"/>
      <c r="AK381" s="49"/>
      <c r="AL381" s="49"/>
      <c r="AM381" s="49"/>
      <c r="AN381" s="49"/>
      <c r="AO381" s="49"/>
      <c r="AP381" s="49"/>
      <c r="AQ381" s="49"/>
      <c r="AR381" s="49"/>
      <c r="AS381" s="49"/>
      <c r="AT381" s="49"/>
      <c r="AU381" s="49"/>
    </row>
    <row r="382" spans="1:47" ht="15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  <c r="AH382" s="49"/>
      <c r="AI382" s="49"/>
      <c r="AJ382" s="49"/>
      <c r="AK382" s="49"/>
      <c r="AL382" s="49"/>
      <c r="AM382" s="49"/>
      <c r="AN382" s="49"/>
      <c r="AO382" s="49"/>
      <c r="AP382" s="49"/>
      <c r="AQ382" s="49"/>
      <c r="AR382" s="49"/>
      <c r="AS382" s="49"/>
      <c r="AT382" s="49"/>
      <c r="AU382" s="49"/>
    </row>
    <row r="383" spans="1:47" ht="15">
      <c r="A383" s="49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  <c r="AH383" s="49"/>
      <c r="AI383" s="49"/>
      <c r="AJ383" s="49"/>
      <c r="AK383" s="49"/>
      <c r="AL383" s="49"/>
      <c r="AM383" s="49"/>
      <c r="AN383" s="49"/>
      <c r="AO383" s="49"/>
      <c r="AP383" s="49"/>
      <c r="AQ383" s="49"/>
      <c r="AR383" s="49"/>
      <c r="AS383" s="49"/>
      <c r="AT383" s="49"/>
      <c r="AU383" s="49"/>
    </row>
    <row r="384" spans="1:47" ht="15">
      <c r="A384" s="49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49"/>
      <c r="AI384" s="49"/>
      <c r="AJ384" s="49"/>
      <c r="AK384" s="49"/>
      <c r="AL384" s="49"/>
      <c r="AM384" s="49"/>
      <c r="AN384" s="49"/>
      <c r="AO384" s="49"/>
      <c r="AP384" s="49"/>
      <c r="AQ384" s="49"/>
      <c r="AR384" s="49"/>
      <c r="AS384" s="49"/>
      <c r="AT384" s="49"/>
      <c r="AU384" s="49"/>
    </row>
    <row r="385" spans="1:47" ht="15">
      <c r="A385" s="49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  <c r="AH385" s="49"/>
      <c r="AI385" s="49"/>
      <c r="AJ385" s="49"/>
      <c r="AK385" s="49"/>
      <c r="AL385" s="49"/>
      <c r="AM385" s="49"/>
      <c r="AN385" s="49"/>
      <c r="AO385" s="49"/>
      <c r="AP385" s="49"/>
      <c r="AQ385" s="49"/>
      <c r="AR385" s="49"/>
      <c r="AS385" s="49"/>
      <c r="AT385" s="49"/>
      <c r="AU385" s="49"/>
    </row>
    <row r="386" spans="1:47" ht="15">
      <c r="A386" s="49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  <c r="AH386" s="49"/>
      <c r="AI386" s="49"/>
      <c r="AJ386" s="49"/>
      <c r="AK386" s="49"/>
      <c r="AL386" s="49"/>
      <c r="AM386" s="49"/>
      <c r="AN386" s="49"/>
      <c r="AO386" s="49"/>
      <c r="AP386" s="49"/>
      <c r="AQ386" s="49"/>
      <c r="AR386" s="49"/>
      <c r="AS386" s="49"/>
      <c r="AT386" s="49"/>
      <c r="AU386" s="49"/>
    </row>
    <row r="387" spans="1:47" ht="15">
      <c r="A387" s="49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  <c r="AH387" s="49"/>
      <c r="AI387" s="49"/>
      <c r="AJ387" s="49"/>
      <c r="AK387" s="49"/>
      <c r="AL387" s="49"/>
      <c r="AM387" s="49"/>
      <c r="AN387" s="49"/>
      <c r="AO387" s="49"/>
      <c r="AP387" s="49"/>
      <c r="AQ387" s="49"/>
      <c r="AR387" s="49"/>
      <c r="AS387" s="49"/>
      <c r="AT387" s="49"/>
      <c r="AU387" s="49"/>
    </row>
    <row r="388" spans="1:47" ht="15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  <c r="AH388" s="49"/>
      <c r="AI388" s="49"/>
      <c r="AJ388" s="49"/>
      <c r="AK388" s="49"/>
      <c r="AL388" s="49"/>
      <c r="AM388" s="49"/>
      <c r="AN388" s="49"/>
      <c r="AO388" s="49"/>
      <c r="AP388" s="49"/>
      <c r="AQ388" s="49"/>
      <c r="AR388" s="49"/>
      <c r="AS388" s="49"/>
      <c r="AT388" s="49"/>
      <c r="AU388" s="49"/>
    </row>
    <row r="389" spans="1:47" ht="15">
      <c r="A389" s="49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  <c r="AH389" s="49"/>
      <c r="AI389" s="49"/>
      <c r="AJ389" s="49"/>
      <c r="AK389" s="49"/>
      <c r="AL389" s="49"/>
      <c r="AM389" s="49"/>
      <c r="AN389" s="49"/>
      <c r="AO389" s="49"/>
      <c r="AP389" s="49"/>
      <c r="AQ389" s="49"/>
      <c r="AR389" s="49"/>
      <c r="AS389" s="49"/>
      <c r="AT389" s="49"/>
      <c r="AU389" s="49"/>
    </row>
    <row r="390" spans="1:47" ht="15">
      <c r="A390" s="49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  <c r="AH390" s="49"/>
      <c r="AI390" s="49"/>
      <c r="AJ390" s="49"/>
      <c r="AK390" s="49"/>
      <c r="AL390" s="49"/>
      <c r="AM390" s="49"/>
      <c r="AN390" s="49"/>
      <c r="AO390" s="49"/>
      <c r="AP390" s="49"/>
      <c r="AQ390" s="49"/>
      <c r="AR390" s="49"/>
      <c r="AS390" s="49"/>
      <c r="AT390" s="49"/>
      <c r="AU390" s="49"/>
    </row>
    <row r="391" spans="1:47" ht="15">
      <c r="A391" s="49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  <c r="AG391" s="49"/>
      <c r="AH391" s="49"/>
      <c r="AI391" s="49"/>
      <c r="AJ391" s="49"/>
      <c r="AK391" s="49"/>
      <c r="AL391" s="49"/>
      <c r="AM391" s="49"/>
      <c r="AN391" s="49"/>
      <c r="AO391" s="49"/>
      <c r="AP391" s="49"/>
      <c r="AQ391" s="49"/>
      <c r="AR391" s="49"/>
      <c r="AS391" s="49"/>
      <c r="AT391" s="49"/>
      <c r="AU391" s="49"/>
    </row>
    <row r="392" spans="1:47" ht="15">
      <c r="A392" s="49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  <c r="AG392" s="49"/>
      <c r="AH392" s="49"/>
      <c r="AI392" s="49"/>
      <c r="AJ392" s="49"/>
      <c r="AK392" s="49"/>
      <c r="AL392" s="49"/>
      <c r="AM392" s="49"/>
      <c r="AN392" s="49"/>
      <c r="AO392" s="49"/>
      <c r="AP392" s="49"/>
      <c r="AQ392" s="49"/>
      <c r="AR392" s="49"/>
      <c r="AS392" s="49"/>
      <c r="AT392" s="49"/>
      <c r="AU392" s="49"/>
    </row>
    <row r="393" spans="1:47" ht="15">
      <c r="A393" s="49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  <c r="AG393" s="49"/>
      <c r="AH393" s="49"/>
      <c r="AI393" s="49"/>
      <c r="AJ393" s="49"/>
      <c r="AK393" s="49"/>
      <c r="AL393" s="49"/>
      <c r="AM393" s="49"/>
      <c r="AN393" s="49"/>
      <c r="AO393" s="49"/>
      <c r="AP393" s="49"/>
      <c r="AQ393" s="49"/>
      <c r="AR393" s="49"/>
      <c r="AS393" s="49"/>
      <c r="AT393" s="49"/>
      <c r="AU393" s="49"/>
    </row>
    <row r="394" spans="1:47" ht="15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  <c r="AG394" s="49"/>
      <c r="AH394" s="49"/>
      <c r="AI394" s="49"/>
      <c r="AJ394" s="49"/>
      <c r="AK394" s="49"/>
      <c r="AL394" s="49"/>
      <c r="AM394" s="49"/>
      <c r="AN394" s="49"/>
      <c r="AO394" s="49"/>
      <c r="AP394" s="49"/>
      <c r="AQ394" s="49"/>
      <c r="AR394" s="49"/>
      <c r="AS394" s="49"/>
      <c r="AT394" s="49"/>
      <c r="AU394" s="49"/>
    </row>
    <row r="395" spans="1:47" ht="15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  <c r="AG395" s="49"/>
      <c r="AH395" s="49"/>
      <c r="AI395" s="49"/>
      <c r="AJ395" s="49"/>
      <c r="AK395" s="49"/>
      <c r="AL395" s="49"/>
      <c r="AM395" s="49"/>
      <c r="AN395" s="49"/>
      <c r="AO395" s="49"/>
      <c r="AP395" s="49"/>
      <c r="AQ395" s="49"/>
      <c r="AR395" s="49"/>
      <c r="AS395" s="49"/>
      <c r="AT395" s="49"/>
      <c r="AU395" s="49"/>
    </row>
    <row r="396" spans="1:47" ht="15">
      <c r="A396" s="49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  <c r="AG396" s="49"/>
      <c r="AH396" s="49"/>
      <c r="AI396" s="49"/>
      <c r="AJ396" s="49"/>
      <c r="AK396" s="49"/>
      <c r="AL396" s="49"/>
      <c r="AM396" s="49"/>
      <c r="AN396" s="49"/>
      <c r="AO396" s="49"/>
      <c r="AP396" s="49"/>
      <c r="AQ396" s="49"/>
      <c r="AR396" s="49"/>
      <c r="AS396" s="49"/>
      <c r="AT396" s="49"/>
      <c r="AU396" s="49"/>
    </row>
    <row r="397" spans="1:47" ht="15">
      <c r="A397" s="49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  <c r="AG397" s="49"/>
      <c r="AH397" s="49"/>
      <c r="AI397" s="49"/>
      <c r="AJ397" s="49"/>
      <c r="AK397" s="49"/>
      <c r="AL397" s="49"/>
      <c r="AM397" s="49"/>
      <c r="AN397" s="49"/>
      <c r="AO397" s="49"/>
      <c r="AP397" s="49"/>
      <c r="AQ397" s="49"/>
      <c r="AR397" s="49"/>
      <c r="AS397" s="49"/>
      <c r="AT397" s="49"/>
      <c r="AU397" s="49"/>
    </row>
    <row r="398" spans="1:47" ht="15">
      <c r="A398" s="49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  <c r="AG398" s="49"/>
      <c r="AH398" s="49"/>
      <c r="AI398" s="49"/>
      <c r="AJ398" s="49"/>
      <c r="AK398" s="49"/>
      <c r="AL398" s="49"/>
      <c r="AM398" s="49"/>
      <c r="AN398" s="49"/>
      <c r="AO398" s="49"/>
      <c r="AP398" s="49"/>
      <c r="AQ398" s="49"/>
      <c r="AR398" s="49"/>
      <c r="AS398" s="49"/>
      <c r="AT398" s="49"/>
      <c r="AU398" s="49"/>
    </row>
    <row r="399" spans="1:47" ht="15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  <c r="AG399" s="49"/>
      <c r="AH399" s="49"/>
      <c r="AI399" s="49"/>
      <c r="AJ399" s="49"/>
      <c r="AK399" s="49"/>
      <c r="AL399" s="49"/>
      <c r="AM399" s="49"/>
      <c r="AN399" s="49"/>
      <c r="AO399" s="49"/>
      <c r="AP399" s="49"/>
      <c r="AQ399" s="49"/>
      <c r="AR399" s="49"/>
      <c r="AS399" s="49"/>
      <c r="AT399" s="49"/>
      <c r="AU399" s="49"/>
    </row>
    <row r="400" spans="1:47" ht="15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  <c r="AG400" s="49"/>
      <c r="AH400" s="49"/>
      <c r="AI400" s="49"/>
      <c r="AJ400" s="49"/>
      <c r="AK400" s="49"/>
      <c r="AL400" s="49"/>
      <c r="AM400" s="49"/>
      <c r="AN400" s="49"/>
      <c r="AO400" s="49"/>
      <c r="AP400" s="49"/>
      <c r="AQ400" s="49"/>
      <c r="AR400" s="49"/>
      <c r="AS400" s="49"/>
      <c r="AT400" s="49"/>
      <c r="AU400" s="49"/>
    </row>
    <row r="401" spans="1:47" ht="15">
      <c r="A401" s="49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  <c r="AG401" s="49"/>
      <c r="AH401" s="49"/>
      <c r="AI401" s="49"/>
      <c r="AJ401" s="49"/>
      <c r="AK401" s="49"/>
      <c r="AL401" s="49"/>
      <c r="AM401" s="49"/>
      <c r="AN401" s="49"/>
      <c r="AO401" s="49"/>
      <c r="AP401" s="49"/>
      <c r="AQ401" s="49"/>
      <c r="AR401" s="49"/>
      <c r="AS401" s="49"/>
      <c r="AT401" s="49"/>
      <c r="AU401" s="49"/>
    </row>
    <row r="402" spans="1:47" ht="15">
      <c r="A402" s="49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  <c r="AG402" s="49"/>
      <c r="AH402" s="49"/>
      <c r="AI402" s="49"/>
      <c r="AJ402" s="49"/>
      <c r="AK402" s="49"/>
      <c r="AL402" s="49"/>
      <c r="AM402" s="49"/>
      <c r="AN402" s="49"/>
      <c r="AO402" s="49"/>
      <c r="AP402" s="49"/>
      <c r="AQ402" s="49"/>
      <c r="AR402" s="49"/>
      <c r="AS402" s="49"/>
      <c r="AT402" s="49"/>
      <c r="AU402" s="49"/>
    </row>
    <row r="403" spans="1:47" ht="15">
      <c r="A403" s="49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  <c r="AH403" s="49"/>
      <c r="AI403" s="49"/>
      <c r="AJ403" s="49"/>
      <c r="AK403" s="49"/>
      <c r="AL403" s="49"/>
      <c r="AM403" s="49"/>
      <c r="AN403" s="49"/>
      <c r="AO403" s="49"/>
      <c r="AP403" s="49"/>
      <c r="AQ403" s="49"/>
      <c r="AR403" s="49"/>
      <c r="AS403" s="49"/>
      <c r="AT403" s="49"/>
      <c r="AU403" s="49"/>
    </row>
    <row r="404" spans="1:47" ht="15">
      <c r="A404" s="49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  <c r="AG404" s="49"/>
      <c r="AH404" s="49"/>
      <c r="AI404" s="49"/>
      <c r="AJ404" s="49"/>
      <c r="AK404" s="49"/>
      <c r="AL404" s="49"/>
      <c r="AM404" s="49"/>
      <c r="AN404" s="49"/>
      <c r="AO404" s="49"/>
      <c r="AP404" s="49"/>
      <c r="AQ404" s="49"/>
      <c r="AR404" s="49"/>
      <c r="AS404" s="49"/>
      <c r="AT404" s="49"/>
      <c r="AU404" s="49"/>
    </row>
    <row r="405" spans="1:47" ht="15">
      <c r="A405" s="49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  <c r="AG405" s="49"/>
      <c r="AH405" s="49"/>
      <c r="AI405" s="49"/>
      <c r="AJ405" s="49"/>
      <c r="AK405" s="49"/>
      <c r="AL405" s="49"/>
      <c r="AM405" s="49"/>
      <c r="AN405" s="49"/>
      <c r="AO405" s="49"/>
      <c r="AP405" s="49"/>
      <c r="AQ405" s="49"/>
      <c r="AR405" s="49"/>
      <c r="AS405" s="49"/>
      <c r="AT405" s="49"/>
      <c r="AU405" s="49"/>
    </row>
    <row r="406" spans="1:47" ht="15">
      <c r="A406" s="49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  <c r="AG406" s="49"/>
      <c r="AH406" s="49"/>
      <c r="AI406" s="49"/>
      <c r="AJ406" s="49"/>
      <c r="AK406" s="49"/>
      <c r="AL406" s="49"/>
      <c r="AM406" s="49"/>
      <c r="AN406" s="49"/>
      <c r="AO406" s="49"/>
      <c r="AP406" s="49"/>
      <c r="AQ406" s="49"/>
      <c r="AR406" s="49"/>
      <c r="AS406" s="49"/>
      <c r="AT406" s="49"/>
      <c r="AU406" s="49"/>
    </row>
    <row r="407" spans="1:47" ht="15">
      <c r="A407" s="49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  <c r="AH407" s="49"/>
      <c r="AI407" s="49"/>
      <c r="AJ407" s="49"/>
      <c r="AK407" s="49"/>
      <c r="AL407" s="49"/>
      <c r="AM407" s="49"/>
      <c r="AN407" s="49"/>
      <c r="AO407" s="49"/>
      <c r="AP407" s="49"/>
      <c r="AQ407" s="49"/>
      <c r="AR407" s="49"/>
      <c r="AS407" s="49"/>
      <c r="AT407" s="49"/>
      <c r="AU407" s="49"/>
    </row>
    <row r="408" spans="1:47" ht="15">
      <c r="A408" s="49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  <c r="AG408" s="49"/>
      <c r="AH408" s="49"/>
      <c r="AI408" s="49"/>
      <c r="AJ408" s="49"/>
      <c r="AK408" s="49"/>
      <c r="AL408" s="49"/>
      <c r="AM408" s="49"/>
      <c r="AN408" s="49"/>
      <c r="AO408" s="49"/>
      <c r="AP408" s="49"/>
      <c r="AQ408" s="49"/>
      <c r="AR408" s="49"/>
      <c r="AS408" s="49"/>
      <c r="AT408" s="49"/>
      <c r="AU408" s="49"/>
    </row>
    <row r="409" spans="1:47" ht="15">
      <c r="A409" s="49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  <c r="AG409" s="49"/>
      <c r="AH409" s="49"/>
      <c r="AI409" s="49"/>
      <c r="AJ409" s="49"/>
      <c r="AK409" s="49"/>
      <c r="AL409" s="49"/>
      <c r="AM409" s="49"/>
      <c r="AN409" s="49"/>
      <c r="AO409" s="49"/>
      <c r="AP409" s="49"/>
      <c r="AQ409" s="49"/>
      <c r="AR409" s="49"/>
      <c r="AS409" s="49"/>
      <c r="AT409" s="49"/>
      <c r="AU409" s="49"/>
    </row>
    <row r="410" spans="1:47" ht="15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  <c r="AG410" s="49"/>
      <c r="AH410" s="49"/>
      <c r="AI410" s="49"/>
      <c r="AJ410" s="49"/>
      <c r="AK410" s="49"/>
      <c r="AL410" s="49"/>
      <c r="AM410" s="49"/>
      <c r="AN410" s="49"/>
      <c r="AO410" s="49"/>
      <c r="AP410" s="49"/>
      <c r="AQ410" s="49"/>
      <c r="AR410" s="49"/>
      <c r="AS410" s="49"/>
      <c r="AT410" s="49"/>
      <c r="AU410" s="49"/>
    </row>
    <row r="411" spans="1:47" ht="15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  <c r="AG411" s="49"/>
      <c r="AH411" s="49"/>
      <c r="AI411" s="49"/>
      <c r="AJ411" s="49"/>
      <c r="AK411" s="49"/>
      <c r="AL411" s="49"/>
      <c r="AM411" s="49"/>
      <c r="AN411" s="49"/>
      <c r="AO411" s="49"/>
      <c r="AP411" s="49"/>
      <c r="AQ411" s="49"/>
      <c r="AR411" s="49"/>
      <c r="AS411" s="49"/>
      <c r="AT411" s="49"/>
      <c r="AU411" s="49"/>
    </row>
    <row r="412" spans="1:47" ht="15">
      <c r="A412" s="49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  <c r="AG412" s="49"/>
      <c r="AH412" s="49"/>
      <c r="AI412" s="49"/>
      <c r="AJ412" s="49"/>
      <c r="AK412" s="49"/>
      <c r="AL412" s="49"/>
      <c r="AM412" s="49"/>
      <c r="AN412" s="49"/>
      <c r="AO412" s="49"/>
      <c r="AP412" s="49"/>
      <c r="AQ412" s="49"/>
      <c r="AR412" s="49"/>
      <c r="AS412" s="49"/>
      <c r="AT412" s="49"/>
      <c r="AU412" s="49"/>
    </row>
    <row r="413" spans="1:47" ht="15">
      <c r="A413" s="49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  <c r="AG413" s="49"/>
      <c r="AH413" s="49"/>
      <c r="AI413" s="49"/>
      <c r="AJ413" s="49"/>
      <c r="AK413" s="49"/>
      <c r="AL413" s="49"/>
      <c r="AM413" s="49"/>
      <c r="AN413" s="49"/>
      <c r="AO413" s="49"/>
      <c r="AP413" s="49"/>
      <c r="AQ413" s="49"/>
      <c r="AR413" s="49"/>
      <c r="AS413" s="49"/>
      <c r="AT413" s="49"/>
      <c r="AU413" s="49"/>
    </row>
    <row r="414" spans="1:47" ht="15">
      <c r="A414" s="49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  <c r="AG414" s="49"/>
      <c r="AH414" s="49"/>
      <c r="AI414" s="49"/>
      <c r="AJ414" s="49"/>
      <c r="AK414" s="49"/>
      <c r="AL414" s="49"/>
      <c r="AM414" s="49"/>
      <c r="AN414" s="49"/>
      <c r="AO414" s="49"/>
      <c r="AP414" s="49"/>
      <c r="AQ414" s="49"/>
      <c r="AR414" s="49"/>
      <c r="AS414" s="49"/>
      <c r="AT414" s="49"/>
      <c r="AU414" s="49"/>
    </row>
    <row r="415" spans="1:47" ht="15">
      <c r="A415" s="49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  <c r="AG415" s="49"/>
      <c r="AH415" s="49"/>
      <c r="AI415" s="49"/>
      <c r="AJ415" s="49"/>
      <c r="AK415" s="49"/>
      <c r="AL415" s="49"/>
      <c r="AM415" s="49"/>
      <c r="AN415" s="49"/>
      <c r="AO415" s="49"/>
      <c r="AP415" s="49"/>
      <c r="AQ415" s="49"/>
      <c r="AR415" s="49"/>
      <c r="AS415" s="49"/>
      <c r="AT415" s="49"/>
      <c r="AU415" s="49"/>
    </row>
    <row r="416" spans="1:47" ht="15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  <c r="AG416" s="49"/>
      <c r="AH416" s="49"/>
      <c r="AI416" s="49"/>
      <c r="AJ416" s="49"/>
      <c r="AK416" s="49"/>
      <c r="AL416" s="49"/>
      <c r="AM416" s="49"/>
      <c r="AN416" s="49"/>
      <c r="AO416" s="49"/>
      <c r="AP416" s="49"/>
      <c r="AQ416" s="49"/>
      <c r="AR416" s="49"/>
      <c r="AS416" s="49"/>
      <c r="AT416" s="49"/>
      <c r="AU416" s="49"/>
    </row>
    <row r="417" spans="1:47" ht="15">
      <c r="A417" s="49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  <c r="AG417" s="49"/>
      <c r="AH417" s="49"/>
      <c r="AI417" s="49"/>
      <c r="AJ417" s="49"/>
      <c r="AK417" s="49"/>
      <c r="AL417" s="49"/>
      <c r="AM417" s="49"/>
      <c r="AN417" s="49"/>
      <c r="AO417" s="49"/>
      <c r="AP417" s="49"/>
      <c r="AQ417" s="49"/>
      <c r="AR417" s="49"/>
      <c r="AS417" s="49"/>
      <c r="AT417" s="49"/>
      <c r="AU417" s="49"/>
    </row>
    <row r="418" spans="1:47" ht="15">
      <c r="A418" s="49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  <c r="AG418" s="49"/>
      <c r="AH418" s="49"/>
      <c r="AI418" s="49"/>
      <c r="AJ418" s="49"/>
      <c r="AK418" s="49"/>
      <c r="AL418" s="49"/>
      <c r="AM418" s="49"/>
      <c r="AN418" s="49"/>
      <c r="AO418" s="49"/>
      <c r="AP418" s="49"/>
      <c r="AQ418" s="49"/>
      <c r="AR418" s="49"/>
      <c r="AS418" s="49"/>
      <c r="AT418" s="49"/>
      <c r="AU418" s="49"/>
    </row>
    <row r="419" spans="1:47" ht="15">
      <c r="A419" s="49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  <c r="AH419" s="49"/>
      <c r="AI419" s="49"/>
      <c r="AJ419" s="49"/>
      <c r="AK419" s="49"/>
      <c r="AL419" s="49"/>
      <c r="AM419" s="49"/>
      <c r="AN419" s="49"/>
      <c r="AO419" s="49"/>
      <c r="AP419" s="49"/>
      <c r="AQ419" s="49"/>
      <c r="AR419" s="49"/>
      <c r="AS419" s="49"/>
      <c r="AT419" s="49"/>
      <c r="AU419" s="49"/>
    </row>
    <row r="420" spans="1:47" ht="15">
      <c r="A420" s="49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  <c r="AG420" s="49"/>
      <c r="AH420" s="49"/>
      <c r="AI420" s="49"/>
      <c r="AJ420" s="49"/>
      <c r="AK420" s="49"/>
      <c r="AL420" s="49"/>
      <c r="AM420" s="49"/>
      <c r="AN420" s="49"/>
      <c r="AO420" s="49"/>
      <c r="AP420" s="49"/>
      <c r="AQ420" s="49"/>
      <c r="AR420" s="49"/>
      <c r="AS420" s="49"/>
      <c r="AT420" s="49"/>
      <c r="AU420" s="49"/>
    </row>
    <row r="421" spans="1:47" ht="15">
      <c r="A421" s="49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  <c r="AG421" s="49"/>
      <c r="AH421" s="49"/>
      <c r="AI421" s="49"/>
      <c r="AJ421" s="49"/>
      <c r="AK421" s="49"/>
      <c r="AL421" s="49"/>
      <c r="AM421" s="49"/>
      <c r="AN421" s="49"/>
      <c r="AO421" s="49"/>
      <c r="AP421" s="49"/>
      <c r="AQ421" s="49"/>
      <c r="AR421" s="49"/>
      <c r="AS421" s="49"/>
      <c r="AT421" s="49"/>
      <c r="AU421" s="49"/>
    </row>
    <row r="422" spans="1:47" ht="15">
      <c r="A422" s="49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  <c r="AG422" s="49"/>
      <c r="AH422" s="49"/>
      <c r="AI422" s="49"/>
      <c r="AJ422" s="49"/>
      <c r="AK422" s="49"/>
      <c r="AL422" s="49"/>
      <c r="AM422" s="49"/>
      <c r="AN422" s="49"/>
      <c r="AO422" s="49"/>
      <c r="AP422" s="49"/>
      <c r="AQ422" s="49"/>
      <c r="AR422" s="49"/>
      <c r="AS422" s="49"/>
      <c r="AT422" s="49"/>
      <c r="AU422" s="49"/>
    </row>
    <row r="423" spans="1:47" ht="15">
      <c r="A423" s="49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  <c r="AG423" s="49"/>
      <c r="AH423" s="49"/>
      <c r="AI423" s="49"/>
      <c r="AJ423" s="49"/>
      <c r="AK423" s="49"/>
      <c r="AL423" s="49"/>
      <c r="AM423" s="49"/>
      <c r="AN423" s="49"/>
      <c r="AO423" s="49"/>
      <c r="AP423" s="49"/>
      <c r="AQ423" s="49"/>
      <c r="AR423" s="49"/>
      <c r="AS423" s="49"/>
      <c r="AT423" s="49"/>
      <c r="AU423" s="49"/>
    </row>
    <row r="424" spans="1:47" ht="15">
      <c r="A424" s="49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  <c r="AG424" s="49"/>
      <c r="AH424" s="49"/>
      <c r="AI424" s="49"/>
      <c r="AJ424" s="49"/>
      <c r="AK424" s="49"/>
      <c r="AL424" s="49"/>
      <c r="AM424" s="49"/>
      <c r="AN424" s="49"/>
      <c r="AO424" s="49"/>
      <c r="AP424" s="49"/>
      <c r="AQ424" s="49"/>
      <c r="AR424" s="49"/>
      <c r="AS424" s="49"/>
      <c r="AT424" s="49"/>
      <c r="AU424" s="49"/>
    </row>
    <row r="425" spans="1:47" ht="15">
      <c r="A425" s="49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  <c r="AG425" s="49"/>
      <c r="AH425" s="49"/>
      <c r="AI425" s="49"/>
      <c r="AJ425" s="49"/>
      <c r="AK425" s="49"/>
      <c r="AL425" s="49"/>
      <c r="AM425" s="49"/>
      <c r="AN425" s="49"/>
      <c r="AO425" s="49"/>
      <c r="AP425" s="49"/>
      <c r="AQ425" s="49"/>
      <c r="AR425" s="49"/>
      <c r="AS425" s="49"/>
      <c r="AT425" s="49"/>
      <c r="AU425" s="49"/>
    </row>
    <row r="426" spans="1:47" ht="15">
      <c r="A426" s="49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  <c r="AG426" s="49"/>
      <c r="AH426" s="49"/>
      <c r="AI426" s="49"/>
      <c r="AJ426" s="49"/>
      <c r="AK426" s="49"/>
      <c r="AL426" s="49"/>
      <c r="AM426" s="49"/>
      <c r="AN426" s="49"/>
      <c r="AO426" s="49"/>
      <c r="AP426" s="49"/>
      <c r="AQ426" s="49"/>
      <c r="AR426" s="49"/>
      <c r="AS426" s="49"/>
      <c r="AT426" s="49"/>
      <c r="AU426" s="49"/>
    </row>
    <row r="427" spans="1:47" ht="15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  <c r="AG427" s="49"/>
      <c r="AH427" s="49"/>
      <c r="AI427" s="49"/>
      <c r="AJ427" s="49"/>
      <c r="AK427" s="49"/>
      <c r="AL427" s="49"/>
      <c r="AM427" s="49"/>
      <c r="AN427" s="49"/>
      <c r="AO427" s="49"/>
      <c r="AP427" s="49"/>
      <c r="AQ427" s="49"/>
      <c r="AR427" s="49"/>
      <c r="AS427" s="49"/>
      <c r="AT427" s="49"/>
      <c r="AU427" s="49"/>
    </row>
    <row r="428" spans="1:47" ht="15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  <c r="AG428" s="49"/>
      <c r="AH428" s="49"/>
      <c r="AI428" s="49"/>
      <c r="AJ428" s="49"/>
      <c r="AK428" s="49"/>
      <c r="AL428" s="49"/>
      <c r="AM428" s="49"/>
      <c r="AN428" s="49"/>
      <c r="AO428" s="49"/>
      <c r="AP428" s="49"/>
      <c r="AQ428" s="49"/>
      <c r="AR428" s="49"/>
      <c r="AS428" s="49"/>
      <c r="AT428" s="49"/>
      <c r="AU428" s="49"/>
    </row>
    <row r="429" spans="1:47" ht="15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  <c r="AG429" s="49"/>
      <c r="AH429" s="49"/>
      <c r="AI429" s="49"/>
      <c r="AJ429" s="49"/>
      <c r="AK429" s="49"/>
      <c r="AL429" s="49"/>
      <c r="AM429" s="49"/>
      <c r="AN429" s="49"/>
      <c r="AO429" s="49"/>
      <c r="AP429" s="49"/>
      <c r="AQ429" s="49"/>
      <c r="AR429" s="49"/>
      <c r="AS429" s="49"/>
      <c r="AT429" s="49"/>
      <c r="AU429" s="49"/>
    </row>
    <row r="430" spans="1:47" ht="15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  <c r="AG430" s="49"/>
      <c r="AH430" s="49"/>
      <c r="AI430" s="49"/>
      <c r="AJ430" s="49"/>
      <c r="AK430" s="49"/>
      <c r="AL430" s="49"/>
      <c r="AM430" s="49"/>
      <c r="AN430" s="49"/>
      <c r="AO430" s="49"/>
      <c r="AP430" s="49"/>
      <c r="AQ430" s="49"/>
      <c r="AR430" s="49"/>
      <c r="AS430" s="49"/>
      <c r="AT430" s="49"/>
      <c r="AU430" s="49"/>
    </row>
    <row r="431" spans="1:47" ht="15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  <c r="AG431" s="49"/>
      <c r="AH431" s="49"/>
      <c r="AI431" s="49"/>
      <c r="AJ431" s="49"/>
      <c r="AK431" s="49"/>
      <c r="AL431" s="49"/>
      <c r="AM431" s="49"/>
      <c r="AN431" s="49"/>
      <c r="AO431" s="49"/>
      <c r="AP431" s="49"/>
      <c r="AQ431" s="49"/>
      <c r="AR431" s="49"/>
      <c r="AS431" s="49"/>
      <c r="AT431" s="49"/>
      <c r="AU431" s="49"/>
    </row>
    <row r="432" spans="1:47" ht="15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  <c r="AG432" s="49"/>
      <c r="AH432" s="49"/>
      <c r="AI432" s="49"/>
      <c r="AJ432" s="49"/>
      <c r="AK432" s="49"/>
      <c r="AL432" s="49"/>
      <c r="AM432" s="49"/>
      <c r="AN432" s="49"/>
      <c r="AO432" s="49"/>
      <c r="AP432" s="49"/>
      <c r="AQ432" s="49"/>
      <c r="AR432" s="49"/>
      <c r="AS432" s="49"/>
      <c r="AT432" s="49"/>
      <c r="AU432" s="49"/>
    </row>
    <row r="433" spans="1:47" ht="15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  <c r="AG433" s="49"/>
      <c r="AH433" s="49"/>
      <c r="AI433" s="49"/>
      <c r="AJ433" s="49"/>
      <c r="AK433" s="49"/>
      <c r="AL433" s="49"/>
      <c r="AM433" s="49"/>
      <c r="AN433" s="49"/>
      <c r="AO433" s="49"/>
      <c r="AP433" s="49"/>
      <c r="AQ433" s="49"/>
      <c r="AR433" s="49"/>
      <c r="AS433" s="49"/>
      <c r="AT433" s="49"/>
      <c r="AU433" s="49"/>
    </row>
    <row r="434" spans="1:47" ht="15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  <c r="AG434" s="49"/>
      <c r="AH434" s="49"/>
      <c r="AI434" s="49"/>
      <c r="AJ434" s="49"/>
      <c r="AK434" s="49"/>
      <c r="AL434" s="49"/>
      <c r="AM434" s="49"/>
      <c r="AN434" s="49"/>
      <c r="AO434" s="49"/>
      <c r="AP434" s="49"/>
      <c r="AQ434" s="49"/>
      <c r="AR434" s="49"/>
      <c r="AS434" s="49"/>
      <c r="AT434" s="49"/>
      <c r="AU434" s="49"/>
    </row>
    <row r="435" spans="1:47" ht="15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  <c r="AG435" s="49"/>
      <c r="AH435" s="49"/>
      <c r="AI435" s="49"/>
      <c r="AJ435" s="49"/>
      <c r="AK435" s="49"/>
      <c r="AL435" s="49"/>
      <c r="AM435" s="49"/>
      <c r="AN435" s="49"/>
      <c r="AO435" s="49"/>
      <c r="AP435" s="49"/>
      <c r="AQ435" s="49"/>
      <c r="AR435" s="49"/>
      <c r="AS435" s="49"/>
      <c r="AT435" s="49"/>
      <c r="AU435" s="49"/>
    </row>
    <row r="436" spans="1:47" ht="15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  <c r="AG436" s="49"/>
      <c r="AH436" s="49"/>
      <c r="AI436" s="49"/>
      <c r="AJ436" s="49"/>
      <c r="AK436" s="49"/>
      <c r="AL436" s="49"/>
      <c r="AM436" s="49"/>
      <c r="AN436" s="49"/>
      <c r="AO436" s="49"/>
      <c r="AP436" s="49"/>
      <c r="AQ436" s="49"/>
      <c r="AR436" s="49"/>
      <c r="AS436" s="49"/>
      <c r="AT436" s="49"/>
      <c r="AU436" s="49"/>
    </row>
    <row r="437" spans="1:47" ht="15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  <c r="AG437" s="49"/>
      <c r="AH437" s="49"/>
      <c r="AI437" s="49"/>
      <c r="AJ437" s="49"/>
      <c r="AK437" s="49"/>
      <c r="AL437" s="49"/>
      <c r="AM437" s="49"/>
      <c r="AN437" s="49"/>
      <c r="AO437" s="49"/>
      <c r="AP437" s="49"/>
      <c r="AQ437" s="49"/>
      <c r="AR437" s="49"/>
      <c r="AS437" s="49"/>
      <c r="AT437" s="49"/>
      <c r="AU437" s="49"/>
    </row>
    <row r="438" spans="1:47" ht="15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  <c r="AG438" s="49"/>
      <c r="AH438" s="49"/>
      <c r="AI438" s="49"/>
      <c r="AJ438" s="49"/>
      <c r="AK438" s="49"/>
      <c r="AL438" s="49"/>
      <c r="AM438" s="49"/>
      <c r="AN438" s="49"/>
      <c r="AO438" s="49"/>
      <c r="AP438" s="49"/>
      <c r="AQ438" s="49"/>
      <c r="AR438" s="49"/>
      <c r="AS438" s="49"/>
      <c r="AT438" s="49"/>
      <c r="AU438" s="49"/>
    </row>
    <row r="439" spans="1:47" ht="15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  <c r="AG439" s="49"/>
      <c r="AH439" s="49"/>
      <c r="AI439" s="49"/>
      <c r="AJ439" s="49"/>
      <c r="AK439" s="49"/>
      <c r="AL439" s="49"/>
      <c r="AM439" s="49"/>
      <c r="AN439" s="49"/>
      <c r="AO439" s="49"/>
      <c r="AP439" s="49"/>
      <c r="AQ439" s="49"/>
      <c r="AR439" s="49"/>
      <c r="AS439" s="49"/>
      <c r="AT439" s="49"/>
      <c r="AU439" s="49"/>
    </row>
    <row r="440" spans="1:47" ht="15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  <c r="AG440" s="49"/>
      <c r="AH440" s="49"/>
      <c r="AI440" s="49"/>
      <c r="AJ440" s="49"/>
      <c r="AK440" s="49"/>
      <c r="AL440" s="49"/>
      <c r="AM440" s="49"/>
      <c r="AN440" s="49"/>
      <c r="AO440" s="49"/>
      <c r="AP440" s="49"/>
      <c r="AQ440" s="49"/>
      <c r="AR440" s="49"/>
      <c r="AS440" s="49"/>
      <c r="AT440" s="49"/>
      <c r="AU440" s="49"/>
    </row>
    <row r="441" spans="1:47" ht="15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  <c r="AG441" s="49"/>
      <c r="AH441" s="49"/>
      <c r="AI441" s="49"/>
      <c r="AJ441" s="49"/>
      <c r="AK441" s="49"/>
      <c r="AL441" s="49"/>
      <c r="AM441" s="49"/>
      <c r="AN441" s="49"/>
      <c r="AO441" s="49"/>
      <c r="AP441" s="49"/>
      <c r="AQ441" s="49"/>
      <c r="AR441" s="49"/>
      <c r="AS441" s="49"/>
      <c r="AT441" s="49"/>
      <c r="AU441" s="49"/>
    </row>
    <row r="442" spans="1:47" ht="15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  <c r="AG442" s="49"/>
      <c r="AH442" s="49"/>
      <c r="AI442" s="49"/>
      <c r="AJ442" s="49"/>
      <c r="AK442" s="49"/>
      <c r="AL442" s="49"/>
      <c r="AM442" s="49"/>
      <c r="AN442" s="49"/>
      <c r="AO442" s="49"/>
      <c r="AP442" s="49"/>
      <c r="AQ442" s="49"/>
      <c r="AR442" s="49"/>
      <c r="AS442" s="49"/>
      <c r="AT442" s="49"/>
      <c r="AU442" s="49"/>
    </row>
    <row r="443" spans="1:47" ht="15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  <c r="AG443" s="49"/>
      <c r="AH443" s="49"/>
      <c r="AI443" s="49"/>
      <c r="AJ443" s="49"/>
      <c r="AK443" s="49"/>
      <c r="AL443" s="49"/>
      <c r="AM443" s="49"/>
      <c r="AN443" s="49"/>
      <c r="AO443" s="49"/>
      <c r="AP443" s="49"/>
      <c r="AQ443" s="49"/>
      <c r="AR443" s="49"/>
      <c r="AS443" s="49"/>
      <c r="AT443" s="49"/>
      <c r="AU443" s="49"/>
    </row>
    <row r="444" spans="1:47" ht="15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  <c r="AH444" s="49"/>
      <c r="AI444" s="49"/>
      <c r="AJ444" s="49"/>
      <c r="AK444" s="49"/>
      <c r="AL444" s="49"/>
      <c r="AM444" s="49"/>
      <c r="AN444" s="49"/>
      <c r="AO444" s="49"/>
      <c r="AP444" s="49"/>
      <c r="AQ444" s="49"/>
      <c r="AR444" s="49"/>
      <c r="AS444" s="49"/>
      <c r="AT444" s="49"/>
      <c r="AU444" s="49"/>
    </row>
    <row r="445" spans="1:47" ht="15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  <c r="AG445" s="49"/>
      <c r="AH445" s="49"/>
      <c r="AI445" s="49"/>
      <c r="AJ445" s="49"/>
      <c r="AK445" s="49"/>
      <c r="AL445" s="49"/>
      <c r="AM445" s="49"/>
      <c r="AN445" s="49"/>
      <c r="AO445" s="49"/>
      <c r="AP445" s="49"/>
      <c r="AQ445" s="49"/>
      <c r="AR445" s="49"/>
      <c r="AS445" s="49"/>
      <c r="AT445" s="49"/>
      <c r="AU445" s="49"/>
    </row>
    <row r="446" spans="1:47" ht="15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49"/>
      <c r="AI446" s="49"/>
      <c r="AJ446" s="49"/>
      <c r="AK446" s="49"/>
      <c r="AL446" s="49"/>
      <c r="AM446" s="49"/>
      <c r="AN446" s="49"/>
      <c r="AO446" s="49"/>
      <c r="AP446" s="49"/>
      <c r="AQ446" s="49"/>
      <c r="AR446" s="49"/>
      <c r="AS446" s="49"/>
      <c r="AT446" s="49"/>
      <c r="AU446" s="49"/>
    </row>
    <row r="447" spans="1:47" ht="15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  <c r="AH447" s="49"/>
      <c r="AI447" s="49"/>
      <c r="AJ447" s="49"/>
      <c r="AK447" s="49"/>
      <c r="AL447" s="49"/>
      <c r="AM447" s="49"/>
      <c r="AN447" s="49"/>
      <c r="AO447" s="49"/>
      <c r="AP447" s="49"/>
      <c r="AQ447" s="49"/>
      <c r="AR447" s="49"/>
      <c r="AS447" s="49"/>
      <c r="AT447" s="49"/>
      <c r="AU447" s="49"/>
    </row>
    <row r="448" spans="1:47" ht="15">
      <c r="A448" s="49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  <c r="AH448" s="49"/>
      <c r="AI448" s="49"/>
      <c r="AJ448" s="49"/>
      <c r="AK448" s="49"/>
      <c r="AL448" s="49"/>
      <c r="AM448" s="49"/>
      <c r="AN448" s="49"/>
      <c r="AO448" s="49"/>
      <c r="AP448" s="49"/>
      <c r="AQ448" s="49"/>
      <c r="AR448" s="49"/>
      <c r="AS448" s="49"/>
      <c r="AT448" s="49"/>
      <c r="AU448" s="49"/>
    </row>
    <row r="449" spans="1:47" ht="15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  <c r="AH449" s="49"/>
      <c r="AI449" s="49"/>
      <c r="AJ449" s="49"/>
      <c r="AK449" s="49"/>
      <c r="AL449" s="49"/>
      <c r="AM449" s="49"/>
      <c r="AN449" s="49"/>
      <c r="AO449" s="49"/>
      <c r="AP449" s="49"/>
      <c r="AQ449" s="49"/>
      <c r="AR449" s="49"/>
      <c r="AS449" s="49"/>
      <c r="AT449" s="49"/>
      <c r="AU449" s="49"/>
    </row>
    <row r="450" spans="1:47" ht="15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  <c r="AH450" s="49"/>
      <c r="AI450" s="49"/>
      <c r="AJ450" s="49"/>
      <c r="AK450" s="49"/>
      <c r="AL450" s="49"/>
      <c r="AM450" s="49"/>
      <c r="AN450" s="49"/>
      <c r="AO450" s="49"/>
      <c r="AP450" s="49"/>
      <c r="AQ450" s="49"/>
      <c r="AR450" s="49"/>
      <c r="AS450" s="49"/>
      <c r="AT450" s="49"/>
      <c r="AU450" s="49"/>
    </row>
    <row r="451" spans="1:47" ht="15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  <c r="AG451" s="49"/>
      <c r="AH451" s="49"/>
      <c r="AI451" s="49"/>
      <c r="AJ451" s="49"/>
      <c r="AK451" s="49"/>
      <c r="AL451" s="49"/>
      <c r="AM451" s="49"/>
      <c r="AN451" s="49"/>
      <c r="AO451" s="49"/>
      <c r="AP451" s="49"/>
      <c r="AQ451" s="49"/>
      <c r="AR451" s="49"/>
      <c r="AS451" s="49"/>
      <c r="AT451" s="49"/>
      <c r="AU451" s="49"/>
    </row>
    <row r="452" spans="1:47" ht="15">
      <c r="A452" s="49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  <c r="AH452" s="49"/>
      <c r="AI452" s="49"/>
      <c r="AJ452" s="49"/>
      <c r="AK452" s="49"/>
      <c r="AL452" s="49"/>
      <c r="AM452" s="49"/>
      <c r="AN452" s="49"/>
      <c r="AO452" s="49"/>
      <c r="AP452" s="49"/>
      <c r="AQ452" s="49"/>
      <c r="AR452" s="49"/>
      <c r="AS452" s="49"/>
      <c r="AT452" s="49"/>
      <c r="AU452" s="49"/>
    </row>
    <row r="453" spans="1:47" ht="15">
      <c r="A453" s="49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  <c r="AG453" s="49"/>
      <c r="AH453" s="49"/>
      <c r="AI453" s="49"/>
      <c r="AJ453" s="49"/>
      <c r="AK453" s="49"/>
      <c r="AL453" s="49"/>
      <c r="AM453" s="49"/>
      <c r="AN453" s="49"/>
      <c r="AO453" s="49"/>
      <c r="AP453" s="49"/>
      <c r="AQ453" s="49"/>
      <c r="AR453" s="49"/>
      <c r="AS453" s="49"/>
      <c r="AT453" s="49"/>
      <c r="AU453" s="49"/>
    </row>
    <row r="454" spans="1:47" ht="15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  <c r="AG454" s="49"/>
      <c r="AH454" s="49"/>
      <c r="AI454" s="49"/>
      <c r="AJ454" s="49"/>
      <c r="AK454" s="49"/>
      <c r="AL454" s="49"/>
      <c r="AM454" s="49"/>
      <c r="AN454" s="49"/>
      <c r="AO454" s="49"/>
      <c r="AP454" s="49"/>
      <c r="AQ454" s="49"/>
      <c r="AR454" s="49"/>
      <c r="AS454" s="49"/>
      <c r="AT454" s="49"/>
      <c r="AU454" s="49"/>
    </row>
    <row r="455" spans="1:47" ht="15">
      <c r="A455" s="49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  <c r="AG455" s="49"/>
      <c r="AH455" s="49"/>
      <c r="AI455" s="49"/>
      <c r="AJ455" s="49"/>
      <c r="AK455" s="49"/>
      <c r="AL455" s="49"/>
      <c r="AM455" s="49"/>
      <c r="AN455" s="49"/>
      <c r="AO455" s="49"/>
      <c r="AP455" s="49"/>
      <c r="AQ455" s="49"/>
      <c r="AR455" s="49"/>
      <c r="AS455" s="49"/>
      <c r="AT455" s="49"/>
      <c r="AU455" s="49"/>
    </row>
    <row r="456" spans="1:47" ht="15">
      <c r="A456" s="49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  <c r="AG456" s="49"/>
      <c r="AH456" s="49"/>
      <c r="AI456" s="49"/>
      <c r="AJ456" s="49"/>
      <c r="AK456" s="49"/>
      <c r="AL456" s="49"/>
      <c r="AM456" s="49"/>
      <c r="AN456" s="49"/>
      <c r="AO456" s="49"/>
      <c r="AP456" s="49"/>
      <c r="AQ456" s="49"/>
      <c r="AR456" s="49"/>
      <c r="AS456" s="49"/>
      <c r="AT456" s="49"/>
      <c r="AU456" s="49"/>
    </row>
    <row r="457" spans="1:47" ht="15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  <c r="AG457" s="49"/>
      <c r="AH457" s="49"/>
      <c r="AI457" s="49"/>
      <c r="AJ457" s="49"/>
      <c r="AK457" s="49"/>
      <c r="AL457" s="49"/>
      <c r="AM457" s="49"/>
      <c r="AN457" s="49"/>
      <c r="AO457" s="49"/>
      <c r="AP457" s="49"/>
      <c r="AQ457" s="49"/>
      <c r="AR457" s="49"/>
      <c r="AS457" s="49"/>
      <c r="AT457" s="49"/>
      <c r="AU457" s="49"/>
    </row>
    <row r="458" spans="1:47" ht="15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  <c r="AG458" s="49"/>
      <c r="AH458" s="49"/>
      <c r="AI458" s="49"/>
      <c r="AJ458" s="49"/>
      <c r="AK458" s="49"/>
      <c r="AL458" s="49"/>
      <c r="AM458" s="49"/>
      <c r="AN458" s="49"/>
      <c r="AO458" s="49"/>
      <c r="AP458" s="49"/>
      <c r="AQ458" s="49"/>
      <c r="AR458" s="49"/>
      <c r="AS458" s="49"/>
      <c r="AT458" s="49"/>
      <c r="AU458" s="49"/>
    </row>
    <row r="459" spans="1:47" ht="15">
      <c r="A459" s="49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  <c r="AG459" s="49"/>
      <c r="AH459" s="49"/>
      <c r="AI459" s="49"/>
      <c r="AJ459" s="49"/>
      <c r="AK459" s="49"/>
      <c r="AL459" s="49"/>
      <c r="AM459" s="49"/>
      <c r="AN459" s="49"/>
      <c r="AO459" s="49"/>
      <c r="AP459" s="49"/>
      <c r="AQ459" s="49"/>
      <c r="AR459" s="49"/>
      <c r="AS459" s="49"/>
      <c r="AT459" s="49"/>
      <c r="AU459" s="49"/>
    </row>
    <row r="460" spans="1:47" ht="15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  <c r="AG460" s="49"/>
      <c r="AH460" s="49"/>
      <c r="AI460" s="49"/>
      <c r="AJ460" s="49"/>
      <c r="AK460" s="49"/>
      <c r="AL460" s="49"/>
      <c r="AM460" s="49"/>
      <c r="AN460" s="49"/>
      <c r="AO460" s="49"/>
      <c r="AP460" s="49"/>
      <c r="AQ460" s="49"/>
      <c r="AR460" s="49"/>
      <c r="AS460" s="49"/>
      <c r="AT460" s="49"/>
      <c r="AU460" s="49"/>
    </row>
    <row r="461" spans="1:47" ht="15">
      <c r="A461" s="49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9"/>
      <c r="AH461" s="49"/>
      <c r="AI461" s="49"/>
      <c r="AJ461" s="49"/>
      <c r="AK461" s="49"/>
      <c r="AL461" s="49"/>
      <c r="AM461" s="49"/>
      <c r="AN461" s="49"/>
      <c r="AO461" s="49"/>
      <c r="AP461" s="49"/>
      <c r="AQ461" s="49"/>
      <c r="AR461" s="49"/>
      <c r="AS461" s="49"/>
      <c r="AT461" s="49"/>
      <c r="AU461" s="49"/>
    </row>
    <row r="462" spans="1:47" ht="15">
      <c r="A462" s="49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  <c r="AG462" s="49"/>
      <c r="AH462" s="49"/>
      <c r="AI462" s="49"/>
      <c r="AJ462" s="49"/>
      <c r="AK462" s="49"/>
      <c r="AL462" s="49"/>
      <c r="AM462" s="49"/>
      <c r="AN462" s="49"/>
      <c r="AO462" s="49"/>
      <c r="AP462" s="49"/>
      <c r="AQ462" s="49"/>
      <c r="AR462" s="49"/>
      <c r="AS462" s="49"/>
      <c r="AT462" s="49"/>
      <c r="AU462" s="49"/>
    </row>
    <row r="463" spans="1:47" ht="15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  <c r="AH463" s="49"/>
      <c r="AI463" s="49"/>
      <c r="AJ463" s="49"/>
      <c r="AK463" s="49"/>
      <c r="AL463" s="49"/>
      <c r="AM463" s="49"/>
      <c r="AN463" s="49"/>
      <c r="AO463" s="49"/>
      <c r="AP463" s="49"/>
      <c r="AQ463" s="49"/>
      <c r="AR463" s="49"/>
      <c r="AS463" s="49"/>
      <c r="AT463" s="49"/>
      <c r="AU463" s="49"/>
    </row>
    <row r="464" spans="1:47" ht="15">
      <c r="A464" s="49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49"/>
      <c r="AF464" s="49"/>
      <c r="AG464" s="49"/>
      <c r="AH464" s="49"/>
      <c r="AI464" s="49"/>
      <c r="AJ464" s="49"/>
      <c r="AK464" s="49"/>
      <c r="AL464" s="49"/>
      <c r="AM464" s="49"/>
      <c r="AN464" s="49"/>
      <c r="AO464" s="49"/>
      <c r="AP464" s="49"/>
      <c r="AQ464" s="49"/>
      <c r="AR464" s="49"/>
      <c r="AS464" s="49"/>
      <c r="AT464" s="49"/>
      <c r="AU464" s="49"/>
    </row>
    <row r="465" spans="1:47" ht="15">
      <c r="A465" s="49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49"/>
      <c r="AF465" s="49"/>
      <c r="AG465" s="49"/>
      <c r="AH465" s="49"/>
      <c r="AI465" s="49"/>
      <c r="AJ465" s="49"/>
      <c r="AK465" s="49"/>
      <c r="AL465" s="49"/>
      <c r="AM465" s="49"/>
      <c r="AN465" s="49"/>
      <c r="AO465" s="49"/>
      <c r="AP465" s="49"/>
      <c r="AQ465" s="49"/>
      <c r="AR465" s="49"/>
      <c r="AS465" s="49"/>
      <c r="AT465" s="49"/>
      <c r="AU465" s="49"/>
    </row>
    <row r="466" spans="1:47" ht="15">
      <c r="A466" s="49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  <c r="AG466" s="49"/>
      <c r="AH466" s="49"/>
      <c r="AI466" s="49"/>
      <c r="AJ466" s="49"/>
      <c r="AK466" s="49"/>
      <c r="AL466" s="49"/>
      <c r="AM466" s="49"/>
      <c r="AN466" s="49"/>
      <c r="AO466" s="49"/>
      <c r="AP466" s="49"/>
      <c r="AQ466" s="49"/>
      <c r="AR466" s="49"/>
      <c r="AS466" s="49"/>
      <c r="AT466" s="49"/>
      <c r="AU466" s="49"/>
    </row>
    <row r="467" spans="1:47" ht="15">
      <c r="A467" s="49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  <c r="AD467" s="49"/>
      <c r="AE467" s="49"/>
      <c r="AF467" s="49"/>
      <c r="AG467" s="49"/>
      <c r="AH467" s="49"/>
      <c r="AI467" s="49"/>
      <c r="AJ467" s="49"/>
      <c r="AK467" s="49"/>
      <c r="AL467" s="49"/>
      <c r="AM467" s="49"/>
      <c r="AN467" s="49"/>
      <c r="AO467" s="49"/>
      <c r="AP467" s="49"/>
      <c r="AQ467" s="49"/>
      <c r="AR467" s="49"/>
      <c r="AS467" s="49"/>
      <c r="AT467" s="49"/>
      <c r="AU467" s="49"/>
    </row>
    <row r="468" spans="1:47" ht="15">
      <c r="A468" s="49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  <c r="AG468" s="49"/>
      <c r="AH468" s="49"/>
      <c r="AI468" s="49"/>
      <c r="AJ468" s="49"/>
      <c r="AK468" s="49"/>
      <c r="AL468" s="49"/>
      <c r="AM468" s="49"/>
      <c r="AN468" s="49"/>
      <c r="AO468" s="49"/>
      <c r="AP468" s="49"/>
      <c r="AQ468" s="49"/>
      <c r="AR468" s="49"/>
      <c r="AS468" s="49"/>
      <c r="AT468" s="49"/>
      <c r="AU468" s="49"/>
    </row>
    <row r="469" spans="1:47" ht="15">
      <c r="A469" s="49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  <c r="AG469" s="49"/>
      <c r="AH469" s="49"/>
      <c r="AI469" s="49"/>
      <c r="AJ469" s="49"/>
      <c r="AK469" s="49"/>
      <c r="AL469" s="49"/>
      <c r="AM469" s="49"/>
      <c r="AN469" s="49"/>
      <c r="AO469" s="49"/>
      <c r="AP469" s="49"/>
      <c r="AQ469" s="49"/>
      <c r="AR469" s="49"/>
      <c r="AS469" s="49"/>
      <c r="AT469" s="49"/>
      <c r="AU469" s="49"/>
    </row>
    <row r="470" spans="1:47" ht="15">
      <c r="A470" s="49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  <c r="AG470" s="49"/>
      <c r="AH470" s="49"/>
      <c r="AI470" s="49"/>
      <c r="AJ470" s="49"/>
      <c r="AK470" s="49"/>
      <c r="AL470" s="49"/>
      <c r="AM470" s="49"/>
      <c r="AN470" s="49"/>
      <c r="AO470" s="49"/>
      <c r="AP470" s="49"/>
      <c r="AQ470" s="49"/>
      <c r="AR470" s="49"/>
      <c r="AS470" s="49"/>
      <c r="AT470" s="49"/>
      <c r="AU470" s="49"/>
    </row>
    <row r="471" spans="1:47" ht="15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49"/>
      <c r="AF471" s="49"/>
      <c r="AG471" s="49"/>
      <c r="AH471" s="49"/>
      <c r="AI471" s="49"/>
      <c r="AJ471" s="49"/>
      <c r="AK471" s="49"/>
      <c r="AL471" s="49"/>
      <c r="AM471" s="49"/>
      <c r="AN471" s="49"/>
      <c r="AO471" s="49"/>
      <c r="AP471" s="49"/>
      <c r="AQ471" s="49"/>
      <c r="AR471" s="49"/>
      <c r="AS471" s="49"/>
      <c r="AT471" s="49"/>
      <c r="AU471" s="49"/>
    </row>
    <row r="472" spans="1:47" ht="15">
      <c r="A472" s="49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  <c r="AD472" s="49"/>
      <c r="AE472" s="49"/>
      <c r="AF472" s="49"/>
      <c r="AG472" s="49"/>
      <c r="AH472" s="49"/>
      <c r="AI472" s="49"/>
      <c r="AJ472" s="49"/>
      <c r="AK472" s="49"/>
      <c r="AL472" s="49"/>
      <c r="AM472" s="49"/>
      <c r="AN472" s="49"/>
      <c r="AO472" s="49"/>
      <c r="AP472" s="49"/>
      <c r="AQ472" s="49"/>
      <c r="AR472" s="49"/>
      <c r="AS472" s="49"/>
      <c r="AT472" s="49"/>
      <c r="AU472" s="49"/>
    </row>
    <row r="473" spans="1:47" ht="15">
      <c r="A473" s="49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  <c r="AD473" s="49"/>
      <c r="AE473" s="49"/>
      <c r="AF473" s="49"/>
      <c r="AG473" s="49"/>
      <c r="AH473" s="49"/>
      <c r="AI473" s="49"/>
      <c r="AJ473" s="49"/>
      <c r="AK473" s="49"/>
      <c r="AL473" s="49"/>
      <c r="AM473" s="49"/>
      <c r="AN473" s="49"/>
      <c r="AO473" s="49"/>
      <c r="AP473" s="49"/>
      <c r="AQ473" s="49"/>
      <c r="AR473" s="49"/>
      <c r="AS473" s="49"/>
      <c r="AT473" s="49"/>
      <c r="AU473" s="49"/>
    </row>
    <row r="474" spans="1:47" ht="15">
      <c r="A474" s="49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49"/>
      <c r="AF474" s="49"/>
      <c r="AG474" s="49"/>
      <c r="AH474" s="49"/>
      <c r="AI474" s="49"/>
      <c r="AJ474" s="49"/>
      <c r="AK474" s="49"/>
      <c r="AL474" s="49"/>
      <c r="AM474" s="49"/>
      <c r="AN474" s="49"/>
      <c r="AO474" s="49"/>
      <c r="AP474" s="49"/>
      <c r="AQ474" s="49"/>
      <c r="AR474" s="49"/>
      <c r="AS474" s="49"/>
      <c r="AT474" s="49"/>
      <c r="AU474" s="49"/>
    </row>
    <row r="475" spans="1:47" ht="15">
      <c r="A475" s="49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49"/>
      <c r="AF475" s="49"/>
      <c r="AG475" s="49"/>
      <c r="AH475" s="49"/>
      <c r="AI475" s="49"/>
      <c r="AJ475" s="49"/>
      <c r="AK475" s="49"/>
      <c r="AL475" s="49"/>
      <c r="AM475" s="49"/>
      <c r="AN475" s="49"/>
      <c r="AO475" s="49"/>
      <c r="AP475" s="49"/>
      <c r="AQ475" s="49"/>
      <c r="AR475" s="49"/>
      <c r="AS475" s="49"/>
      <c r="AT475" s="49"/>
      <c r="AU475" s="49"/>
    </row>
    <row r="476" spans="1:47" ht="15">
      <c r="A476" s="49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49"/>
      <c r="AF476" s="49"/>
      <c r="AG476" s="49"/>
      <c r="AH476" s="49"/>
      <c r="AI476" s="49"/>
      <c r="AJ476" s="49"/>
      <c r="AK476" s="49"/>
      <c r="AL476" s="49"/>
      <c r="AM476" s="49"/>
      <c r="AN476" s="49"/>
      <c r="AO476" s="49"/>
      <c r="AP476" s="49"/>
      <c r="AQ476" s="49"/>
      <c r="AR476" s="49"/>
      <c r="AS476" s="49"/>
      <c r="AT476" s="49"/>
      <c r="AU476" s="49"/>
    </row>
    <row r="477" spans="1:47" ht="15">
      <c r="A477" s="49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  <c r="AD477" s="49"/>
      <c r="AE477" s="49"/>
      <c r="AF477" s="49"/>
      <c r="AG477" s="49"/>
      <c r="AH477" s="49"/>
      <c r="AI477" s="49"/>
      <c r="AJ477" s="49"/>
      <c r="AK477" s="49"/>
      <c r="AL477" s="49"/>
      <c r="AM477" s="49"/>
      <c r="AN477" s="49"/>
      <c r="AO477" s="49"/>
      <c r="AP477" s="49"/>
      <c r="AQ477" s="49"/>
      <c r="AR477" s="49"/>
      <c r="AS477" s="49"/>
      <c r="AT477" s="49"/>
      <c r="AU477" s="49"/>
    </row>
    <row r="478" spans="1:47" ht="15">
      <c r="A478" s="49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  <c r="AD478" s="49"/>
      <c r="AE478" s="49"/>
      <c r="AF478" s="49"/>
      <c r="AG478" s="49"/>
      <c r="AH478" s="49"/>
      <c r="AI478" s="49"/>
      <c r="AJ478" s="49"/>
      <c r="AK478" s="49"/>
      <c r="AL478" s="49"/>
      <c r="AM478" s="49"/>
      <c r="AN478" s="49"/>
      <c r="AO478" s="49"/>
      <c r="AP478" s="49"/>
      <c r="AQ478" s="49"/>
      <c r="AR478" s="49"/>
      <c r="AS478" s="49"/>
      <c r="AT478" s="49"/>
      <c r="AU478" s="49"/>
    </row>
    <row r="479" spans="1:47" ht="15">
      <c r="A479" s="49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  <c r="AD479" s="49"/>
      <c r="AE479" s="49"/>
      <c r="AF479" s="49"/>
      <c r="AG479" s="49"/>
      <c r="AH479" s="49"/>
      <c r="AI479" s="49"/>
      <c r="AJ479" s="49"/>
      <c r="AK479" s="49"/>
      <c r="AL479" s="49"/>
      <c r="AM479" s="49"/>
      <c r="AN479" s="49"/>
      <c r="AO479" s="49"/>
      <c r="AP479" s="49"/>
      <c r="AQ479" s="49"/>
      <c r="AR479" s="49"/>
      <c r="AS479" s="49"/>
      <c r="AT479" s="49"/>
      <c r="AU479" s="49"/>
    </row>
    <row r="480" spans="1:47" ht="15">
      <c r="A480" s="49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/>
      <c r="AC480" s="49"/>
      <c r="AD480" s="49"/>
      <c r="AE480" s="49"/>
      <c r="AF480" s="49"/>
      <c r="AG480" s="49"/>
      <c r="AH480" s="49"/>
      <c r="AI480" s="49"/>
      <c r="AJ480" s="49"/>
      <c r="AK480" s="49"/>
      <c r="AL480" s="49"/>
      <c r="AM480" s="49"/>
      <c r="AN480" s="49"/>
      <c r="AO480" s="49"/>
      <c r="AP480" s="49"/>
      <c r="AQ480" s="49"/>
      <c r="AR480" s="49"/>
      <c r="AS480" s="49"/>
      <c r="AT480" s="49"/>
      <c r="AU480" s="49"/>
    </row>
    <row r="481" spans="1:47" ht="15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  <c r="AD481" s="49"/>
      <c r="AE481" s="49"/>
      <c r="AF481" s="49"/>
      <c r="AG481" s="49"/>
      <c r="AH481" s="49"/>
      <c r="AI481" s="49"/>
      <c r="AJ481" s="49"/>
      <c r="AK481" s="49"/>
      <c r="AL481" s="49"/>
      <c r="AM481" s="49"/>
      <c r="AN481" s="49"/>
      <c r="AO481" s="49"/>
      <c r="AP481" s="49"/>
      <c r="AQ481" s="49"/>
      <c r="AR481" s="49"/>
      <c r="AS481" s="49"/>
      <c r="AT481" s="49"/>
      <c r="AU481" s="49"/>
    </row>
    <row r="482" spans="1:47" ht="15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  <c r="AD482" s="49"/>
      <c r="AE482" s="49"/>
      <c r="AF482" s="49"/>
      <c r="AG482" s="49"/>
      <c r="AH482" s="49"/>
      <c r="AI482" s="49"/>
      <c r="AJ482" s="49"/>
      <c r="AK482" s="49"/>
      <c r="AL482" s="49"/>
      <c r="AM482" s="49"/>
      <c r="AN482" s="49"/>
      <c r="AO482" s="49"/>
      <c r="AP482" s="49"/>
      <c r="AQ482" s="49"/>
      <c r="AR482" s="49"/>
      <c r="AS482" s="49"/>
      <c r="AT482" s="49"/>
      <c r="AU482" s="49"/>
    </row>
    <row r="483" spans="1:47" ht="15">
      <c r="A483" s="49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  <c r="AD483" s="49"/>
      <c r="AE483" s="49"/>
      <c r="AF483" s="49"/>
      <c r="AG483" s="49"/>
      <c r="AH483" s="49"/>
      <c r="AI483" s="49"/>
      <c r="AJ483" s="49"/>
      <c r="AK483" s="49"/>
      <c r="AL483" s="49"/>
      <c r="AM483" s="49"/>
      <c r="AN483" s="49"/>
      <c r="AO483" s="49"/>
      <c r="AP483" s="49"/>
      <c r="AQ483" s="49"/>
      <c r="AR483" s="49"/>
      <c r="AS483" s="49"/>
      <c r="AT483" s="49"/>
      <c r="AU483" s="49"/>
    </row>
    <row r="484" spans="1:47" ht="15">
      <c r="A484" s="49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49"/>
      <c r="AF484" s="49"/>
      <c r="AG484" s="49"/>
      <c r="AH484" s="49"/>
      <c r="AI484" s="49"/>
      <c r="AJ484" s="49"/>
      <c r="AK484" s="49"/>
      <c r="AL484" s="49"/>
      <c r="AM484" s="49"/>
      <c r="AN484" s="49"/>
      <c r="AO484" s="49"/>
      <c r="AP484" s="49"/>
      <c r="AQ484" s="49"/>
      <c r="AR484" s="49"/>
      <c r="AS484" s="49"/>
      <c r="AT484" s="49"/>
      <c r="AU484" s="49"/>
    </row>
    <row r="485" spans="1:47" ht="15">
      <c r="A485" s="49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49"/>
      <c r="AE485" s="49"/>
      <c r="AF485" s="49"/>
      <c r="AG485" s="49"/>
      <c r="AH485" s="49"/>
      <c r="AI485" s="49"/>
      <c r="AJ485" s="49"/>
      <c r="AK485" s="49"/>
      <c r="AL485" s="49"/>
      <c r="AM485" s="49"/>
      <c r="AN485" s="49"/>
      <c r="AO485" s="49"/>
      <c r="AP485" s="49"/>
      <c r="AQ485" s="49"/>
      <c r="AR485" s="49"/>
      <c r="AS485" s="49"/>
      <c r="AT485" s="49"/>
      <c r="AU485" s="49"/>
    </row>
    <row r="486" spans="1:47" ht="15">
      <c r="A486" s="49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  <c r="AG486" s="49"/>
      <c r="AH486" s="49"/>
      <c r="AI486" s="49"/>
      <c r="AJ486" s="49"/>
      <c r="AK486" s="49"/>
      <c r="AL486" s="49"/>
      <c r="AM486" s="49"/>
      <c r="AN486" s="49"/>
      <c r="AO486" s="49"/>
      <c r="AP486" s="49"/>
      <c r="AQ486" s="49"/>
      <c r="AR486" s="49"/>
      <c r="AS486" s="49"/>
      <c r="AT486" s="49"/>
      <c r="AU486" s="49"/>
    </row>
    <row r="487" spans="1:47" ht="15">
      <c r="A487" s="49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  <c r="AG487" s="49"/>
      <c r="AH487" s="49"/>
      <c r="AI487" s="49"/>
      <c r="AJ487" s="49"/>
      <c r="AK487" s="49"/>
      <c r="AL487" s="49"/>
      <c r="AM487" s="49"/>
      <c r="AN487" s="49"/>
      <c r="AO487" s="49"/>
      <c r="AP487" s="49"/>
      <c r="AQ487" s="49"/>
      <c r="AR487" s="49"/>
      <c r="AS487" s="49"/>
      <c r="AT487" s="49"/>
      <c r="AU487" s="49"/>
    </row>
    <row r="488" spans="1:47" ht="15">
      <c r="A488" s="49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  <c r="AG488" s="49"/>
      <c r="AH488" s="49"/>
      <c r="AI488" s="49"/>
      <c r="AJ488" s="49"/>
      <c r="AK488" s="49"/>
      <c r="AL488" s="49"/>
      <c r="AM488" s="49"/>
      <c r="AN488" s="49"/>
      <c r="AO488" s="49"/>
      <c r="AP488" s="49"/>
      <c r="AQ488" s="49"/>
      <c r="AR488" s="49"/>
      <c r="AS488" s="49"/>
      <c r="AT488" s="49"/>
      <c r="AU488" s="49"/>
    </row>
    <row r="489" spans="1:47" ht="15">
      <c r="A489" s="49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  <c r="AG489" s="49"/>
      <c r="AH489" s="49"/>
      <c r="AI489" s="49"/>
      <c r="AJ489" s="49"/>
      <c r="AK489" s="49"/>
      <c r="AL489" s="49"/>
      <c r="AM489" s="49"/>
      <c r="AN489" s="49"/>
      <c r="AO489" s="49"/>
      <c r="AP489" s="49"/>
      <c r="AQ489" s="49"/>
      <c r="AR489" s="49"/>
      <c r="AS489" s="49"/>
      <c r="AT489" s="49"/>
      <c r="AU489" s="49"/>
    </row>
    <row r="490" spans="1:47" ht="15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  <c r="AG490" s="49"/>
      <c r="AH490" s="49"/>
      <c r="AI490" s="49"/>
      <c r="AJ490" s="49"/>
      <c r="AK490" s="49"/>
      <c r="AL490" s="49"/>
      <c r="AM490" s="49"/>
      <c r="AN490" s="49"/>
      <c r="AO490" s="49"/>
      <c r="AP490" s="49"/>
      <c r="AQ490" s="49"/>
      <c r="AR490" s="49"/>
      <c r="AS490" s="49"/>
      <c r="AT490" s="49"/>
      <c r="AU490" s="49"/>
    </row>
    <row r="491" spans="1:47" ht="15">
      <c r="A491" s="49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  <c r="AD491" s="49"/>
      <c r="AE491" s="49"/>
      <c r="AF491" s="49"/>
      <c r="AG491" s="49"/>
      <c r="AH491" s="49"/>
      <c r="AI491" s="49"/>
      <c r="AJ491" s="49"/>
      <c r="AK491" s="49"/>
      <c r="AL491" s="49"/>
      <c r="AM491" s="49"/>
      <c r="AN491" s="49"/>
      <c r="AO491" s="49"/>
      <c r="AP491" s="49"/>
      <c r="AQ491" s="49"/>
      <c r="AR491" s="49"/>
      <c r="AS491" s="49"/>
      <c r="AT491" s="49"/>
      <c r="AU491" s="49"/>
    </row>
    <row r="492" spans="1:47" ht="15">
      <c r="A492" s="49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  <c r="AD492" s="49"/>
      <c r="AE492" s="49"/>
      <c r="AF492" s="49"/>
      <c r="AG492" s="49"/>
      <c r="AH492" s="49"/>
      <c r="AI492" s="49"/>
      <c r="AJ492" s="49"/>
      <c r="AK492" s="49"/>
      <c r="AL492" s="49"/>
      <c r="AM492" s="49"/>
      <c r="AN492" s="49"/>
      <c r="AO492" s="49"/>
      <c r="AP492" s="49"/>
      <c r="AQ492" s="49"/>
      <c r="AR492" s="49"/>
      <c r="AS492" s="49"/>
      <c r="AT492" s="49"/>
      <c r="AU492" s="49"/>
    </row>
    <row r="493" spans="1:47" ht="15">
      <c r="A493" s="49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  <c r="AG493" s="49"/>
      <c r="AH493" s="49"/>
      <c r="AI493" s="49"/>
      <c r="AJ493" s="49"/>
      <c r="AK493" s="49"/>
      <c r="AL493" s="49"/>
      <c r="AM493" s="49"/>
      <c r="AN493" s="49"/>
      <c r="AO493" s="49"/>
      <c r="AP493" s="49"/>
      <c r="AQ493" s="49"/>
      <c r="AR493" s="49"/>
      <c r="AS493" s="49"/>
      <c r="AT493" s="49"/>
      <c r="AU493" s="49"/>
    </row>
    <row r="494" spans="1:47" ht="15">
      <c r="A494" s="49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  <c r="AG494" s="49"/>
      <c r="AH494" s="49"/>
      <c r="AI494" s="49"/>
      <c r="AJ494" s="49"/>
      <c r="AK494" s="49"/>
      <c r="AL494" s="49"/>
      <c r="AM494" s="49"/>
      <c r="AN494" s="49"/>
      <c r="AO494" s="49"/>
      <c r="AP494" s="49"/>
      <c r="AQ494" s="49"/>
      <c r="AR494" s="49"/>
      <c r="AS494" s="49"/>
      <c r="AT494" s="49"/>
      <c r="AU494" s="49"/>
    </row>
    <row r="495" spans="1:47" ht="15">
      <c r="A495" s="49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49"/>
      <c r="AF495" s="49"/>
      <c r="AG495" s="49"/>
      <c r="AH495" s="49"/>
      <c r="AI495" s="49"/>
      <c r="AJ495" s="49"/>
      <c r="AK495" s="49"/>
      <c r="AL495" s="49"/>
      <c r="AM495" s="49"/>
      <c r="AN495" s="49"/>
      <c r="AO495" s="49"/>
      <c r="AP495" s="49"/>
      <c r="AQ495" s="49"/>
      <c r="AR495" s="49"/>
      <c r="AS495" s="49"/>
      <c r="AT495" s="49"/>
      <c r="AU495" s="49"/>
    </row>
    <row r="496" spans="1:47" ht="15">
      <c r="A496" s="49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49"/>
      <c r="AF496" s="49"/>
      <c r="AG496" s="49"/>
      <c r="AH496" s="49"/>
      <c r="AI496" s="49"/>
      <c r="AJ496" s="49"/>
      <c r="AK496" s="49"/>
      <c r="AL496" s="49"/>
      <c r="AM496" s="49"/>
      <c r="AN496" s="49"/>
      <c r="AO496" s="49"/>
      <c r="AP496" s="49"/>
      <c r="AQ496" s="49"/>
      <c r="AR496" s="49"/>
      <c r="AS496" s="49"/>
      <c r="AT496" s="49"/>
      <c r="AU496" s="49"/>
    </row>
    <row r="497" spans="1:47" ht="15">
      <c r="A497" s="49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  <c r="AD497" s="49"/>
      <c r="AE497" s="49"/>
      <c r="AF497" s="49"/>
      <c r="AG497" s="49"/>
      <c r="AH497" s="49"/>
      <c r="AI497" s="49"/>
      <c r="AJ497" s="49"/>
      <c r="AK497" s="49"/>
      <c r="AL497" s="49"/>
      <c r="AM497" s="49"/>
      <c r="AN497" s="49"/>
      <c r="AO497" s="49"/>
      <c r="AP497" s="49"/>
      <c r="AQ497" s="49"/>
      <c r="AR497" s="49"/>
      <c r="AS497" s="49"/>
      <c r="AT497" s="49"/>
      <c r="AU497" s="49"/>
    </row>
    <row r="498" spans="1:47" ht="15">
      <c r="A498" s="49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  <c r="AG498" s="49"/>
      <c r="AH498" s="49"/>
      <c r="AI498" s="49"/>
      <c r="AJ498" s="49"/>
      <c r="AK498" s="49"/>
      <c r="AL498" s="49"/>
      <c r="AM498" s="49"/>
      <c r="AN498" s="49"/>
      <c r="AO498" s="49"/>
      <c r="AP498" s="49"/>
      <c r="AQ498" s="49"/>
      <c r="AR498" s="49"/>
      <c r="AS498" s="49"/>
      <c r="AT498" s="49"/>
      <c r="AU498" s="49"/>
    </row>
    <row r="499" spans="1:47" ht="15">
      <c r="A499" s="49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  <c r="AF499" s="49"/>
      <c r="AG499" s="49"/>
      <c r="AH499" s="49"/>
      <c r="AI499" s="49"/>
      <c r="AJ499" s="49"/>
      <c r="AK499" s="49"/>
      <c r="AL499" s="49"/>
      <c r="AM499" s="49"/>
      <c r="AN499" s="49"/>
      <c r="AO499" s="49"/>
      <c r="AP499" s="49"/>
      <c r="AQ499" s="49"/>
      <c r="AR499" s="49"/>
      <c r="AS499" s="49"/>
      <c r="AT499" s="49"/>
      <c r="AU499" s="49"/>
    </row>
    <row r="500" spans="1:47" ht="15">
      <c r="A500" s="49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49"/>
      <c r="AE500" s="49"/>
      <c r="AF500" s="49"/>
      <c r="AG500" s="49"/>
      <c r="AH500" s="49"/>
      <c r="AI500" s="49"/>
      <c r="AJ500" s="49"/>
      <c r="AK500" s="49"/>
      <c r="AL500" s="49"/>
      <c r="AM500" s="49"/>
      <c r="AN500" s="49"/>
      <c r="AO500" s="49"/>
      <c r="AP500" s="49"/>
      <c r="AQ500" s="49"/>
      <c r="AR500" s="49"/>
      <c r="AS500" s="49"/>
      <c r="AT500" s="49"/>
      <c r="AU500" s="49"/>
    </row>
    <row r="501" spans="1:47" ht="15">
      <c r="A501" s="49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  <c r="AG501" s="49"/>
      <c r="AH501" s="49"/>
      <c r="AI501" s="49"/>
      <c r="AJ501" s="49"/>
      <c r="AK501" s="49"/>
      <c r="AL501" s="49"/>
      <c r="AM501" s="49"/>
      <c r="AN501" s="49"/>
      <c r="AO501" s="49"/>
      <c r="AP501" s="49"/>
      <c r="AQ501" s="49"/>
      <c r="AR501" s="49"/>
      <c r="AS501" s="49"/>
      <c r="AT501" s="49"/>
      <c r="AU501" s="49"/>
    </row>
    <row r="502" spans="1:47" ht="15">
      <c r="A502" s="49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  <c r="AG502" s="49"/>
      <c r="AH502" s="49"/>
      <c r="AI502" s="49"/>
      <c r="AJ502" s="49"/>
      <c r="AK502" s="49"/>
      <c r="AL502" s="49"/>
      <c r="AM502" s="49"/>
      <c r="AN502" s="49"/>
      <c r="AO502" s="49"/>
      <c r="AP502" s="49"/>
      <c r="AQ502" s="49"/>
      <c r="AR502" s="49"/>
      <c r="AS502" s="49"/>
      <c r="AT502" s="49"/>
      <c r="AU502" s="49"/>
    </row>
    <row r="503" spans="1:47" ht="15">
      <c r="A503" s="49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  <c r="AG503" s="49"/>
      <c r="AH503" s="49"/>
      <c r="AI503" s="49"/>
      <c r="AJ503" s="49"/>
      <c r="AK503" s="49"/>
      <c r="AL503" s="49"/>
      <c r="AM503" s="49"/>
      <c r="AN503" s="49"/>
      <c r="AO503" s="49"/>
      <c r="AP503" s="49"/>
      <c r="AQ503" s="49"/>
      <c r="AR503" s="49"/>
      <c r="AS503" s="49"/>
      <c r="AT503" s="49"/>
      <c r="AU503" s="49"/>
    </row>
    <row r="504" spans="1:47" ht="15">
      <c r="A504" s="49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  <c r="AG504" s="49"/>
      <c r="AH504" s="49"/>
      <c r="AI504" s="49"/>
      <c r="AJ504" s="49"/>
      <c r="AK504" s="49"/>
      <c r="AL504" s="49"/>
      <c r="AM504" s="49"/>
      <c r="AN504" s="49"/>
      <c r="AO504" s="49"/>
      <c r="AP504" s="49"/>
      <c r="AQ504" s="49"/>
      <c r="AR504" s="49"/>
      <c r="AS504" s="49"/>
      <c r="AT504" s="49"/>
      <c r="AU504" s="49"/>
    </row>
    <row r="505" spans="1:47" ht="15">
      <c r="A505" s="49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49"/>
      <c r="AF505" s="49"/>
      <c r="AG505" s="49"/>
      <c r="AH505" s="49"/>
      <c r="AI505" s="49"/>
      <c r="AJ505" s="49"/>
      <c r="AK505" s="49"/>
      <c r="AL505" s="49"/>
      <c r="AM505" s="49"/>
      <c r="AN505" s="49"/>
      <c r="AO505" s="49"/>
      <c r="AP505" s="49"/>
      <c r="AQ505" s="49"/>
      <c r="AR505" s="49"/>
      <c r="AS505" s="49"/>
      <c r="AT505" s="49"/>
      <c r="AU505" s="49"/>
    </row>
    <row r="506" spans="1:47" ht="15">
      <c r="A506" s="49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  <c r="AG506" s="49"/>
      <c r="AH506" s="49"/>
      <c r="AI506" s="49"/>
      <c r="AJ506" s="49"/>
      <c r="AK506" s="49"/>
      <c r="AL506" s="49"/>
      <c r="AM506" s="49"/>
      <c r="AN506" s="49"/>
      <c r="AO506" s="49"/>
      <c r="AP506" s="49"/>
      <c r="AQ506" s="49"/>
      <c r="AR506" s="49"/>
      <c r="AS506" s="49"/>
      <c r="AT506" s="49"/>
      <c r="AU506" s="49"/>
    </row>
    <row r="507" spans="1:47" ht="15">
      <c r="A507" s="49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  <c r="AF507" s="49"/>
      <c r="AG507" s="49"/>
      <c r="AH507" s="49"/>
      <c r="AI507" s="49"/>
      <c r="AJ507" s="49"/>
      <c r="AK507" s="49"/>
      <c r="AL507" s="49"/>
      <c r="AM507" s="49"/>
      <c r="AN507" s="49"/>
      <c r="AO507" s="49"/>
      <c r="AP507" s="49"/>
      <c r="AQ507" s="49"/>
      <c r="AR507" s="49"/>
      <c r="AS507" s="49"/>
      <c r="AT507" s="49"/>
      <c r="AU507" s="49"/>
    </row>
    <row r="508" spans="1:47" ht="15">
      <c r="A508" s="49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  <c r="AD508" s="49"/>
      <c r="AE508" s="49"/>
      <c r="AF508" s="49"/>
      <c r="AG508" s="49"/>
      <c r="AH508" s="49"/>
      <c r="AI508" s="49"/>
      <c r="AJ508" s="49"/>
      <c r="AK508" s="49"/>
      <c r="AL508" s="49"/>
      <c r="AM508" s="49"/>
      <c r="AN508" s="49"/>
      <c r="AO508" s="49"/>
      <c r="AP508" s="49"/>
      <c r="AQ508" s="49"/>
      <c r="AR508" s="49"/>
      <c r="AS508" s="49"/>
      <c r="AT508" s="49"/>
      <c r="AU508" s="49"/>
    </row>
    <row r="509" spans="1:47" ht="15">
      <c r="A509" s="49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  <c r="AF509" s="49"/>
      <c r="AG509" s="49"/>
      <c r="AH509" s="49"/>
      <c r="AI509" s="49"/>
      <c r="AJ509" s="49"/>
      <c r="AK509" s="49"/>
      <c r="AL509" s="49"/>
      <c r="AM509" s="49"/>
      <c r="AN509" s="49"/>
      <c r="AO509" s="49"/>
      <c r="AP509" s="49"/>
      <c r="AQ509" s="49"/>
      <c r="AR509" s="49"/>
      <c r="AS509" s="49"/>
      <c r="AT509" s="49"/>
      <c r="AU509" s="49"/>
    </row>
    <row r="510" spans="1:47" ht="15">
      <c r="A510" s="49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  <c r="AD510" s="49"/>
      <c r="AE510" s="49"/>
      <c r="AF510" s="49"/>
      <c r="AG510" s="49"/>
      <c r="AH510" s="49"/>
      <c r="AI510" s="49"/>
      <c r="AJ510" s="49"/>
      <c r="AK510" s="49"/>
      <c r="AL510" s="49"/>
      <c r="AM510" s="49"/>
      <c r="AN510" s="49"/>
      <c r="AO510" s="49"/>
      <c r="AP510" s="49"/>
      <c r="AQ510" s="49"/>
      <c r="AR510" s="49"/>
      <c r="AS510" s="49"/>
      <c r="AT510" s="49"/>
      <c r="AU510" s="49"/>
    </row>
    <row r="511" spans="1:47" ht="15">
      <c r="A511" s="49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  <c r="AD511" s="49"/>
      <c r="AE511" s="49"/>
      <c r="AF511" s="49"/>
      <c r="AG511" s="49"/>
      <c r="AH511" s="49"/>
      <c r="AI511" s="49"/>
      <c r="AJ511" s="49"/>
      <c r="AK511" s="49"/>
      <c r="AL511" s="49"/>
      <c r="AM511" s="49"/>
      <c r="AN511" s="49"/>
      <c r="AO511" s="49"/>
      <c r="AP511" s="49"/>
      <c r="AQ511" s="49"/>
      <c r="AR511" s="49"/>
      <c r="AS511" s="49"/>
      <c r="AT511" s="49"/>
      <c r="AU511" s="49"/>
    </row>
    <row r="512" spans="1:47" ht="15">
      <c r="A512" s="49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  <c r="AF512" s="49"/>
      <c r="AG512" s="49"/>
      <c r="AH512" s="49"/>
      <c r="AI512" s="49"/>
      <c r="AJ512" s="49"/>
      <c r="AK512" s="49"/>
      <c r="AL512" s="49"/>
      <c r="AM512" s="49"/>
      <c r="AN512" s="49"/>
      <c r="AO512" s="49"/>
      <c r="AP512" s="49"/>
      <c r="AQ512" s="49"/>
      <c r="AR512" s="49"/>
      <c r="AS512" s="49"/>
      <c r="AT512" s="49"/>
      <c r="AU512" s="49"/>
    </row>
    <row r="513" spans="1:47" ht="15">
      <c r="A513" s="49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  <c r="AG513" s="49"/>
      <c r="AH513" s="49"/>
      <c r="AI513" s="49"/>
      <c r="AJ513" s="49"/>
      <c r="AK513" s="49"/>
      <c r="AL513" s="49"/>
      <c r="AM513" s="49"/>
      <c r="AN513" s="49"/>
      <c r="AO513" s="49"/>
      <c r="AP513" s="49"/>
      <c r="AQ513" s="49"/>
      <c r="AR513" s="49"/>
      <c r="AS513" s="49"/>
      <c r="AT513" s="49"/>
      <c r="AU513" s="49"/>
    </row>
    <row r="514" spans="1:47" ht="15">
      <c r="A514" s="49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49"/>
      <c r="AF514" s="49"/>
      <c r="AG514" s="49"/>
      <c r="AH514" s="49"/>
      <c r="AI514" s="49"/>
      <c r="AJ514" s="49"/>
      <c r="AK514" s="49"/>
      <c r="AL514" s="49"/>
      <c r="AM514" s="49"/>
      <c r="AN514" s="49"/>
      <c r="AO514" s="49"/>
      <c r="AP514" s="49"/>
      <c r="AQ514" s="49"/>
      <c r="AR514" s="49"/>
      <c r="AS514" s="49"/>
      <c r="AT514" s="49"/>
      <c r="AU514" s="49"/>
    </row>
    <row r="515" spans="1:47" ht="15">
      <c r="A515" s="49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  <c r="AG515" s="49"/>
      <c r="AH515" s="49"/>
      <c r="AI515" s="49"/>
      <c r="AJ515" s="49"/>
      <c r="AK515" s="49"/>
      <c r="AL515" s="49"/>
      <c r="AM515" s="49"/>
      <c r="AN515" s="49"/>
      <c r="AO515" s="49"/>
      <c r="AP515" s="49"/>
      <c r="AQ515" s="49"/>
      <c r="AR515" s="49"/>
      <c r="AS515" s="49"/>
      <c r="AT515" s="49"/>
      <c r="AU515" s="49"/>
    </row>
    <row r="516" spans="1:47" ht="15">
      <c r="A516" s="49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49"/>
      <c r="AF516" s="49"/>
      <c r="AG516" s="49"/>
      <c r="AH516" s="49"/>
      <c r="AI516" s="49"/>
      <c r="AJ516" s="49"/>
      <c r="AK516" s="49"/>
      <c r="AL516" s="49"/>
      <c r="AM516" s="49"/>
      <c r="AN516" s="49"/>
      <c r="AO516" s="49"/>
      <c r="AP516" s="49"/>
      <c r="AQ516" s="49"/>
      <c r="AR516" s="49"/>
      <c r="AS516" s="49"/>
      <c r="AT516" s="49"/>
      <c r="AU516" s="49"/>
    </row>
    <row r="517" spans="1:47" ht="15">
      <c r="A517" s="49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  <c r="AG517" s="49"/>
      <c r="AH517" s="49"/>
      <c r="AI517" s="49"/>
      <c r="AJ517" s="49"/>
      <c r="AK517" s="49"/>
      <c r="AL517" s="49"/>
      <c r="AM517" s="49"/>
      <c r="AN517" s="49"/>
      <c r="AO517" s="49"/>
      <c r="AP517" s="49"/>
      <c r="AQ517" s="49"/>
      <c r="AR517" s="49"/>
      <c r="AS517" s="49"/>
      <c r="AT517" s="49"/>
      <c r="AU517" s="49"/>
    </row>
    <row r="518" spans="1:47" ht="15">
      <c r="A518" s="49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  <c r="AG518" s="49"/>
      <c r="AH518" s="49"/>
      <c r="AI518" s="49"/>
      <c r="AJ518" s="49"/>
      <c r="AK518" s="49"/>
      <c r="AL518" s="49"/>
      <c r="AM518" s="49"/>
      <c r="AN518" s="49"/>
      <c r="AO518" s="49"/>
      <c r="AP518" s="49"/>
      <c r="AQ518" s="49"/>
      <c r="AR518" s="49"/>
      <c r="AS518" s="49"/>
      <c r="AT518" s="49"/>
      <c r="AU518" s="49"/>
    </row>
    <row r="519" spans="1:47" ht="15">
      <c r="A519" s="49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  <c r="AG519" s="49"/>
      <c r="AH519" s="49"/>
      <c r="AI519" s="49"/>
      <c r="AJ519" s="49"/>
      <c r="AK519" s="49"/>
      <c r="AL519" s="49"/>
      <c r="AM519" s="49"/>
      <c r="AN519" s="49"/>
      <c r="AO519" s="49"/>
      <c r="AP519" s="49"/>
      <c r="AQ519" s="49"/>
      <c r="AR519" s="49"/>
      <c r="AS519" s="49"/>
      <c r="AT519" s="49"/>
      <c r="AU519" s="49"/>
    </row>
    <row r="520" spans="1:47" ht="15">
      <c r="A520" s="49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  <c r="AG520" s="49"/>
      <c r="AH520" s="49"/>
      <c r="AI520" s="49"/>
      <c r="AJ520" s="49"/>
      <c r="AK520" s="49"/>
      <c r="AL520" s="49"/>
      <c r="AM520" s="49"/>
      <c r="AN520" s="49"/>
      <c r="AO520" s="49"/>
      <c r="AP520" s="49"/>
      <c r="AQ520" s="49"/>
      <c r="AR520" s="49"/>
      <c r="AS520" s="49"/>
      <c r="AT520" s="49"/>
      <c r="AU520" s="49"/>
    </row>
    <row r="521" spans="1:47" ht="15">
      <c r="A521" s="49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  <c r="AG521" s="49"/>
      <c r="AH521" s="49"/>
      <c r="AI521" s="49"/>
      <c r="AJ521" s="49"/>
      <c r="AK521" s="49"/>
      <c r="AL521" s="49"/>
      <c r="AM521" s="49"/>
      <c r="AN521" s="49"/>
      <c r="AO521" s="49"/>
      <c r="AP521" s="49"/>
      <c r="AQ521" s="49"/>
      <c r="AR521" s="49"/>
      <c r="AS521" s="49"/>
      <c r="AT521" s="49"/>
      <c r="AU521" s="49"/>
    </row>
    <row r="522" spans="1:47" ht="15">
      <c r="A522" s="49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  <c r="AG522" s="49"/>
      <c r="AH522" s="49"/>
      <c r="AI522" s="49"/>
      <c r="AJ522" s="49"/>
      <c r="AK522" s="49"/>
      <c r="AL522" s="49"/>
      <c r="AM522" s="49"/>
      <c r="AN522" s="49"/>
      <c r="AO522" s="49"/>
      <c r="AP522" s="49"/>
      <c r="AQ522" s="49"/>
      <c r="AR522" s="49"/>
      <c r="AS522" s="49"/>
      <c r="AT522" s="49"/>
      <c r="AU522" s="49"/>
    </row>
    <row r="523" spans="1:47" ht="15">
      <c r="A523" s="49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  <c r="AG523" s="49"/>
      <c r="AH523" s="49"/>
      <c r="AI523" s="49"/>
      <c r="AJ523" s="49"/>
      <c r="AK523" s="49"/>
      <c r="AL523" s="49"/>
      <c r="AM523" s="49"/>
      <c r="AN523" s="49"/>
      <c r="AO523" s="49"/>
      <c r="AP523" s="49"/>
      <c r="AQ523" s="49"/>
      <c r="AR523" s="49"/>
      <c r="AS523" s="49"/>
      <c r="AT523" s="49"/>
      <c r="AU523" s="49"/>
    </row>
    <row r="524" spans="1:47" ht="15">
      <c r="A524" s="49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  <c r="AG524" s="49"/>
      <c r="AH524" s="49"/>
      <c r="AI524" s="49"/>
      <c r="AJ524" s="49"/>
      <c r="AK524" s="49"/>
      <c r="AL524" s="49"/>
      <c r="AM524" s="49"/>
      <c r="AN524" s="49"/>
      <c r="AO524" s="49"/>
      <c r="AP524" s="49"/>
      <c r="AQ524" s="49"/>
      <c r="AR524" s="49"/>
      <c r="AS524" s="49"/>
      <c r="AT524" s="49"/>
      <c r="AU524" s="49"/>
    </row>
    <row r="525" spans="1:47" ht="15">
      <c r="A525" s="49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  <c r="AG525" s="49"/>
      <c r="AH525" s="49"/>
      <c r="AI525" s="49"/>
      <c r="AJ525" s="49"/>
      <c r="AK525" s="49"/>
      <c r="AL525" s="49"/>
      <c r="AM525" s="49"/>
      <c r="AN525" s="49"/>
      <c r="AO525" s="49"/>
      <c r="AP525" s="49"/>
      <c r="AQ525" s="49"/>
      <c r="AR525" s="49"/>
      <c r="AS525" s="49"/>
      <c r="AT525" s="49"/>
      <c r="AU525" s="49"/>
    </row>
    <row r="526" spans="1:47" ht="15">
      <c r="A526" s="49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  <c r="AG526" s="49"/>
      <c r="AH526" s="49"/>
      <c r="AI526" s="49"/>
      <c r="AJ526" s="49"/>
      <c r="AK526" s="49"/>
      <c r="AL526" s="49"/>
      <c r="AM526" s="49"/>
      <c r="AN526" s="49"/>
      <c r="AO526" s="49"/>
      <c r="AP526" s="49"/>
      <c r="AQ526" s="49"/>
      <c r="AR526" s="49"/>
      <c r="AS526" s="49"/>
      <c r="AT526" s="49"/>
      <c r="AU526" s="49"/>
    </row>
    <row r="527" spans="1:47" ht="15">
      <c r="A527" s="49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  <c r="AG527" s="49"/>
      <c r="AH527" s="49"/>
      <c r="AI527" s="49"/>
      <c r="AJ527" s="49"/>
      <c r="AK527" s="49"/>
      <c r="AL527" s="49"/>
      <c r="AM527" s="49"/>
      <c r="AN527" s="49"/>
      <c r="AO527" s="49"/>
      <c r="AP527" s="49"/>
      <c r="AQ527" s="49"/>
      <c r="AR527" s="49"/>
      <c r="AS527" s="49"/>
      <c r="AT527" s="49"/>
      <c r="AU527" s="49"/>
    </row>
    <row r="528" spans="1:47" ht="15">
      <c r="A528" s="49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  <c r="AG528" s="49"/>
      <c r="AH528" s="49"/>
      <c r="AI528" s="49"/>
      <c r="AJ528" s="49"/>
      <c r="AK528" s="49"/>
      <c r="AL528" s="49"/>
      <c r="AM528" s="49"/>
      <c r="AN528" s="49"/>
      <c r="AO528" s="49"/>
      <c r="AP528" s="49"/>
      <c r="AQ528" s="49"/>
      <c r="AR528" s="49"/>
      <c r="AS528" s="49"/>
      <c r="AT528" s="49"/>
      <c r="AU528" s="49"/>
    </row>
    <row r="529" spans="1:47" ht="15">
      <c r="A529" s="49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  <c r="AG529" s="49"/>
      <c r="AH529" s="49"/>
      <c r="AI529" s="49"/>
      <c r="AJ529" s="49"/>
      <c r="AK529" s="49"/>
      <c r="AL529" s="49"/>
      <c r="AM529" s="49"/>
      <c r="AN529" s="49"/>
      <c r="AO529" s="49"/>
      <c r="AP529" s="49"/>
      <c r="AQ529" s="49"/>
      <c r="AR529" s="49"/>
      <c r="AS529" s="49"/>
      <c r="AT529" s="49"/>
      <c r="AU529" s="49"/>
    </row>
    <row r="530" spans="1:47" ht="15">
      <c r="A530" s="49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  <c r="AG530" s="49"/>
      <c r="AH530" s="49"/>
      <c r="AI530" s="49"/>
      <c r="AJ530" s="49"/>
      <c r="AK530" s="49"/>
      <c r="AL530" s="49"/>
      <c r="AM530" s="49"/>
      <c r="AN530" s="49"/>
      <c r="AO530" s="49"/>
      <c r="AP530" s="49"/>
      <c r="AQ530" s="49"/>
      <c r="AR530" s="49"/>
      <c r="AS530" s="49"/>
      <c r="AT530" s="49"/>
      <c r="AU530" s="49"/>
    </row>
    <row r="531" spans="1:47" ht="15">
      <c r="A531" s="49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  <c r="AG531" s="49"/>
      <c r="AH531" s="49"/>
      <c r="AI531" s="49"/>
      <c r="AJ531" s="49"/>
      <c r="AK531" s="49"/>
      <c r="AL531" s="49"/>
      <c r="AM531" s="49"/>
      <c r="AN531" s="49"/>
      <c r="AO531" s="49"/>
      <c r="AP531" s="49"/>
      <c r="AQ531" s="49"/>
      <c r="AR531" s="49"/>
      <c r="AS531" s="49"/>
      <c r="AT531" s="49"/>
      <c r="AU531" s="49"/>
    </row>
    <row r="532" spans="1:47" ht="15">
      <c r="A532" s="49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  <c r="AG532" s="49"/>
      <c r="AH532" s="49"/>
      <c r="AI532" s="49"/>
      <c r="AJ532" s="49"/>
      <c r="AK532" s="49"/>
      <c r="AL532" s="49"/>
      <c r="AM532" s="49"/>
      <c r="AN532" s="49"/>
      <c r="AO532" s="49"/>
      <c r="AP532" s="49"/>
      <c r="AQ532" s="49"/>
      <c r="AR532" s="49"/>
      <c r="AS532" s="49"/>
      <c r="AT532" s="49"/>
      <c r="AU532" s="49"/>
    </row>
    <row r="533" spans="1:47" ht="15">
      <c r="A533" s="49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  <c r="AG533" s="49"/>
      <c r="AH533" s="49"/>
      <c r="AI533" s="49"/>
      <c r="AJ533" s="49"/>
      <c r="AK533" s="49"/>
      <c r="AL533" s="49"/>
      <c r="AM533" s="49"/>
      <c r="AN533" s="49"/>
      <c r="AO533" s="49"/>
      <c r="AP533" s="49"/>
      <c r="AQ533" s="49"/>
      <c r="AR533" s="49"/>
      <c r="AS533" s="49"/>
      <c r="AT533" s="49"/>
      <c r="AU533" s="49"/>
    </row>
    <row r="534" spans="1:47" ht="15">
      <c r="A534" s="49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  <c r="AG534" s="49"/>
      <c r="AH534" s="49"/>
      <c r="AI534" s="49"/>
      <c r="AJ534" s="49"/>
      <c r="AK534" s="49"/>
      <c r="AL534" s="49"/>
      <c r="AM534" s="49"/>
      <c r="AN534" s="49"/>
      <c r="AO534" s="49"/>
      <c r="AP534" s="49"/>
      <c r="AQ534" s="49"/>
      <c r="AR534" s="49"/>
      <c r="AS534" s="49"/>
      <c r="AT534" s="49"/>
      <c r="AU534" s="49"/>
    </row>
    <row r="535" spans="1:47" ht="15">
      <c r="A535" s="49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  <c r="AG535" s="49"/>
      <c r="AH535" s="49"/>
      <c r="AI535" s="49"/>
      <c r="AJ535" s="49"/>
      <c r="AK535" s="49"/>
      <c r="AL535" s="49"/>
      <c r="AM535" s="49"/>
      <c r="AN535" s="49"/>
      <c r="AO535" s="49"/>
      <c r="AP535" s="49"/>
      <c r="AQ535" s="49"/>
      <c r="AR535" s="49"/>
      <c r="AS535" s="49"/>
      <c r="AT535" s="49"/>
      <c r="AU535" s="49"/>
    </row>
    <row r="536" spans="1:47" ht="15">
      <c r="A536" s="49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  <c r="AG536" s="49"/>
      <c r="AH536" s="49"/>
      <c r="AI536" s="49"/>
      <c r="AJ536" s="49"/>
      <c r="AK536" s="49"/>
      <c r="AL536" s="49"/>
      <c r="AM536" s="49"/>
      <c r="AN536" s="49"/>
      <c r="AO536" s="49"/>
      <c r="AP536" s="49"/>
      <c r="AQ536" s="49"/>
      <c r="AR536" s="49"/>
      <c r="AS536" s="49"/>
      <c r="AT536" s="49"/>
      <c r="AU536" s="49"/>
    </row>
    <row r="537" spans="1:47" ht="15">
      <c r="A537" s="49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  <c r="AG537" s="49"/>
      <c r="AH537" s="49"/>
      <c r="AI537" s="49"/>
      <c r="AJ537" s="49"/>
      <c r="AK537" s="49"/>
      <c r="AL537" s="49"/>
      <c r="AM537" s="49"/>
      <c r="AN537" s="49"/>
      <c r="AO537" s="49"/>
      <c r="AP537" s="49"/>
      <c r="AQ537" s="49"/>
      <c r="AR537" s="49"/>
      <c r="AS537" s="49"/>
      <c r="AT537" s="49"/>
      <c r="AU537" s="49"/>
    </row>
    <row r="538" spans="1:47" ht="15">
      <c r="A538" s="49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  <c r="AG538" s="49"/>
      <c r="AH538" s="49"/>
      <c r="AI538" s="49"/>
      <c r="AJ538" s="49"/>
      <c r="AK538" s="49"/>
      <c r="AL538" s="49"/>
      <c r="AM538" s="49"/>
      <c r="AN538" s="49"/>
      <c r="AO538" s="49"/>
      <c r="AP538" s="49"/>
      <c r="AQ538" s="49"/>
      <c r="AR538" s="49"/>
      <c r="AS538" s="49"/>
      <c r="AT538" s="49"/>
      <c r="AU538" s="49"/>
    </row>
    <row r="539" spans="1:47" ht="15">
      <c r="A539" s="49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  <c r="AG539" s="49"/>
      <c r="AH539" s="49"/>
      <c r="AI539" s="49"/>
      <c r="AJ539" s="49"/>
      <c r="AK539" s="49"/>
      <c r="AL539" s="49"/>
      <c r="AM539" s="49"/>
      <c r="AN539" s="49"/>
      <c r="AO539" s="49"/>
      <c r="AP539" s="49"/>
      <c r="AQ539" s="49"/>
      <c r="AR539" s="49"/>
      <c r="AS539" s="49"/>
      <c r="AT539" s="49"/>
      <c r="AU539" s="49"/>
    </row>
    <row r="540" spans="1:47" ht="15">
      <c r="A540" s="49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  <c r="AG540" s="49"/>
      <c r="AH540" s="49"/>
      <c r="AI540" s="49"/>
      <c r="AJ540" s="49"/>
      <c r="AK540" s="49"/>
      <c r="AL540" s="49"/>
      <c r="AM540" s="49"/>
      <c r="AN540" s="49"/>
      <c r="AO540" s="49"/>
      <c r="AP540" s="49"/>
      <c r="AQ540" s="49"/>
      <c r="AR540" s="49"/>
      <c r="AS540" s="49"/>
      <c r="AT540" s="49"/>
      <c r="AU540" s="49"/>
    </row>
    <row r="541" spans="1:47" ht="15">
      <c r="A541" s="49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  <c r="AD541" s="49"/>
      <c r="AE541" s="49"/>
      <c r="AF541" s="49"/>
      <c r="AG541" s="49"/>
      <c r="AH541" s="49"/>
      <c r="AI541" s="49"/>
      <c r="AJ541" s="49"/>
      <c r="AK541" s="49"/>
      <c r="AL541" s="49"/>
      <c r="AM541" s="49"/>
      <c r="AN541" s="49"/>
      <c r="AO541" s="49"/>
      <c r="AP541" s="49"/>
      <c r="AQ541" s="49"/>
      <c r="AR541" s="49"/>
      <c r="AS541" s="49"/>
      <c r="AT541" s="49"/>
      <c r="AU541" s="49"/>
    </row>
    <row r="542" spans="1:47" ht="15">
      <c r="A542" s="49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  <c r="AD542" s="49"/>
      <c r="AE542" s="49"/>
      <c r="AF542" s="49"/>
      <c r="AG542" s="49"/>
      <c r="AH542" s="49"/>
      <c r="AI542" s="49"/>
      <c r="AJ542" s="49"/>
      <c r="AK542" s="49"/>
      <c r="AL542" s="49"/>
      <c r="AM542" s="49"/>
      <c r="AN542" s="49"/>
      <c r="AO542" s="49"/>
      <c r="AP542" s="49"/>
      <c r="AQ542" s="49"/>
      <c r="AR542" s="49"/>
      <c r="AS542" s="49"/>
      <c r="AT542" s="49"/>
      <c r="AU542" s="49"/>
    </row>
    <row r="543" spans="1:47" ht="15">
      <c r="A543" s="49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49"/>
      <c r="AS543" s="49"/>
      <c r="AT543" s="49"/>
      <c r="AU543" s="49"/>
    </row>
    <row r="544" spans="1:47" ht="15">
      <c r="A544" s="49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49"/>
      <c r="AF544" s="49"/>
      <c r="AG544" s="49"/>
      <c r="AH544" s="49"/>
      <c r="AI544" s="49"/>
      <c r="AJ544" s="49"/>
      <c r="AK544" s="49"/>
      <c r="AL544" s="49"/>
      <c r="AM544" s="49"/>
      <c r="AN544" s="49"/>
      <c r="AO544" s="49"/>
      <c r="AP544" s="49"/>
      <c r="AQ544" s="49"/>
      <c r="AR544" s="49"/>
      <c r="AS544" s="49"/>
      <c r="AT544" s="49"/>
      <c r="AU544" s="49"/>
    </row>
    <row r="545" spans="1:47" ht="15">
      <c r="A545" s="49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  <c r="AD545" s="49"/>
      <c r="AE545" s="49"/>
      <c r="AF545" s="49"/>
      <c r="AG545" s="49"/>
      <c r="AH545" s="49"/>
      <c r="AI545" s="49"/>
      <c r="AJ545" s="49"/>
      <c r="AK545" s="49"/>
      <c r="AL545" s="49"/>
      <c r="AM545" s="49"/>
      <c r="AN545" s="49"/>
      <c r="AO545" s="49"/>
      <c r="AP545" s="49"/>
      <c r="AQ545" s="49"/>
      <c r="AR545" s="49"/>
      <c r="AS545" s="49"/>
      <c r="AT545" s="49"/>
      <c r="AU545" s="49"/>
    </row>
    <row r="546" spans="1:47" ht="15">
      <c r="A546" s="49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49"/>
      <c r="AF546" s="49"/>
      <c r="AG546" s="49"/>
      <c r="AH546" s="49"/>
      <c r="AI546" s="49"/>
      <c r="AJ546" s="49"/>
      <c r="AK546" s="49"/>
      <c r="AL546" s="49"/>
      <c r="AM546" s="49"/>
      <c r="AN546" s="49"/>
      <c r="AO546" s="49"/>
      <c r="AP546" s="49"/>
      <c r="AQ546" s="49"/>
      <c r="AR546" s="49"/>
      <c r="AS546" s="49"/>
      <c r="AT546" s="49"/>
      <c r="AU546" s="49"/>
    </row>
    <row r="547" spans="1:47" ht="15">
      <c r="A547" s="49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  <c r="AD547" s="49"/>
      <c r="AE547" s="49"/>
      <c r="AF547" s="49"/>
      <c r="AG547" s="49"/>
      <c r="AH547" s="49"/>
      <c r="AI547" s="49"/>
      <c r="AJ547" s="49"/>
      <c r="AK547" s="49"/>
      <c r="AL547" s="49"/>
      <c r="AM547" s="49"/>
      <c r="AN547" s="49"/>
      <c r="AO547" s="49"/>
      <c r="AP547" s="49"/>
      <c r="AQ547" s="49"/>
      <c r="AR547" s="49"/>
      <c r="AS547" s="49"/>
      <c r="AT547" s="49"/>
      <c r="AU547" s="49"/>
    </row>
    <row r="548" spans="1:47" ht="15">
      <c r="A548" s="49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  <c r="AD548" s="49"/>
      <c r="AE548" s="49"/>
      <c r="AF548" s="49"/>
      <c r="AG548" s="49"/>
      <c r="AH548" s="49"/>
      <c r="AI548" s="49"/>
      <c r="AJ548" s="49"/>
      <c r="AK548" s="49"/>
      <c r="AL548" s="49"/>
      <c r="AM548" s="49"/>
      <c r="AN548" s="49"/>
      <c r="AO548" s="49"/>
      <c r="AP548" s="49"/>
      <c r="AQ548" s="49"/>
      <c r="AR548" s="49"/>
      <c r="AS548" s="49"/>
      <c r="AT548" s="49"/>
      <c r="AU548" s="49"/>
    </row>
    <row r="549" spans="1:47" ht="15">
      <c r="A549" s="49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  <c r="AD549" s="49"/>
      <c r="AE549" s="49"/>
      <c r="AF549" s="49"/>
      <c r="AG549" s="49"/>
      <c r="AH549" s="49"/>
      <c r="AI549" s="49"/>
      <c r="AJ549" s="49"/>
      <c r="AK549" s="49"/>
      <c r="AL549" s="49"/>
      <c r="AM549" s="49"/>
      <c r="AN549" s="49"/>
      <c r="AO549" s="49"/>
      <c r="AP549" s="49"/>
      <c r="AQ549" s="49"/>
      <c r="AR549" s="49"/>
      <c r="AS549" s="49"/>
      <c r="AT549" s="49"/>
      <c r="AU549" s="49"/>
    </row>
    <row r="550" spans="1:47" ht="15">
      <c r="A550" s="49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  <c r="AA550" s="49"/>
      <c r="AB550" s="49"/>
      <c r="AC550" s="49"/>
      <c r="AD550" s="49"/>
      <c r="AE550" s="49"/>
      <c r="AF550" s="49"/>
      <c r="AG550" s="49"/>
      <c r="AH550" s="49"/>
      <c r="AI550" s="49"/>
      <c r="AJ550" s="49"/>
      <c r="AK550" s="49"/>
      <c r="AL550" s="49"/>
      <c r="AM550" s="49"/>
      <c r="AN550" s="49"/>
      <c r="AO550" s="49"/>
      <c r="AP550" s="49"/>
      <c r="AQ550" s="49"/>
      <c r="AR550" s="49"/>
      <c r="AS550" s="49"/>
      <c r="AT550" s="49"/>
      <c r="AU550" s="49"/>
    </row>
    <row r="551" spans="1:47" ht="15">
      <c r="A551" s="49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  <c r="AD551" s="49"/>
      <c r="AE551" s="49"/>
      <c r="AF551" s="49"/>
      <c r="AG551" s="49"/>
      <c r="AH551" s="49"/>
      <c r="AI551" s="49"/>
      <c r="AJ551" s="49"/>
      <c r="AK551" s="49"/>
      <c r="AL551" s="49"/>
      <c r="AM551" s="49"/>
      <c r="AN551" s="49"/>
      <c r="AO551" s="49"/>
      <c r="AP551" s="49"/>
      <c r="AQ551" s="49"/>
      <c r="AR551" s="49"/>
      <c r="AS551" s="49"/>
      <c r="AT551" s="49"/>
      <c r="AU551" s="49"/>
    </row>
    <row r="552" spans="1:47" ht="15">
      <c r="A552" s="49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49"/>
      <c r="AH552" s="49"/>
      <c r="AI552" s="49"/>
      <c r="AJ552" s="49"/>
      <c r="AK552" s="49"/>
      <c r="AL552" s="49"/>
      <c r="AM552" s="49"/>
      <c r="AN552" s="49"/>
      <c r="AO552" s="49"/>
      <c r="AP552" s="49"/>
      <c r="AQ552" s="49"/>
      <c r="AR552" s="49"/>
      <c r="AS552" s="49"/>
      <c r="AT552" s="49"/>
      <c r="AU552" s="49"/>
    </row>
    <row r="553" spans="1:47" ht="15">
      <c r="A553" s="49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  <c r="AD553" s="49"/>
      <c r="AE553" s="49"/>
      <c r="AF553" s="49"/>
      <c r="AG553" s="49"/>
      <c r="AH553" s="49"/>
      <c r="AI553" s="49"/>
      <c r="AJ553" s="49"/>
      <c r="AK553" s="49"/>
      <c r="AL553" s="49"/>
      <c r="AM553" s="49"/>
      <c r="AN553" s="49"/>
      <c r="AO553" s="49"/>
      <c r="AP553" s="49"/>
      <c r="AQ553" s="49"/>
      <c r="AR553" s="49"/>
      <c r="AS553" s="49"/>
      <c r="AT553" s="49"/>
      <c r="AU553" s="49"/>
    </row>
    <row r="554" spans="1:47" ht="15">
      <c r="A554" s="49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  <c r="AD554" s="49"/>
      <c r="AE554" s="49"/>
      <c r="AF554" s="49"/>
      <c r="AG554" s="49"/>
      <c r="AH554" s="49"/>
      <c r="AI554" s="49"/>
      <c r="AJ554" s="49"/>
      <c r="AK554" s="49"/>
      <c r="AL554" s="49"/>
      <c r="AM554" s="49"/>
      <c r="AN554" s="49"/>
      <c r="AO554" s="49"/>
      <c r="AP554" s="49"/>
      <c r="AQ554" s="49"/>
      <c r="AR554" s="49"/>
      <c r="AS554" s="49"/>
      <c r="AT554" s="49"/>
      <c r="AU554" s="49"/>
    </row>
    <row r="555" spans="1:47" ht="15">
      <c r="A555" s="49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  <c r="AD555" s="49"/>
      <c r="AE555" s="49"/>
      <c r="AF555" s="49"/>
      <c r="AG555" s="49"/>
      <c r="AH555" s="49"/>
      <c r="AI555" s="49"/>
      <c r="AJ555" s="49"/>
      <c r="AK555" s="49"/>
      <c r="AL555" s="49"/>
      <c r="AM555" s="49"/>
      <c r="AN555" s="49"/>
      <c r="AO555" s="49"/>
      <c r="AP555" s="49"/>
      <c r="AQ555" s="49"/>
      <c r="AR555" s="49"/>
      <c r="AS555" s="49"/>
      <c r="AT555" s="49"/>
      <c r="AU555" s="49"/>
    </row>
    <row r="556" spans="1:47" ht="15">
      <c r="A556" s="49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  <c r="AD556" s="49"/>
      <c r="AE556" s="49"/>
      <c r="AF556" s="49"/>
      <c r="AG556" s="49"/>
      <c r="AH556" s="49"/>
      <c r="AI556" s="49"/>
      <c r="AJ556" s="49"/>
      <c r="AK556" s="49"/>
      <c r="AL556" s="49"/>
      <c r="AM556" s="49"/>
      <c r="AN556" s="49"/>
      <c r="AO556" s="49"/>
      <c r="AP556" s="49"/>
      <c r="AQ556" s="49"/>
      <c r="AR556" s="49"/>
      <c r="AS556" s="49"/>
      <c r="AT556" s="49"/>
      <c r="AU556" s="49"/>
    </row>
    <row r="557" spans="1:47" ht="15">
      <c r="A557" s="49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  <c r="AD557" s="49"/>
      <c r="AE557" s="49"/>
      <c r="AF557" s="49"/>
      <c r="AG557" s="49"/>
      <c r="AH557" s="49"/>
      <c r="AI557" s="49"/>
      <c r="AJ557" s="49"/>
      <c r="AK557" s="49"/>
      <c r="AL557" s="49"/>
      <c r="AM557" s="49"/>
      <c r="AN557" s="49"/>
      <c r="AO557" s="49"/>
      <c r="AP557" s="49"/>
      <c r="AQ557" s="49"/>
      <c r="AR557" s="49"/>
      <c r="AS557" s="49"/>
      <c r="AT557" s="49"/>
      <c r="AU557" s="49"/>
    </row>
    <row r="558" spans="1:47" ht="15">
      <c r="A558" s="49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  <c r="AD558" s="49"/>
      <c r="AE558" s="49"/>
      <c r="AF558" s="49"/>
      <c r="AG558" s="49"/>
      <c r="AH558" s="49"/>
      <c r="AI558" s="49"/>
      <c r="AJ558" s="49"/>
      <c r="AK558" s="49"/>
      <c r="AL558" s="49"/>
      <c r="AM558" s="49"/>
      <c r="AN558" s="49"/>
      <c r="AO558" s="49"/>
      <c r="AP558" s="49"/>
      <c r="AQ558" s="49"/>
      <c r="AR558" s="49"/>
      <c r="AS558" s="49"/>
      <c r="AT558" s="49"/>
      <c r="AU558" s="49"/>
    </row>
    <row r="559" spans="1:47" ht="15">
      <c r="A559" s="49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  <c r="AD559" s="49"/>
      <c r="AE559" s="49"/>
      <c r="AF559" s="49"/>
      <c r="AG559" s="49"/>
      <c r="AH559" s="49"/>
      <c r="AI559" s="49"/>
      <c r="AJ559" s="49"/>
      <c r="AK559" s="49"/>
      <c r="AL559" s="49"/>
      <c r="AM559" s="49"/>
      <c r="AN559" s="49"/>
      <c r="AO559" s="49"/>
      <c r="AP559" s="49"/>
      <c r="AQ559" s="49"/>
      <c r="AR559" s="49"/>
      <c r="AS559" s="49"/>
      <c r="AT559" s="49"/>
      <c r="AU559" s="49"/>
    </row>
    <row r="560" spans="1:47" ht="15">
      <c r="A560" s="49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  <c r="AD560" s="49"/>
      <c r="AE560" s="49"/>
      <c r="AF560" s="49"/>
      <c r="AG560" s="49"/>
      <c r="AH560" s="49"/>
      <c r="AI560" s="49"/>
      <c r="AJ560" s="49"/>
      <c r="AK560" s="49"/>
      <c r="AL560" s="49"/>
      <c r="AM560" s="49"/>
      <c r="AN560" s="49"/>
      <c r="AO560" s="49"/>
      <c r="AP560" s="49"/>
      <c r="AQ560" s="49"/>
      <c r="AR560" s="49"/>
      <c r="AS560" s="49"/>
      <c r="AT560" s="49"/>
      <c r="AU560" s="49"/>
    </row>
    <row r="561" spans="1:47" ht="15">
      <c r="A561" s="49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  <c r="AD561" s="49"/>
      <c r="AE561" s="49"/>
      <c r="AF561" s="49"/>
      <c r="AG561" s="49"/>
      <c r="AH561" s="49"/>
      <c r="AI561" s="49"/>
      <c r="AJ561" s="49"/>
      <c r="AK561" s="49"/>
      <c r="AL561" s="49"/>
      <c r="AM561" s="49"/>
      <c r="AN561" s="49"/>
      <c r="AO561" s="49"/>
      <c r="AP561" s="49"/>
      <c r="AQ561" s="49"/>
      <c r="AR561" s="49"/>
      <c r="AS561" s="49"/>
      <c r="AT561" s="49"/>
      <c r="AU561" s="49"/>
    </row>
    <row r="562" spans="1:47" ht="15">
      <c r="A562" s="49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  <c r="AD562" s="49"/>
      <c r="AE562" s="49"/>
      <c r="AF562" s="49"/>
      <c r="AG562" s="49"/>
      <c r="AH562" s="49"/>
      <c r="AI562" s="49"/>
      <c r="AJ562" s="49"/>
      <c r="AK562" s="49"/>
      <c r="AL562" s="49"/>
      <c r="AM562" s="49"/>
      <c r="AN562" s="49"/>
      <c r="AO562" s="49"/>
      <c r="AP562" s="49"/>
      <c r="AQ562" s="49"/>
      <c r="AR562" s="49"/>
      <c r="AS562" s="49"/>
      <c r="AT562" s="49"/>
      <c r="AU562" s="49"/>
    </row>
    <row r="563" spans="1:47" ht="15">
      <c r="A563" s="49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  <c r="AD563" s="49"/>
      <c r="AE563" s="49"/>
      <c r="AF563" s="49"/>
      <c r="AG563" s="49"/>
      <c r="AH563" s="49"/>
      <c r="AI563" s="49"/>
      <c r="AJ563" s="49"/>
      <c r="AK563" s="49"/>
      <c r="AL563" s="49"/>
      <c r="AM563" s="49"/>
      <c r="AN563" s="49"/>
      <c r="AO563" s="49"/>
      <c r="AP563" s="49"/>
      <c r="AQ563" s="49"/>
      <c r="AR563" s="49"/>
      <c r="AS563" s="49"/>
      <c r="AT563" s="49"/>
      <c r="AU563" s="49"/>
    </row>
    <row r="564" spans="1:47" ht="15">
      <c r="A564" s="49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49"/>
      <c r="AE564" s="49"/>
      <c r="AF564" s="49"/>
      <c r="AG564" s="49"/>
      <c r="AH564" s="49"/>
      <c r="AI564" s="49"/>
      <c r="AJ564" s="49"/>
      <c r="AK564" s="49"/>
      <c r="AL564" s="49"/>
      <c r="AM564" s="49"/>
      <c r="AN564" s="49"/>
      <c r="AO564" s="49"/>
      <c r="AP564" s="49"/>
      <c r="AQ564" s="49"/>
      <c r="AR564" s="49"/>
      <c r="AS564" s="49"/>
      <c r="AT564" s="49"/>
      <c r="AU564" s="49"/>
    </row>
    <row r="565" spans="1:47" ht="15">
      <c r="A565" s="49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  <c r="AD565" s="49"/>
      <c r="AE565" s="49"/>
      <c r="AF565" s="49"/>
      <c r="AG565" s="49"/>
      <c r="AH565" s="49"/>
      <c r="AI565" s="49"/>
      <c r="AJ565" s="49"/>
      <c r="AK565" s="49"/>
      <c r="AL565" s="49"/>
      <c r="AM565" s="49"/>
      <c r="AN565" s="49"/>
      <c r="AO565" s="49"/>
      <c r="AP565" s="49"/>
      <c r="AQ565" s="49"/>
      <c r="AR565" s="49"/>
      <c r="AS565" s="49"/>
      <c r="AT565" s="49"/>
      <c r="AU565" s="49"/>
    </row>
    <row r="566" spans="1:47" ht="15">
      <c r="A566" s="49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  <c r="AD566" s="49"/>
      <c r="AE566" s="49"/>
      <c r="AF566" s="49"/>
      <c r="AG566" s="49"/>
      <c r="AH566" s="49"/>
      <c r="AI566" s="49"/>
      <c r="AJ566" s="49"/>
      <c r="AK566" s="49"/>
      <c r="AL566" s="49"/>
      <c r="AM566" s="49"/>
      <c r="AN566" s="49"/>
      <c r="AO566" s="49"/>
      <c r="AP566" s="49"/>
      <c r="AQ566" s="49"/>
      <c r="AR566" s="49"/>
      <c r="AS566" s="49"/>
      <c r="AT566" s="49"/>
      <c r="AU566" s="49"/>
    </row>
    <row r="567" spans="1:47" ht="15">
      <c r="A567" s="49"/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  <c r="AD567" s="49"/>
      <c r="AE567" s="49"/>
      <c r="AF567" s="49"/>
      <c r="AG567" s="49"/>
      <c r="AH567" s="49"/>
      <c r="AI567" s="49"/>
      <c r="AJ567" s="49"/>
      <c r="AK567" s="49"/>
      <c r="AL567" s="49"/>
      <c r="AM567" s="49"/>
      <c r="AN567" s="49"/>
      <c r="AO567" s="49"/>
      <c r="AP567" s="49"/>
      <c r="AQ567" s="49"/>
      <c r="AR567" s="49"/>
      <c r="AS567" s="49"/>
      <c r="AT567" s="49"/>
      <c r="AU567" s="49"/>
    </row>
    <row r="568" spans="1:47" ht="15">
      <c r="A568" s="49"/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  <c r="AD568" s="49"/>
      <c r="AE568" s="49"/>
      <c r="AF568" s="49"/>
      <c r="AG568" s="49"/>
      <c r="AH568" s="49"/>
      <c r="AI568" s="49"/>
      <c r="AJ568" s="49"/>
      <c r="AK568" s="49"/>
      <c r="AL568" s="49"/>
      <c r="AM568" s="49"/>
      <c r="AN568" s="49"/>
      <c r="AO568" s="49"/>
      <c r="AP568" s="49"/>
      <c r="AQ568" s="49"/>
      <c r="AR568" s="49"/>
      <c r="AS568" s="49"/>
      <c r="AT568" s="49"/>
      <c r="AU568" s="49"/>
    </row>
    <row r="569" spans="1:47" ht="15">
      <c r="A569" s="49"/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  <c r="AD569" s="49"/>
      <c r="AE569" s="49"/>
      <c r="AF569" s="49"/>
      <c r="AG569" s="49"/>
      <c r="AH569" s="49"/>
      <c r="AI569" s="49"/>
      <c r="AJ569" s="49"/>
      <c r="AK569" s="49"/>
      <c r="AL569" s="49"/>
      <c r="AM569" s="49"/>
      <c r="AN569" s="49"/>
      <c r="AO569" s="49"/>
      <c r="AP569" s="49"/>
      <c r="AQ569" s="49"/>
      <c r="AR569" s="49"/>
      <c r="AS569" s="49"/>
      <c r="AT569" s="49"/>
      <c r="AU569" s="49"/>
    </row>
    <row r="570" spans="1:47" ht="15">
      <c r="A570" s="49"/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  <c r="AD570" s="49"/>
      <c r="AE570" s="49"/>
      <c r="AF570" s="49"/>
      <c r="AG570" s="49"/>
      <c r="AH570" s="49"/>
      <c r="AI570" s="49"/>
      <c r="AJ570" s="49"/>
      <c r="AK570" s="49"/>
      <c r="AL570" s="49"/>
      <c r="AM570" s="49"/>
      <c r="AN570" s="49"/>
      <c r="AO570" s="49"/>
      <c r="AP570" s="49"/>
      <c r="AQ570" s="49"/>
      <c r="AR570" s="49"/>
      <c r="AS570" s="49"/>
      <c r="AT570" s="49"/>
      <c r="AU570" s="49"/>
    </row>
    <row r="571" spans="1:47" ht="15">
      <c r="A571" s="49"/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  <c r="AD571" s="49"/>
      <c r="AE571" s="49"/>
      <c r="AF571" s="49"/>
      <c r="AG571" s="49"/>
      <c r="AH571" s="49"/>
      <c r="AI571" s="49"/>
      <c r="AJ571" s="49"/>
      <c r="AK571" s="49"/>
      <c r="AL571" s="49"/>
      <c r="AM571" s="49"/>
      <c r="AN571" s="49"/>
      <c r="AO571" s="49"/>
      <c r="AP571" s="49"/>
      <c r="AQ571" s="49"/>
      <c r="AR571" s="49"/>
      <c r="AS571" s="49"/>
      <c r="AT571" s="49"/>
      <c r="AU571" s="49"/>
    </row>
    <row r="572" spans="1:47" ht="15">
      <c r="A572" s="49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  <c r="AD572" s="49"/>
      <c r="AE572" s="49"/>
      <c r="AF572" s="49"/>
      <c r="AG572" s="49"/>
      <c r="AH572" s="49"/>
      <c r="AI572" s="49"/>
      <c r="AJ572" s="49"/>
      <c r="AK572" s="49"/>
      <c r="AL572" s="49"/>
      <c r="AM572" s="49"/>
      <c r="AN572" s="49"/>
      <c r="AO572" s="49"/>
      <c r="AP572" s="49"/>
      <c r="AQ572" s="49"/>
      <c r="AR572" s="49"/>
      <c r="AS572" s="49"/>
      <c r="AT572" s="49"/>
      <c r="AU572" s="49"/>
    </row>
    <row r="573" spans="1:47" ht="15">
      <c r="A573" s="49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  <c r="AD573" s="49"/>
      <c r="AE573" s="49"/>
      <c r="AF573" s="49"/>
      <c r="AG573" s="49"/>
      <c r="AH573" s="49"/>
      <c r="AI573" s="49"/>
      <c r="AJ573" s="49"/>
      <c r="AK573" s="49"/>
      <c r="AL573" s="49"/>
      <c r="AM573" s="49"/>
      <c r="AN573" s="49"/>
      <c r="AO573" s="49"/>
      <c r="AP573" s="49"/>
      <c r="AQ573" s="49"/>
      <c r="AR573" s="49"/>
      <c r="AS573" s="49"/>
      <c r="AT573" s="49"/>
      <c r="AU573" s="49"/>
    </row>
    <row r="574" spans="1:47" ht="15">
      <c r="A574" s="49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49"/>
      <c r="AE574" s="49"/>
      <c r="AF574" s="49"/>
      <c r="AG574" s="49"/>
      <c r="AH574" s="49"/>
      <c r="AI574" s="49"/>
      <c r="AJ574" s="49"/>
      <c r="AK574" s="49"/>
      <c r="AL574" s="49"/>
      <c r="AM574" s="49"/>
      <c r="AN574" s="49"/>
      <c r="AO574" s="49"/>
      <c r="AP574" s="49"/>
      <c r="AQ574" s="49"/>
      <c r="AR574" s="49"/>
      <c r="AS574" s="49"/>
      <c r="AT574" s="49"/>
      <c r="AU574" s="49"/>
    </row>
    <row r="575" spans="1:47" ht="15">
      <c r="A575" s="49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  <c r="AD575" s="49"/>
      <c r="AE575" s="49"/>
      <c r="AF575" s="49"/>
      <c r="AG575" s="49"/>
      <c r="AH575" s="49"/>
      <c r="AI575" s="49"/>
      <c r="AJ575" s="49"/>
      <c r="AK575" s="49"/>
      <c r="AL575" s="49"/>
      <c r="AM575" s="49"/>
      <c r="AN575" s="49"/>
      <c r="AO575" s="49"/>
      <c r="AP575" s="49"/>
      <c r="AQ575" s="49"/>
      <c r="AR575" s="49"/>
      <c r="AS575" s="49"/>
      <c r="AT575" s="49"/>
      <c r="AU575" s="49"/>
    </row>
    <row r="576" spans="1:47" ht="15">
      <c r="A576" s="49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  <c r="AD576" s="49"/>
      <c r="AE576" s="49"/>
      <c r="AF576" s="49"/>
      <c r="AG576" s="49"/>
      <c r="AH576" s="49"/>
      <c r="AI576" s="49"/>
      <c r="AJ576" s="49"/>
      <c r="AK576" s="49"/>
      <c r="AL576" s="49"/>
      <c r="AM576" s="49"/>
      <c r="AN576" s="49"/>
      <c r="AO576" s="49"/>
      <c r="AP576" s="49"/>
      <c r="AQ576" s="49"/>
      <c r="AR576" s="49"/>
      <c r="AS576" s="49"/>
      <c r="AT576" s="49"/>
      <c r="AU576" s="49"/>
    </row>
    <row r="577" spans="1:47" ht="15">
      <c r="A577" s="49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  <c r="AD577" s="49"/>
      <c r="AE577" s="49"/>
      <c r="AF577" s="49"/>
      <c r="AG577" s="49"/>
      <c r="AH577" s="49"/>
      <c r="AI577" s="49"/>
      <c r="AJ577" s="49"/>
      <c r="AK577" s="49"/>
      <c r="AL577" s="49"/>
      <c r="AM577" s="49"/>
      <c r="AN577" s="49"/>
      <c r="AO577" s="49"/>
      <c r="AP577" s="49"/>
      <c r="AQ577" s="49"/>
      <c r="AR577" s="49"/>
      <c r="AS577" s="49"/>
      <c r="AT577" s="49"/>
      <c r="AU577" s="49"/>
    </row>
    <row r="578" spans="1:47" ht="15">
      <c r="A578" s="49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  <c r="AD578" s="49"/>
      <c r="AE578" s="49"/>
      <c r="AF578" s="49"/>
      <c r="AG578" s="49"/>
      <c r="AH578" s="49"/>
      <c r="AI578" s="49"/>
      <c r="AJ578" s="49"/>
      <c r="AK578" s="49"/>
      <c r="AL578" s="49"/>
      <c r="AM578" s="49"/>
      <c r="AN578" s="49"/>
      <c r="AO578" s="49"/>
      <c r="AP578" s="49"/>
      <c r="AQ578" s="49"/>
      <c r="AR578" s="49"/>
      <c r="AS578" s="49"/>
      <c r="AT578" s="49"/>
      <c r="AU578" s="49"/>
    </row>
    <row r="579" spans="1:47" ht="15">
      <c r="A579" s="49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  <c r="AD579" s="49"/>
      <c r="AE579" s="49"/>
      <c r="AF579" s="49"/>
      <c r="AG579" s="49"/>
      <c r="AH579" s="49"/>
      <c r="AI579" s="49"/>
      <c r="AJ579" s="49"/>
      <c r="AK579" s="49"/>
      <c r="AL579" s="49"/>
      <c r="AM579" s="49"/>
      <c r="AN579" s="49"/>
      <c r="AO579" s="49"/>
      <c r="AP579" s="49"/>
      <c r="AQ579" s="49"/>
      <c r="AR579" s="49"/>
      <c r="AS579" s="49"/>
      <c r="AT579" s="49"/>
      <c r="AU579" s="49"/>
    </row>
    <row r="580" spans="1:47" ht="15">
      <c r="A580" s="49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  <c r="AD580" s="49"/>
      <c r="AE580" s="49"/>
      <c r="AF580" s="49"/>
      <c r="AG580" s="49"/>
      <c r="AH580" s="49"/>
      <c r="AI580" s="49"/>
      <c r="AJ580" s="49"/>
      <c r="AK580" s="49"/>
      <c r="AL580" s="49"/>
      <c r="AM580" s="49"/>
      <c r="AN580" s="49"/>
      <c r="AO580" s="49"/>
      <c r="AP580" s="49"/>
      <c r="AQ580" s="49"/>
      <c r="AR580" s="49"/>
      <c r="AS580" s="49"/>
      <c r="AT580" s="49"/>
      <c r="AU580" s="49"/>
    </row>
    <row r="581" spans="1:47" ht="15">
      <c r="A581" s="49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  <c r="AD581" s="49"/>
      <c r="AE581" s="49"/>
      <c r="AF581" s="49"/>
      <c r="AG581" s="49"/>
      <c r="AH581" s="49"/>
      <c r="AI581" s="49"/>
      <c r="AJ581" s="49"/>
      <c r="AK581" s="49"/>
      <c r="AL581" s="49"/>
      <c r="AM581" s="49"/>
      <c r="AN581" s="49"/>
      <c r="AO581" s="49"/>
      <c r="AP581" s="49"/>
      <c r="AQ581" s="49"/>
      <c r="AR581" s="49"/>
      <c r="AS581" s="49"/>
      <c r="AT581" s="49"/>
      <c r="AU581" s="49"/>
    </row>
    <row r="582" spans="1:47" ht="15">
      <c r="A582" s="49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  <c r="AD582" s="49"/>
      <c r="AE582" s="49"/>
      <c r="AF582" s="49"/>
      <c r="AG582" s="49"/>
      <c r="AH582" s="49"/>
      <c r="AI582" s="49"/>
      <c r="AJ582" s="49"/>
      <c r="AK582" s="49"/>
      <c r="AL582" s="49"/>
      <c r="AM582" s="49"/>
      <c r="AN582" s="49"/>
      <c r="AO582" s="49"/>
      <c r="AP582" s="49"/>
      <c r="AQ582" s="49"/>
      <c r="AR582" s="49"/>
      <c r="AS582" s="49"/>
      <c r="AT582" s="49"/>
      <c r="AU582" s="49"/>
    </row>
    <row r="583" spans="1:47" ht="15">
      <c r="A583" s="49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  <c r="AD583" s="49"/>
      <c r="AE583" s="49"/>
      <c r="AF583" s="49"/>
      <c r="AG583" s="49"/>
      <c r="AH583" s="49"/>
      <c r="AI583" s="49"/>
      <c r="AJ583" s="49"/>
      <c r="AK583" s="49"/>
      <c r="AL583" s="49"/>
      <c r="AM583" s="49"/>
      <c r="AN583" s="49"/>
      <c r="AO583" s="49"/>
      <c r="AP583" s="49"/>
      <c r="AQ583" s="49"/>
      <c r="AR583" s="49"/>
      <c r="AS583" s="49"/>
      <c r="AT583" s="49"/>
      <c r="AU583" s="49"/>
    </row>
    <row r="584" spans="1:47" ht="15">
      <c r="A584" s="49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49"/>
      <c r="AE584" s="49"/>
      <c r="AF584" s="49"/>
      <c r="AG584" s="49"/>
      <c r="AH584" s="49"/>
      <c r="AI584" s="49"/>
      <c r="AJ584" s="49"/>
      <c r="AK584" s="49"/>
      <c r="AL584" s="49"/>
      <c r="AM584" s="49"/>
      <c r="AN584" s="49"/>
      <c r="AO584" s="49"/>
      <c r="AP584" s="49"/>
      <c r="AQ584" s="49"/>
      <c r="AR584" s="49"/>
      <c r="AS584" s="49"/>
      <c r="AT584" s="49"/>
      <c r="AU584" s="49"/>
    </row>
    <row r="585" spans="1:47" ht="15">
      <c r="A585" s="49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  <c r="AD585" s="49"/>
      <c r="AE585" s="49"/>
      <c r="AF585" s="49"/>
      <c r="AG585" s="49"/>
      <c r="AH585" s="49"/>
      <c r="AI585" s="49"/>
      <c r="AJ585" s="49"/>
      <c r="AK585" s="49"/>
      <c r="AL585" s="49"/>
      <c r="AM585" s="49"/>
      <c r="AN585" s="49"/>
      <c r="AO585" s="49"/>
      <c r="AP585" s="49"/>
      <c r="AQ585" s="49"/>
      <c r="AR585" s="49"/>
      <c r="AS585" s="49"/>
      <c r="AT585" s="49"/>
      <c r="AU585" s="49"/>
    </row>
    <row r="586" spans="1:47" ht="15">
      <c r="A586" s="49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  <c r="AD586" s="49"/>
      <c r="AE586" s="49"/>
      <c r="AF586" s="49"/>
      <c r="AG586" s="49"/>
      <c r="AH586" s="49"/>
      <c r="AI586" s="49"/>
      <c r="AJ586" s="49"/>
      <c r="AK586" s="49"/>
      <c r="AL586" s="49"/>
      <c r="AM586" s="49"/>
      <c r="AN586" s="49"/>
      <c r="AO586" s="49"/>
      <c r="AP586" s="49"/>
      <c r="AQ586" s="49"/>
      <c r="AR586" s="49"/>
      <c r="AS586" s="49"/>
      <c r="AT586" s="49"/>
      <c r="AU586" s="49"/>
    </row>
    <row r="587" spans="1:47" ht="15">
      <c r="A587" s="49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  <c r="AD587" s="49"/>
      <c r="AE587" s="49"/>
      <c r="AF587" s="49"/>
      <c r="AG587" s="49"/>
      <c r="AH587" s="49"/>
      <c r="AI587" s="49"/>
      <c r="AJ587" s="49"/>
      <c r="AK587" s="49"/>
      <c r="AL587" s="49"/>
      <c r="AM587" s="49"/>
      <c r="AN587" s="49"/>
      <c r="AO587" s="49"/>
      <c r="AP587" s="49"/>
      <c r="AQ587" s="49"/>
      <c r="AR587" s="49"/>
      <c r="AS587" s="49"/>
      <c r="AT587" s="49"/>
      <c r="AU587" s="49"/>
    </row>
    <row r="588" spans="1:47" ht="15">
      <c r="A588" s="49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  <c r="AD588" s="49"/>
      <c r="AE588" s="49"/>
      <c r="AF588" s="49"/>
      <c r="AG588" s="49"/>
      <c r="AH588" s="49"/>
      <c r="AI588" s="49"/>
      <c r="AJ588" s="49"/>
      <c r="AK588" s="49"/>
      <c r="AL588" s="49"/>
      <c r="AM588" s="49"/>
      <c r="AN588" s="49"/>
      <c r="AO588" s="49"/>
      <c r="AP588" s="49"/>
      <c r="AQ588" s="49"/>
      <c r="AR588" s="49"/>
      <c r="AS588" s="49"/>
      <c r="AT588" s="49"/>
      <c r="AU588" s="49"/>
    </row>
    <row r="589" spans="1:47" ht="15">
      <c r="A589" s="49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  <c r="AD589" s="49"/>
      <c r="AE589" s="49"/>
      <c r="AF589" s="49"/>
      <c r="AG589" s="49"/>
      <c r="AH589" s="49"/>
      <c r="AI589" s="49"/>
      <c r="AJ589" s="49"/>
      <c r="AK589" s="49"/>
      <c r="AL589" s="49"/>
      <c r="AM589" s="49"/>
      <c r="AN589" s="49"/>
      <c r="AO589" s="49"/>
      <c r="AP589" s="49"/>
      <c r="AQ589" s="49"/>
      <c r="AR589" s="49"/>
      <c r="AS589" s="49"/>
      <c r="AT589" s="49"/>
      <c r="AU589" s="49"/>
    </row>
    <row r="590" spans="1:47" ht="15">
      <c r="A590" s="49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  <c r="AD590" s="49"/>
      <c r="AE590" s="49"/>
      <c r="AF590" s="49"/>
      <c r="AG590" s="49"/>
      <c r="AH590" s="49"/>
      <c r="AI590" s="49"/>
      <c r="AJ590" s="49"/>
      <c r="AK590" s="49"/>
      <c r="AL590" s="49"/>
      <c r="AM590" s="49"/>
      <c r="AN590" s="49"/>
      <c r="AO590" s="49"/>
      <c r="AP590" s="49"/>
      <c r="AQ590" s="49"/>
      <c r="AR590" s="49"/>
      <c r="AS590" s="49"/>
      <c r="AT590" s="49"/>
      <c r="AU590" s="49"/>
    </row>
    <row r="591" spans="1:47" ht="15">
      <c r="A591" s="49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  <c r="AD591" s="49"/>
      <c r="AE591" s="49"/>
      <c r="AF591" s="49"/>
      <c r="AG591" s="49"/>
      <c r="AH591" s="49"/>
      <c r="AI591" s="49"/>
      <c r="AJ591" s="49"/>
      <c r="AK591" s="49"/>
      <c r="AL591" s="49"/>
      <c r="AM591" s="49"/>
      <c r="AN591" s="49"/>
      <c r="AO591" s="49"/>
      <c r="AP591" s="49"/>
      <c r="AQ591" s="49"/>
      <c r="AR591" s="49"/>
      <c r="AS591" s="49"/>
      <c r="AT591" s="49"/>
      <c r="AU591" s="49"/>
    </row>
    <row r="592" spans="1:47" ht="15">
      <c r="A592" s="49"/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  <c r="AD592" s="49"/>
      <c r="AE592" s="49"/>
      <c r="AF592" s="49"/>
      <c r="AG592" s="49"/>
      <c r="AH592" s="49"/>
      <c r="AI592" s="49"/>
      <c r="AJ592" s="49"/>
      <c r="AK592" s="49"/>
      <c r="AL592" s="49"/>
      <c r="AM592" s="49"/>
      <c r="AN592" s="49"/>
      <c r="AO592" s="49"/>
      <c r="AP592" s="49"/>
      <c r="AQ592" s="49"/>
      <c r="AR592" s="49"/>
      <c r="AS592" s="49"/>
      <c r="AT592" s="49"/>
      <c r="AU592" s="49"/>
    </row>
    <row r="593" spans="1:47" ht="15">
      <c r="A593" s="49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  <c r="AD593" s="49"/>
      <c r="AE593" s="49"/>
      <c r="AF593" s="49"/>
      <c r="AG593" s="49"/>
      <c r="AH593" s="49"/>
      <c r="AI593" s="49"/>
      <c r="AJ593" s="49"/>
      <c r="AK593" s="49"/>
      <c r="AL593" s="49"/>
      <c r="AM593" s="49"/>
      <c r="AN593" s="49"/>
      <c r="AO593" s="49"/>
      <c r="AP593" s="49"/>
      <c r="AQ593" s="49"/>
      <c r="AR593" s="49"/>
      <c r="AS593" s="49"/>
      <c r="AT593" s="49"/>
      <c r="AU593" s="49"/>
    </row>
    <row r="594" spans="1:47" ht="15">
      <c r="A594" s="49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  <c r="AE594" s="49"/>
      <c r="AF594" s="49"/>
      <c r="AG594" s="49"/>
      <c r="AH594" s="49"/>
      <c r="AI594" s="49"/>
      <c r="AJ594" s="49"/>
      <c r="AK594" s="49"/>
      <c r="AL594" s="49"/>
      <c r="AM594" s="49"/>
      <c r="AN594" s="49"/>
      <c r="AO594" s="49"/>
      <c r="AP594" s="49"/>
      <c r="AQ594" s="49"/>
      <c r="AR594" s="49"/>
      <c r="AS594" s="49"/>
      <c r="AT594" s="49"/>
      <c r="AU594" s="49"/>
    </row>
    <row r="595" spans="1:47" ht="15">
      <c r="A595" s="49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  <c r="AE595" s="49"/>
      <c r="AF595" s="49"/>
      <c r="AG595" s="49"/>
      <c r="AH595" s="49"/>
      <c r="AI595" s="49"/>
      <c r="AJ595" s="49"/>
      <c r="AK595" s="49"/>
      <c r="AL595" s="49"/>
      <c r="AM595" s="49"/>
      <c r="AN595" s="49"/>
      <c r="AO595" s="49"/>
      <c r="AP595" s="49"/>
      <c r="AQ595" s="49"/>
      <c r="AR595" s="49"/>
      <c r="AS595" s="49"/>
      <c r="AT595" s="49"/>
      <c r="AU595" s="49"/>
    </row>
    <row r="596" spans="1:47" ht="15">
      <c r="A596" s="49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49"/>
      <c r="AE596" s="49"/>
      <c r="AF596" s="49"/>
      <c r="AG596" s="49"/>
      <c r="AH596" s="49"/>
      <c r="AI596" s="49"/>
      <c r="AJ596" s="49"/>
      <c r="AK596" s="49"/>
      <c r="AL596" s="49"/>
      <c r="AM596" s="49"/>
      <c r="AN596" s="49"/>
      <c r="AO596" s="49"/>
      <c r="AP596" s="49"/>
      <c r="AQ596" s="49"/>
      <c r="AR596" s="49"/>
      <c r="AS596" s="49"/>
      <c r="AT596" s="49"/>
      <c r="AU596" s="49"/>
    </row>
    <row r="597" spans="1:47" ht="15">
      <c r="A597" s="49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  <c r="AD597" s="49"/>
      <c r="AE597" s="49"/>
      <c r="AF597" s="49"/>
      <c r="AG597" s="49"/>
      <c r="AH597" s="49"/>
      <c r="AI597" s="49"/>
      <c r="AJ597" s="49"/>
      <c r="AK597" s="49"/>
      <c r="AL597" s="49"/>
      <c r="AM597" s="49"/>
      <c r="AN597" s="49"/>
      <c r="AO597" s="49"/>
      <c r="AP597" s="49"/>
      <c r="AQ597" s="49"/>
      <c r="AR597" s="49"/>
      <c r="AS597" s="49"/>
      <c r="AT597" s="49"/>
      <c r="AU597" s="49"/>
    </row>
    <row r="598" spans="1:47" ht="15">
      <c r="A598" s="49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  <c r="AD598" s="49"/>
      <c r="AE598" s="49"/>
      <c r="AF598" s="49"/>
      <c r="AG598" s="49"/>
      <c r="AH598" s="49"/>
      <c r="AI598" s="49"/>
      <c r="AJ598" s="49"/>
      <c r="AK598" s="49"/>
      <c r="AL598" s="49"/>
      <c r="AM598" s="49"/>
      <c r="AN598" s="49"/>
      <c r="AO598" s="49"/>
      <c r="AP598" s="49"/>
      <c r="AQ598" s="49"/>
      <c r="AR598" s="49"/>
      <c r="AS598" s="49"/>
      <c r="AT598" s="49"/>
      <c r="AU598" s="49"/>
    </row>
    <row r="599" spans="1:47" ht="15">
      <c r="A599" s="49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  <c r="AD599" s="49"/>
      <c r="AE599" s="49"/>
      <c r="AF599" s="49"/>
      <c r="AG599" s="49"/>
      <c r="AH599" s="49"/>
      <c r="AI599" s="49"/>
      <c r="AJ599" s="49"/>
      <c r="AK599" s="49"/>
      <c r="AL599" s="49"/>
      <c r="AM599" s="49"/>
      <c r="AN599" s="49"/>
      <c r="AO599" s="49"/>
      <c r="AP599" s="49"/>
      <c r="AQ599" s="49"/>
      <c r="AR599" s="49"/>
      <c r="AS599" s="49"/>
      <c r="AT599" s="49"/>
      <c r="AU599" s="49"/>
    </row>
    <row r="600" spans="1:47" ht="15">
      <c r="A600" s="49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  <c r="AD600" s="49"/>
      <c r="AE600" s="49"/>
      <c r="AF600" s="49"/>
      <c r="AG600" s="49"/>
      <c r="AH600" s="49"/>
      <c r="AI600" s="49"/>
      <c r="AJ600" s="49"/>
      <c r="AK600" s="49"/>
      <c r="AL600" s="49"/>
      <c r="AM600" s="49"/>
      <c r="AN600" s="49"/>
      <c r="AO600" s="49"/>
      <c r="AP600" s="49"/>
      <c r="AQ600" s="49"/>
      <c r="AR600" s="49"/>
      <c r="AS600" s="49"/>
      <c r="AT600" s="49"/>
      <c r="AU600" s="49"/>
    </row>
    <row r="601" spans="1:47" ht="15">
      <c r="A601" s="49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  <c r="AD601" s="49"/>
      <c r="AE601" s="49"/>
      <c r="AF601" s="49"/>
      <c r="AG601" s="49"/>
      <c r="AH601" s="49"/>
      <c r="AI601" s="49"/>
      <c r="AJ601" s="49"/>
      <c r="AK601" s="49"/>
      <c r="AL601" s="49"/>
      <c r="AM601" s="49"/>
      <c r="AN601" s="49"/>
      <c r="AO601" s="49"/>
      <c r="AP601" s="49"/>
      <c r="AQ601" s="49"/>
      <c r="AR601" s="49"/>
      <c r="AS601" s="49"/>
      <c r="AT601" s="49"/>
      <c r="AU601" s="49"/>
    </row>
    <row r="602" spans="1:47" ht="15">
      <c r="A602" s="49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  <c r="AD602" s="49"/>
      <c r="AE602" s="49"/>
      <c r="AF602" s="49"/>
      <c r="AG602" s="49"/>
      <c r="AH602" s="49"/>
      <c r="AI602" s="49"/>
      <c r="AJ602" s="49"/>
      <c r="AK602" s="49"/>
      <c r="AL602" s="49"/>
      <c r="AM602" s="49"/>
      <c r="AN602" s="49"/>
      <c r="AO602" s="49"/>
      <c r="AP602" s="49"/>
      <c r="AQ602" s="49"/>
      <c r="AR602" s="49"/>
      <c r="AS602" s="49"/>
      <c r="AT602" s="49"/>
      <c r="AU602" s="49"/>
    </row>
    <row r="603" spans="1:47" ht="15">
      <c r="A603" s="49"/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  <c r="AD603" s="49"/>
      <c r="AE603" s="49"/>
      <c r="AF603" s="49"/>
      <c r="AG603" s="49"/>
      <c r="AH603" s="49"/>
      <c r="AI603" s="49"/>
      <c r="AJ603" s="49"/>
      <c r="AK603" s="49"/>
      <c r="AL603" s="49"/>
      <c r="AM603" s="49"/>
      <c r="AN603" s="49"/>
      <c r="AO603" s="49"/>
      <c r="AP603" s="49"/>
      <c r="AQ603" s="49"/>
      <c r="AR603" s="49"/>
      <c r="AS603" s="49"/>
      <c r="AT603" s="49"/>
      <c r="AU603" s="49"/>
    </row>
    <row r="604" spans="1:47" ht="15">
      <c r="A604" s="49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49"/>
      <c r="AE604" s="49"/>
      <c r="AF604" s="49"/>
      <c r="AG604" s="49"/>
      <c r="AH604" s="49"/>
      <c r="AI604" s="49"/>
      <c r="AJ604" s="49"/>
      <c r="AK604" s="49"/>
      <c r="AL604" s="49"/>
      <c r="AM604" s="49"/>
      <c r="AN604" s="49"/>
      <c r="AO604" s="49"/>
      <c r="AP604" s="49"/>
      <c r="AQ604" s="49"/>
      <c r="AR604" s="49"/>
      <c r="AS604" s="49"/>
      <c r="AT604" s="49"/>
      <c r="AU604" s="49"/>
    </row>
    <row r="605" spans="1:47" ht="15">
      <c r="A605" s="49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49"/>
      <c r="AE605" s="49"/>
      <c r="AF605" s="49"/>
      <c r="AG605" s="49"/>
      <c r="AH605" s="49"/>
      <c r="AI605" s="49"/>
      <c r="AJ605" s="49"/>
      <c r="AK605" s="49"/>
      <c r="AL605" s="49"/>
      <c r="AM605" s="49"/>
      <c r="AN605" s="49"/>
      <c r="AO605" s="49"/>
      <c r="AP605" s="49"/>
      <c r="AQ605" s="49"/>
      <c r="AR605" s="49"/>
      <c r="AS605" s="49"/>
      <c r="AT605" s="49"/>
      <c r="AU605" s="49"/>
    </row>
    <row r="606" spans="1:47" ht="15">
      <c r="A606" s="49"/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  <c r="AD606" s="49"/>
      <c r="AE606" s="49"/>
      <c r="AF606" s="49"/>
      <c r="AG606" s="49"/>
      <c r="AH606" s="49"/>
      <c r="AI606" s="49"/>
      <c r="AJ606" s="49"/>
      <c r="AK606" s="49"/>
      <c r="AL606" s="49"/>
      <c r="AM606" s="49"/>
      <c r="AN606" s="49"/>
      <c r="AO606" s="49"/>
      <c r="AP606" s="49"/>
      <c r="AQ606" s="49"/>
      <c r="AR606" s="49"/>
      <c r="AS606" s="49"/>
      <c r="AT606" s="49"/>
      <c r="AU606" s="49"/>
    </row>
    <row r="607" spans="1:47" ht="15">
      <c r="A607" s="49"/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  <c r="AD607" s="49"/>
      <c r="AE607" s="49"/>
      <c r="AF607" s="49"/>
      <c r="AG607" s="49"/>
      <c r="AH607" s="49"/>
      <c r="AI607" s="49"/>
      <c r="AJ607" s="49"/>
      <c r="AK607" s="49"/>
      <c r="AL607" s="49"/>
      <c r="AM607" s="49"/>
      <c r="AN607" s="49"/>
      <c r="AO607" s="49"/>
      <c r="AP607" s="49"/>
      <c r="AQ607" s="49"/>
      <c r="AR607" s="49"/>
      <c r="AS607" s="49"/>
      <c r="AT607" s="49"/>
      <c r="AU607" s="49"/>
    </row>
    <row r="608" spans="1:47" ht="15">
      <c r="A608" s="49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  <c r="AD608" s="49"/>
      <c r="AE608" s="49"/>
      <c r="AF608" s="49"/>
      <c r="AG608" s="49"/>
      <c r="AH608" s="49"/>
      <c r="AI608" s="49"/>
      <c r="AJ608" s="49"/>
      <c r="AK608" s="49"/>
      <c r="AL608" s="49"/>
      <c r="AM608" s="49"/>
      <c r="AN608" s="49"/>
      <c r="AO608" s="49"/>
      <c r="AP608" s="49"/>
      <c r="AQ608" s="49"/>
      <c r="AR608" s="49"/>
      <c r="AS608" s="49"/>
      <c r="AT608" s="49"/>
      <c r="AU608" s="49"/>
    </row>
    <row r="609" spans="1:47" ht="15">
      <c r="A609" s="49"/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  <c r="AD609" s="49"/>
      <c r="AE609" s="49"/>
      <c r="AF609" s="49"/>
      <c r="AG609" s="49"/>
      <c r="AH609" s="49"/>
      <c r="AI609" s="49"/>
      <c r="AJ609" s="49"/>
      <c r="AK609" s="49"/>
      <c r="AL609" s="49"/>
      <c r="AM609" s="49"/>
      <c r="AN609" s="49"/>
      <c r="AO609" s="49"/>
      <c r="AP609" s="49"/>
      <c r="AQ609" s="49"/>
      <c r="AR609" s="49"/>
      <c r="AS609" s="49"/>
      <c r="AT609" s="49"/>
      <c r="AU609" s="49"/>
    </row>
    <row r="610" spans="1:47" ht="15">
      <c r="A610" s="49"/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  <c r="AD610" s="49"/>
      <c r="AE610" s="49"/>
      <c r="AF610" s="49"/>
      <c r="AG610" s="49"/>
      <c r="AH610" s="49"/>
      <c r="AI610" s="49"/>
      <c r="AJ610" s="49"/>
      <c r="AK610" s="49"/>
      <c r="AL610" s="49"/>
      <c r="AM610" s="49"/>
      <c r="AN610" s="49"/>
      <c r="AO610" s="49"/>
      <c r="AP610" s="49"/>
      <c r="AQ610" s="49"/>
      <c r="AR610" s="49"/>
      <c r="AS610" s="49"/>
      <c r="AT610" s="49"/>
      <c r="AU610" s="49"/>
    </row>
    <row r="611" spans="1:47" ht="15">
      <c r="A611" s="49"/>
      <c r="B611" s="49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  <c r="AD611" s="49"/>
      <c r="AE611" s="49"/>
      <c r="AF611" s="49"/>
      <c r="AG611" s="49"/>
      <c r="AH611" s="49"/>
      <c r="AI611" s="49"/>
      <c r="AJ611" s="49"/>
      <c r="AK611" s="49"/>
      <c r="AL611" s="49"/>
      <c r="AM611" s="49"/>
      <c r="AN611" s="49"/>
      <c r="AO611" s="49"/>
      <c r="AP611" s="49"/>
      <c r="AQ611" s="49"/>
      <c r="AR611" s="49"/>
      <c r="AS611" s="49"/>
      <c r="AT611" s="49"/>
      <c r="AU611" s="49"/>
    </row>
    <row r="612" spans="1:47" ht="15">
      <c r="A612" s="49"/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  <c r="AD612" s="49"/>
      <c r="AE612" s="49"/>
      <c r="AF612" s="49"/>
      <c r="AG612" s="49"/>
      <c r="AH612" s="49"/>
      <c r="AI612" s="49"/>
      <c r="AJ612" s="49"/>
      <c r="AK612" s="49"/>
      <c r="AL612" s="49"/>
      <c r="AM612" s="49"/>
      <c r="AN612" s="49"/>
      <c r="AO612" s="49"/>
      <c r="AP612" s="49"/>
      <c r="AQ612" s="49"/>
      <c r="AR612" s="49"/>
      <c r="AS612" s="49"/>
      <c r="AT612" s="49"/>
      <c r="AU612" s="49"/>
    </row>
    <row r="613" spans="1:47" ht="15">
      <c r="A613" s="49"/>
      <c r="B613" s="49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  <c r="AD613" s="49"/>
      <c r="AE613" s="49"/>
      <c r="AF613" s="49"/>
      <c r="AG613" s="49"/>
      <c r="AH613" s="49"/>
      <c r="AI613" s="49"/>
      <c r="AJ613" s="49"/>
      <c r="AK613" s="49"/>
      <c r="AL613" s="49"/>
      <c r="AM613" s="49"/>
      <c r="AN613" s="49"/>
      <c r="AO613" s="49"/>
      <c r="AP613" s="49"/>
      <c r="AQ613" s="49"/>
      <c r="AR613" s="49"/>
      <c r="AS613" s="49"/>
      <c r="AT613" s="49"/>
      <c r="AU613" s="49"/>
    </row>
    <row r="614" spans="1:47" ht="15">
      <c r="A614" s="49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  <c r="AD614" s="49"/>
      <c r="AE614" s="49"/>
      <c r="AF614" s="49"/>
      <c r="AG614" s="49"/>
      <c r="AH614" s="49"/>
      <c r="AI614" s="49"/>
      <c r="AJ614" s="49"/>
      <c r="AK614" s="49"/>
      <c r="AL614" s="49"/>
      <c r="AM614" s="49"/>
      <c r="AN614" s="49"/>
      <c r="AO614" s="49"/>
      <c r="AP614" s="49"/>
      <c r="AQ614" s="49"/>
      <c r="AR614" s="49"/>
      <c r="AS614" s="49"/>
      <c r="AT614" s="49"/>
      <c r="AU614" s="49"/>
    </row>
    <row r="615" spans="1:47" ht="15">
      <c r="A615" s="49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  <c r="AD615" s="49"/>
      <c r="AE615" s="49"/>
      <c r="AF615" s="49"/>
      <c r="AG615" s="49"/>
      <c r="AH615" s="49"/>
      <c r="AI615" s="49"/>
      <c r="AJ615" s="49"/>
      <c r="AK615" s="49"/>
      <c r="AL615" s="49"/>
      <c r="AM615" s="49"/>
      <c r="AN615" s="49"/>
      <c r="AO615" s="49"/>
      <c r="AP615" s="49"/>
      <c r="AQ615" s="49"/>
      <c r="AR615" s="49"/>
      <c r="AS615" s="49"/>
      <c r="AT615" s="49"/>
      <c r="AU615" s="49"/>
    </row>
    <row r="616" spans="1:47" ht="15">
      <c r="A616" s="49"/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  <c r="AD616" s="49"/>
      <c r="AE616" s="49"/>
      <c r="AF616" s="49"/>
      <c r="AG616" s="49"/>
      <c r="AH616" s="49"/>
      <c r="AI616" s="49"/>
      <c r="AJ616" s="49"/>
      <c r="AK616" s="49"/>
      <c r="AL616" s="49"/>
      <c r="AM616" s="49"/>
      <c r="AN616" s="49"/>
      <c r="AO616" s="49"/>
      <c r="AP616" s="49"/>
      <c r="AQ616" s="49"/>
      <c r="AR616" s="49"/>
      <c r="AS616" s="49"/>
      <c r="AT616" s="49"/>
      <c r="AU616" s="49"/>
    </row>
    <row r="617" spans="1:47" ht="15">
      <c r="A617" s="49"/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  <c r="AD617" s="49"/>
      <c r="AE617" s="49"/>
      <c r="AF617" s="49"/>
      <c r="AG617" s="49"/>
      <c r="AH617" s="49"/>
      <c r="AI617" s="49"/>
      <c r="AJ617" s="49"/>
      <c r="AK617" s="49"/>
      <c r="AL617" s="49"/>
      <c r="AM617" s="49"/>
      <c r="AN617" s="49"/>
      <c r="AO617" s="49"/>
      <c r="AP617" s="49"/>
      <c r="AQ617" s="49"/>
      <c r="AR617" s="49"/>
      <c r="AS617" s="49"/>
      <c r="AT617" s="49"/>
      <c r="AU617" s="49"/>
    </row>
    <row r="618" spans="1:47" ht="15">
      <c r="A618" s="49"/>
      <c r="B618" s="49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  <c r="AD618" s="49"/>
      <c r="AE618" s="49"/>
      <c r="AF618" s="49"/>
      <c r="AG618" s="49"/>
      <c r="AH618" s="49"/>
      <c r="AI618" s="49"/>
      <c r="AJ618" s="49"/>
      <c r="AK618" s="49"/>
      <c r="AL618" s="49"/>
      <c r="AM618" s="49"/>
      <c r="AN618" s="49"/>
      <c r="AO618" s="49"/>
      <c r="AP618" s="49"/>
      <c r="AQ618" s="49"/>
      <c r="AR618" s="49"/>
      <c r="AS618" s="49"/>
      <c r="AT618" s="49"/>
      <c r="AU618" s="49"/>
    </row>
    <row r="619" spans="1:47" ht="15">
      <c r="A619" s="49"/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/>
      <c r="AC619" s="49"/>
      <c r="AD619" s="49"/>
      <c r="AE619" s="49"/>
      <c r="AF619" s="49"/>
      <c r="AG619" s="49"/>
      <c r="AH619" s="49"/>
      <c r="AI619" s="49"/>
      <c r="AJ619" s="49"/>
      <c r="AK619" s="49"/>
      <c r="AL619" s="49"/>
      <c r="AM619" s="49"/>
      <c r="AN619" s="49"/>
      <c r="AO619" s="49"/>
      <c r="AP619" s="49"/>
      <c r="AQ619" s="49"/>
      <c r="AR619" s="49"/>
      <c r="AS619" s="49"/>
      <c r="AT619" s="49"/>
      <c r="AU619" s="49"/>
    </row>
    <row r="620" spans="1:47" ht="15">
      <c r="A620" s="49"/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/>
      <c r="AC620" s="49"/>
      <c r="AD620" s="49"/>
      <c r="AE620" s="49"/>
      <c r="AF620" s="49"/>
      <c r="AG620" s="49"/>
      <c r="AH620" s="49"/>
      <c r="AI620" s="49"/>
      <c r="AJ620" s="49"/>
      <c r="AK620" s="49"/>
      <c r="AL620" s="49"/>
      <c r="AM620" s="49"/>
      <c r="AN620" s="49"/>
      <c r="AO620" s="49"/>
      <c r="AP620" s="49"/>
      <c r="AQ620" s="49"/>
      <c r="AR620" s="49"/>
      <c r="AS620" s="49"/>
      <c r="AT620" s="49"/>
      <c r="AU620" s="49"/>
    </row>
    <row r="621" spans="1:47" ht="15">
      <c r="A621" s="49"/>
      <c r="B621" s="49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  <c r="AA621" s="49"/>
      <c r="AB621" s="49"/>
      <c r="AC621" s="49"/>
      <c r="AD621" s="49"/>
      <c r="AE621" s="49"/>
      <c r="AF621" s="49"/>
      <c r="AG621" s="49"/>
      <c r="AH621" s="49"/>
      <c r="AI621" s="49"/>
      <c r="AJ621" s="49"/>
      <c r="AK621" s="49"/>
      <c r="AL621" s="49"/>
      <c r="AM621" s="49"/>
      <c r="AN621" s="49"/>
      <c r="AO621" s="49"/>
      <c r="AP621" s="49"/>
      <c r="AQ621" s="49"/>
      <c r="AR621" s="49"/>
      <c r="AS621" s="49"/>
      <c r="AT621" s="49"/>
      <c r="AU621" s="49"/>
    </row>
    <row r="622" spans="1:47" ht="15">
      <c r="A622" s="49"/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/>
      <c r="AC622" s="49"/>
      <c r="AD622" s="49"/>
      <c r="AE622" s="49"/>
      <c r="AF622" s="49"/>
      <c r="AG622" s="49"/>
      <c r="AH622" s="49"/>
      <c r="AI622" s="49"/>
      <c r="AJ622" s="49"/>
      <c r="AK622" s="49"/>
      <c r="AL622" s="49"/>
      <c r="AM622" s="49"/>
      <c r="AN622" s="49"/>
      <c r="AO622" s="49"/>
      <c r="AP622" s="49"/>
      <c r="AQ622" s="49"/>
      <c r="AR622" s="49"/>
      <c r="AS622" s="49"/>
      <c r="AT622" s="49"/>
      <c r="AU622" s="49"/>
    </row>
    <row r="623" spans="1:47" ht="15">
      <c r="A623" s="49"/>
      <c r="B623" s="49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  <c r="AA623" s="49"/>
      <c r="AB623" s="49"/>
      <c r="AC623" s="49"/>
      <c r="AD623" s="49"/>
      <c r="AE623" s="49"/>
      <c r="AF623" s="49"/>
      <c r="AG623" s="49"/>
      <c r="AH623" s="49"/>
      <c r="AI623" s="49"/>
      <c r="AJ623" s="49"/>
      <c r="AK623" s="49"/>
      <c r="AL623" s="49"/>
      <c r="AM623" s="49"/>
      <c r="AN623" s="49"/>
      <c r="AO623" s="49"/>
      <c r="AP623" s="49"/>
      <c r="AQ623" s="49"/>
      <c r="AR623" s="49"/>
      <c r="AS623" s="49"/>
      <c r="AT623" s="49"/>
      <c r="AU623" s="49"/>
    </row>
    <row r="624" spans="1:47" ht="15">
      <c r="A624" s="49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  <c r="AD624" s="49"/>
      <c r="AE624" s="49"/>
      <c r="AF624" s="49"/>
      <c r="AG624" s="49"/>
      <c r="AH624" s="49"/>
      <c r="AI624" s="49"/>
      <c r="AJ624" s="49"/>
      <c r="AK624" s="49"/>
      <c r="AL624" s="49"/>
      <c r="AM624" s="49"/>
      <c r="AN624" s="49"/>
      <c r="AO624" s="49"/>
      <c r="AP624" s="49"/>
      <c r="AQ624" s="49"/>
      <c r="AR624" s="49"/>
      <c r="AS624" s="49"/>
      <c r="AT624" s="49"/>
      <c r="AU624" s="49"/>
    </row>
    <row r="625" spans="1:47" ht="15">
      <c r="A625" s="49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  <c r="AD625" s="49"/>
      <c r="AE625" s="49"/>
      <c r="AF625" s="49"/>
      <c r="AG625" s="49"/>
      <c r="AH625" s="49"/>
      <c r="AI625" s="49"/>
      <c r="AJ625" s="49"/>
      <c r="AK625" s="49"/>
      <c r="AL625" s="49"/>
      <c r="AM625" s="49"/>
      <c r="AN625" s="49"/>
      <c r="AO625" s="49"/>
      <c r="AP625" s="49"/>
      <c r="AQ625" s="49"/>
      <c r="AR625" s="49"/>
      <c r="AS625" s="49"/>
      <c r="AT625" s="49"/>
      <c r="AU625" s="49"/>
    </row>
    <row r="626" spans="1:47" ht="15">
      <c r="A626" s="49"/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  <c r="AD626" s="49"/>
      <c r="AE626" s="49"/>
      <c r="AF626" s="49"/>
      <c r="AG626" s="49"/>
      <c r="AH626" s="49"/>
      <c r="AI626" s="49"/>
      <c r="AJ626" s="49"/>
      <c r="AK626" s="49"/>
      <c r="AL626" s="49"/>
      <c r="AM626" s="49"/>
      <c r="AN626" s="49"/>
      <c r="AO626" s="49"/>
      <c r="AP626" s="49"/>
      <c r="AQ626" s="49"/>
      <c r="AR626" s="49"/>
      <c r="AS626" s="49"/>
      <c r="AT626" s="49"/>
      <c r="AU626" s="49"/>
    </row>
    <row r="627" spans="1:47" ht="15">
      <c r="A627" s="49"/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/>
      <c r="AC627" s="49"/>
      <c r="AD627" s="49"/>
      <c r="AE627" s="49"/>
      <c r="AF627" s="49"/>
      <c r="AG627" s="49"/>
      <c r="AH627" s="49"/>
      <c r="AI627" s="49"/>
      <c r="AJ627" s="49"/>
      <c r="AK627" s="49"/>
      <c r="AL627" s="49"/>
      <c r="AM627" s="49"/>
      <c r="AN627" s="49"/>
      <c r="AO627" s="49"/>
      <c r="AP627" s="49"/>
      <c r="AQ627" s="49"/>
      <c r="AR627" s="49"/>
      <c r="AS627" s="49"/>
      <c r="AT627" s="49"/>
      <c r="AU627" s="49"/>
    </row>
    <row r="628" spans="1:47" ht="15">
      <c r="A628" s="49"/>
      <c r="B628" s="49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  <c r="AA628" s="49"/>
      <c r="AB628" s="49"/>
      <c r="AC628" s="49"/>
      <c r="AD628" s="49"/>
      <c r="AE628" s="49"/>
      <c r="AF628" s="49"/>
      <c r="AG628" s="49"/>
      <c r="AH628" s="49"/>
      <c r="AI628" s="49"/>
      <c r="AJ628" s="49"/>
      <c r="AK628" s="49"/>
      <c r="AL628" s="49"/>
      <c r="AM628" s="49"/>
      <c r="AN628" s="49"/>
      <c r="AO628" s="49"/>
      <c r="AP628" s="49"/>
      <c r="AQ628" s="49"/>
      <c r="AR628" s="49"/>
      <c r="AS628" s="49"/>
      <c r="AT628" s="49"/>
      <c r="AU628" s="49"/>
    </row>
    <row r="629" spans="1:47" ht="15">
      <c r="A629" s="49"/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/>
      <c r="AC629" s="49"/>
      <c r="AD629" s="49"/>
      <c r="AE629" s="49"/>
      <c r="AF629" s="49"/>
      <c r="AG629" s="49"/>
      <c r="AH629" s="49"/>
      <c r="AI629" s="49"/>
      <c r="AJ629" s="49"/>
      <c r="AK629" s="49"/>
      <c r="AL629" s="49"/>
      <c r="AM629" s="49"/>
      <c r="AN629" s="49"/>
      <c r="AO629" s="49"/>
      <c r="AP629" s="49"/>
      <c r="AQ629" s="49"/>
      <c r="AR629" s="49"/>
      <c r="AS629" s="49"/>
      <c r="AT629" s="49"/>
      <c r="AU629" s="49"/>
    </row>
    <row r="630" spans="1:47" ht="15">
      <c r="A630" s="49"/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/>
      <c r="AC630" s="49"/>
      <c r="AD630" s="49"/>
      <c r="AE630" s="49"/>
      <c r="AF630" s="49"/>
      <c r="AG630" s="49"/>
      <c r="AH630" s="49"/>
      <c r="AI630" s="49"/>
      <c r="AJ630" s="49"/>
      <c r="AK630" s="49"/>
      <c r="AL630" s="49"/>
      <c r="AM630" s="49"/>
      <c r="AN630" s="49"/>
      <c r="AO630" s="49"/>
      <c r="AP630" s="49"/>
      <c r="AQ630" s="49"/>
      <c r="AR630" s="49"/>
      <c r="AS630" s="49"/>
      <c r="AT630" s="49"/>
      <c r="AU630" s="49"/>
    </row>
    <row r="631" spans="1:47" ht="15">
      <c r="A631" s="49"/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  <c r="AA631" s="49"/>
      <c r="AB631" s="49"/>
      <c r="AC631" s="49"/>
      <c r="AD631" s="49"/>
      <c r="AE631" s="49"/>
      <c r="AF631" s="49"/>
      <c r="AG631" s="49"/>
      <c r="AH631" s="49"/>
      <c r="AI631" s="49"/>
      <c r="AJ631" s="49"/>
      <c r="AK631" s="49"/>
      <c r="AL631" s="49"/>
      <c r="AM631" s="49"/>
      <c r="AN631" s="49"/>
      <c r="AO631" s="49"/>
      <c r="AP631" s="49"/>
      <c r="AQ631" s="49"/>
      <c r="AR631" s="49"/>
      <c r="AS631" s="49"/>
      <c r="AT631" s="49"/>
      <c r="AU631" s="49"/>
    </row>
    <row r="632" spans="1:47" ht="15">
      <c r="A632" s="49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/>
      <c r="AC632" s="49"/>
      <c r="AD632" s="49"/>
      <c r="AE632" s="49"/>
      <c r="AF632" s="49"/>
      <c r="AG632" s="49"/>
      <c r="AH632" s="49"/>
      <c r="AI632" s="49"/>
      <c r="AJ632" s="49"/>
      <c r="AK632" s="49"/>
      <c r="AL632" s="49"/>
      <c r="AM632" s="49"/>
      <c r="AN632" s="49"/>
      <c r="AO632" s="49"/>
      <c r="AP632" s="49"/>
      <c r="AQ632" s="49"/>
      <c r="AR632" s="49"/>
      <c r="AS632" s="49"/>
      <c r="AT632" s="49"/>
      <c r="AU632" s="49"/>
    </row>
    <row r="633" spans="1:47" ht="15">
      <c r="A633" s="49"/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  <c r="AA633" s="49"/>
      <c r="AB633" s="49"/>
      <c r="AC633" s="49"/>
      <c r="AD633" s="49"/>
      <c r="AE633" s="49"/>
      <c r="AF633" s="49"/>
      <c r="AG633" s="49"/>
      <c r="AH633" s="49"/>
      <c r="AI633" s="49"/>
      <c r="AJ633" s="49"/>
      <c r="AK633" s="49"/>
      <c r="AL633" s="49"/>
      <c r="AM633" s="49"/>
      <c r="AN633" s="49"/>
      <c r="AO633" s="49"/>
      <c r="AP633" s="49"/>
      <c r="AQ633" s="49"/>
      <c r="AR633" s="49"/>
      <c r="AS633" s="49"/>
      <c r="AT633" s="49"/>
      <c r="AU633" s="49"/>
    </row>
    <row r="634" spans="1:47" ht="15">
      <c r="A634" s="49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  <c r="AD634" s="49"/>
      <c r="AE634" s="49"/>
      <c r="AF634" s="49"/>
      <c r="AG634" s="49"/>
      <c r="AH634" s="49"/>
      <c r="AI634" s="49"/>
      <c r="AJ634" s="49"/>
      <c r="AK634" s="49"/>
      <c r="AL634" s="49"/>
      <c r="AM634" s="49"/>
      <c r="AN634" s="49"/>
      <c r="AO634" s="49"/>
      <c r="AP634" s="49"/>
      <c r="AQ634" s="49"/>
      <c r="AR634" s="49"/>
      <c r="AS634" s="49"/>
      <c r="AT634" s="49"/>
      <c r="AU634" s="49"/>
    </row>
    <row r="635" spans="1:47" ht="15">
      <c r="A635" s="49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  <c r="AD635" s="49"/>
      <c r="AE635" s="49"/>
      <c r="AF635" s="49"/>
      <c r="AG635" s="49"/>
      <c r="AH635" s="49"/>
      <c r="AI635" s="49"/>
      <c r="AJ635" s="49"/>
      <c r="AK635" s="49"/>
      <c r="AL635" s="49"/>
      <c r="AM635" s="49"/>
      <c r="AN635" s="49"/>
      <c r="AO635" s="49"/>
      <c r="AP635" s="49"/>
      <c r="AQ635" s="49"/>
      <c r="AR635" s="49"/>
      <c r="AS635" s="49"/>
      <c r="AT635" s="49"/>
      <c r="AU635" s="49"/>
    </row>
    <row r="636" spans="1:47" ht="15">
      <c r="A636" s="49"/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  <c r="AD636" s="49"/>
      <c r="AE636" s="49"/>
      <c r="AF636" s="49"/>
      <c r="AG636" s="49"/>
      <c r="AH636" s="49"/>
      <c r="AI636" s="49"/>
      <c r="AJ636" s="49"/>
      <c r="AK636" s="49"/>
      <c r="AL636" s="49"/>
      <c r="AM636" s="49"/>
      <c r="AN636" s="49"/>
      <c r="AO636" s="49"/>
      <c r="AP636" s="49"/>
      <c r="AQ636" s="49"/>
      <c r="AR636" s="49"/>
      <c r="AS636" s="49"/>
      <c r="AT636" s="49"/>
      <c r="AU636" s="49"/>
    </row>
    <row r="637" spans="1:47" ht="15">
      <c r="A637" s="49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/>
      <c r="AC637" s="49"/>
      <c r="AD637" s="49"/>
      <c r="AE637" s="49"/>
      <c r="AF637" s="49"/>
      <c r="AG637" s="49"/>
      <c r="AH637" s="49"/>
      <c r="AI637" s="49"/>
      <c r="AJ637" s="49"/>
      <c r="AK637" s="49"/>
      <c r="AL637" s="49"/>
      <c r="AM637" s="49"/>
      <c r="AN637" s="49"/>
      <c r="AO637" s="49"/>
      <c r="AP637" s="49"/>
      <c r="AQ637" s="49"/>
      <c r="AR637" s="49"/>
      <c r="AS637" s="49"/>
      <c r="AT637" s="49"/>
      <c r="AU637" s="49"/>
    </row>
    <row r="638" spans="1:47" ht="15">
      <c r="A638" s="49"/>
      <c r="B638" s="49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  <c r="AA638" s="49"/>
      <c r="AB638" s="49"/>
      <c r="AC638" s="49"/>
      <c r="AD638" s="49"/>
      <c r="AE638" s="49"/>
      <c r="AF638" s="49"/>
      <c r="AG638" s="49"/>
      <c r="AH638" s="49"/>
      <c r="AI638" s="49"/>
      <c r="AJ638" s="49"/>
      <c r="AK638" s="49"/>
      <c r="AL638" s="49"/>
      <c r="AM638" s="49"/>
      <c r="AN638" s="49"/>
      <c r="AO638" s="49"/>
      <c r="AP638" s="49"/>
      <c r="AQ638" s="49"/>
      <c r="AR638" s="49"/>
      <c r="AS638" s="49"/>
      <c r="AT638" s="49"/>
      <c r="AU638" s="49"/>
    </row>
    <row r="639" spans="1:47" ht="15">
      <c r="A639" s="49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/>
      <c r="AC639" s="49"/>
      <c r="AD639" s="49"/>
      <c r="AE639" s="49"/>
      <c r="AF639" s="49"/>
      <c r="AG639" s="49"/>
      <c r="AH639" s="49"/>
      <c r="AI639" s="49"/>
      <c r="AJ639" s="49"/>
      <c r="AK639" s="49"/>
      <c r="AL639" s="49"/>
      <c r="AM639" s="49"/>
      <c r="AN639" s="49"/>
      <c r="AO639" s="49"/>
      <c r="AP639" s="49"/>
      <c r="AQ639" s="49"/>
      <c r="AR639" s="49"/>
      <c r="AS639" s="49"/>
      <c r="AT639" s="49"/>
      <c r="AU639" s="49"/>
    </row>
    <row r="640" spans="1:47" ht="15">
      <c r="A640" s="49"/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/>
      <c r="AC640" s="49"/>
      <c r="AD640" s="49"/>
      <c r="AE640" s="49"/>
      <c r="AF640" s="49"/>
      <c r="AG640" s="49"/>
      <c r="AH640" s="49"/>
      <c r="AI640" s="49"/>
      <c r="AJ640" s="49"/>
      <c r="AK640" s="49"/>
      <c r="AL640" s="49"/>
      <c r="AM640" s="49"/>
      <c r="AN640" s="49"/>
      <c r="AO640" s="49"/>
      <c r="AP640" s="49"/>
      <c r="AQ640" s="49"/>
      <c r="AR640" s="49"/>
      <c r="AS640" s="49"/>
      <c r="AT640" s="49"/>
      <c r="AU640" s="49"/>
    </row>
    <row r="641" spans="1:47" ht="15">
      <c r="A641" s="49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  <c r="AA641" s="49"/>
      <c r="AB641" s="49"/>
      <c r="AC641" s="49"/>
      <c r="AD641" s="49"/>
      <c r="AE641" s="49"/>
      <c r="AF641" s="49"/>
      <c r="AG641" s="49"/>
      <c r="AH641" s="49"/>
      <c r="AI641" s="49"/>
      <c r="AJ641" s="49"/>
      <c r="AK641" s="49"/>
      <c r="AL641" s="49"/>
      <c r="AM641" s="49"/>
      <c r="AN641" s="49"/>
      <c r="AO641" s="49"/>
      <c r="AP641" s="49"/>
      <c r="AQ641" s="49"/>
      <c r="AR641" s="49"/>
      <c r="AS641" s="49"/>
      <c r="AT641" s="49"/>
      <c r="AU641" s="49"/>
    </row>
    <row r="642" spans="1:47" ht="15">
      <c r="A642" s="49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/>
      <c r="AC642" s="49"/>
      <c r="AD642" s="49"/>
      <c r="AE642" s="49"/>
      <c r="AF642" s="49"/>
      <c r="AG642" s="49"/>
      <c r="AH642" s="49"/>
      <c r="AI642" s="49"/>
      <c r="AJ642" s="49"/>
      <c r="AK642" s="49"/>
      <c r="AL642" s="49"/>
      <c r="AM642" s="49"/>
      <c r="AN642" s="49"/>
      <c r="AO642" s="49"/>
      <c r="AP642" s="49"/>
      <c r="AQ642" s="49"/>
      <c r="AR642" s="49"/>
      <c r="AS642" s="49"/>
      <c r="AT642" s="49"/>
      <c r="AU642" s="49"/>
    </row>
    <row r="643" spans="1:47" ht="15">
      <c r="A643" s="49"/>
      <c r="B643" s="49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  <c r="AA643" s="49"/>
      <c r="AB643" s="49"/>
      <c r="AC643" s="49"/>
      <c r="AD643" s="49"/>
      <c r="AE643" s="49"/>
      <c r="AF643" s="49"/>
      <c r="AG643" s="49"/>
      <c r="AH643" s="49"/>
      <c r="AI643" s="49"/>
      <c r="AJ643" s="49"/>
      <c r="AK643" s="49"/>
      <c r="AL643" s="49"/>
      <c r="AM643" s="49"/>
      <c r="AN643" s="49"/>
      <c r="AO643" s="49"/>
      <c r="AP643" s="49"/>
      <c r="AQ643" s="49"/>
      <c r="AR643" s="49"/>
      <c r="AS643" s="49"/>
      <c r="AT643" s="49"/>
      <c r="AU643" s="49"/>
    </row>
    <row r="644" spans="1:47" ht="15">
      <c r="A644" s="49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  <c r="AD644" s="49"/>
      <c r="AE644" s="49"/>
      <c r="AF644" s="49"/>
      <c r="AG644" s="49"/>
      <c r="AH644" s="49"/>
      <c r="AI644" s="49"/>
      <c r="AJ644" s="49"/>
      <c r="AK644" s="49"/>
      <c r="AL644" s="49"/>
      <c r="AM644" s="49"/>
      <c r="AN644" s="49"/>
      <c r="AO644" s="49"/>
      <c r="AP644" s="49"/>
      <c r="AQ644" s="49"/>
      <c r="AR644" s="49"/>
      <c r="AS644" s="49"/>
      <c r="AT644" s="49"/>
      <c r="AU644" s="49"/>
    </row>
    <row r="645" spans="1:47" ht="15">
      <c r="A645" s="49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  <c r="AD645" s="49"/>
      <c r="AE645" s="49"/>
      <c r="AF645" s="49"/>
      <c r="AG645" s="49"/>
      <c r="AH645" s="49"/>
      <c r="AI645" s="49"/>
      <c r="AJ645" s="49"/>
      <c r="AK645" s="49"/>
      <c r="AL645" s="49"/>
      <c r="AM645" s="49"/>
      <c r="AN645" s="49"/>
      <c r="AO645" s="49"/>
      <c r="AP645" s="49"/>
      <c r="AQ645" s="49"/>
      <c r="AR645" s="49"/>
      <c r="AS645" s="49"/>
      <c r="AT645" s="49"/>
      <c r="AU645" s="49"/>
    </row>
    <row r="646" spans="1:47" ht="15">
      <c r="A646" s="49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  <c r="AD646" s="49"/>
      <c r="AE646" s="49"/>
      <c r="AF646" s="49"/>
      <c r="AG646" s="49"/>
      <c r="AH646" s="49"/>
      <c r="AI646" s="49"/>
      <c r="AJ646" s="49"/>
      <c r="AK646" s="49"/>
      <c r="AL646" s="49"/>
      <c r="AM646" s="49"/>
      <c r="AN646" s="49"/>
      <c r="AO646" s="49"/>
      <c r="AP646" s="49"/>
      <c r="AQ646" s="49"/>
      <c r="AR646" s="49"/>
      <c r="AS646" s="49"/>
      <c r="AT646" s="49"/>
      <c r="AU646" s="49"/>
    </row>
    <row r="647" spans="1:47" ht="15">
      <c r="A647" s="49"/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/>
      <c r="AC647" s="49"/>
      <c r="AD647" s="49"/>
      <c r="AE647" s="49"/>
      <c r="AF647" s="49"/>
      <c r="AG647" s="49"/>
      <c r="AH647" s="49"/>
      <c r="AI647" s="49"/>
      <c r="AJ647" s="49"/>
      <c r="AK647" s="49"/>
      <c r="AL647" s="49"/>
      <c r="AM647" s="49"/>
      <c r="AN647" s="49"/>
      <c r="AO647" s="49"/>
      <c r="AP647" s="49"/>
      <c r="AQ647" s="49"/>
      <c r="AR647" s="49"/>
      <c r="AS647" s="49"/>
      <c r="AT647" s="49"/>
      <c r="AU647" s="49"/>
    </row>
    <row r="648" spans="1:47" ht="15">
      <c r="A648" s="49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  <c r="AA648" s="49"/>
      <c r="AB648" s="49"/>
      <c r="AC648" s="49"/>
      <c r="AD648" s="49"/>
      <c r="AE648" s="49"/>
      <c r="AF648" s="49"/>
      <c r="AG648" s="49"/>
      <c r="AH648" s="49"/>
      <c r="AI648" s="49"/>
      <c r="AJ648" s="49"/>
      <c r="AK648" s="49"/>
      <c r="AL648" s="49"/>
      <c r="AM648" s="49"/>
      <c r="AN648" s="49"/>
      <c r="AO648" s="49"/>
      <c r="AP648" s="49"/>
      <c r="AQ648" s="49"/>
      <c r="AR648" s="49"/>
      <c r="AS648" s="49"/>
      <c r="AT648" s="49"/>
      <c r="AU648" s="49"/>
    </row>
    <row r="649" spans="1:47" ht="15">
      <c r="A649" s="49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/>
      <c r="AC649" s="49"/>
      <c r="AD649" s="49"/>
      <c r="AE649" s="49"/>
      <c r="AF649" s="49"/>
      <c r="AG649" s="49"/>
      <c r="AH649" s="49"/>
      <c r="AI649" s="49"/>
      <c r="AJ649" s="49"/>
      <c r="AK649" s="49"/>
      <c r="AL649" s="49"/>
      <c r="AM649" s="49"/>
      <c r="AN649" s="49"/>
      <c r="AO649" s="49"/>
      <c r="AP649" s="49"/>
      <c r="AQ649" s="49"/>
      <c r="AR649" s="49"/>
      <c r="AS649" s="49"/>
      <c r="AT649" s="49"/>
      <c r="AU649" s="49"/>
    </row>
    <row r="650" spans="1:47" ht="15">
      <c r="A650" s="49"/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  <c r="AB650" s="49"/>
      <c r="AC650" s="49"/>
      <c r="AD650" s="49"/>
      <c r="AE650" s="49"/>
      <c r="AF650" s="49"/>
      <c r="AG650" s="49"/>
      <c r="AH650" s="49"/>
      <c r="AI650" s="49"/>
      <c r="AJ650" s="49"/>
      <c r="AK650" s="49"/>
      <c r="AL650" s="49"/>
      <c r="AM650" s="49"/>
      <c r="AN650" s="49"/>
      <c r="AO650" s="49"/>
      <c r="AP650" s="49"/>
      <c r="AQ650" s="49"/>
      <c r="AR650" s="49"/>
      <c r="AS650" s="49"/>
      <c r="AT650" s="49"/>
      <c r="AU650" s="49"/>
    </row>
    <row r="651" spans="1:47" ht="15">
      <c r="A651" s="49"/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  <c r="AA651" s="49"/>
      <c r="AB651" s="49"/>
      <c r="AC651" s="49"/>
      <c r="AD651" s="49"/>
      <c r="AE651" s="49"/>
      <c r="AF651" s="49"/>
      <c r="AG651" s="49"/>
      <c r="AH651" s="49"/>
      <c r="AI651" s="49"/>
      <c r="AJ651" s="49"/>
      <c r="AK651" s="49"/>
      <c r="AL651" s="49"/>
      <c r="AM651" s="49"/>
      <c r="AN651" s="49"/>
      <c r="AO651" s="49"/>
      <c r="AP651" s="49"/>
      <c r="AQ651" s="49"/>
      <c r="AR651" s="49"/>
      <c r="AS651" s="49"/>
      <c r="AT651" s="49"/>
      <c r="AU651" s="49"/>
    </row>
    <row r="652" spans="1:47" ht="15">
      <c r="A652" s="49"/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  <c r="AB652" s="49"/>
      <c r="AC652" s="49"/>
      <c r="AD652" s="49"/>
      <c r="AE652" s="49"/>
      <c r="AF652" s="49"/>
      <c r="AG652" s="49"/>
      <c r="AH652" s="49"/>
      <c r="AI652" s="49"/>
      <c r="AJ652" s="49"/>
      <c r="AK652" s="49"/>
      <c r="AL652" s="49"/>
      <c r="AM652" s="49"/>
      <c r="AN652" s="49"/>
      <c r="AO652" s="49"/>
      <c r="AP652" s="49"/>
      <c r="AQ652" s="49"/>
      <c r="AR652" s="49"/>
      <c r="AS652" s="49"/>
      <c r="AT652" s="49"/>
      <c r="AU652" s="49"/>
    </row>
    <row r="653" spans="1:47" ht="15">
      <c r="A653" s="49"/>
      <c r="B653" s="49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  <c r="AA653" s="49"/>
      <c r="AB653" s="49"/>
      <c r="AC653" s="49"/>
      <c r="AD653" s="49"/>
      <c r="AE653" s="49"/>
      <c r="AF653" s="49"/>
      <c r="AG653" s="49"/>
      <c r="AH653" s="49"/>
      <c r="AI653" s="49"/>
      <c r="AJ653" s="49"/>
      <c r="AK653" s="49"/>
      <c r="AL653" s="49"/>
      <c r="AM653" s="49"/>
      <c r="AN653" s="49"/>
      <c r="AO653" s="49"/>
      <c r="AP653" s="49"/>
      <c r="AQ653" s="49"/>
      <c r="AR653" s="49"/>
      <c r="AS653" s="49"/>
      <c r="AT653" s="49"/>
      <c r="AU653" s="49"/>
    </row>
    <row r="654" spans="1:47" ht="15">
      <c r="A654" s="49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  <c r="AD654" s="49"/>
      <c r="AE654" s="49"/>
      <c r="AF654" s="49"/>
      <c r="AG654" s="49"/>
      <c r="AH654" s="49"/>
      <c r="AI654" s="49"/>
      <c r="AJ654" s="49"/>
      <c r="AK654" s="49"/>
      <c r="AL654" s="49"/>
      <c r="AM654" s="49"/>
      <c r="AN654" s="49"/>
      <c r="AO654" s="49"/>
      <c r="AP654" s="49"/>
      <c r="AQ654" s="49"/>
      <c r="AR654" s="49"/>
      <c r="AS654" s="49"/>
      <c r="AT654" s="49"/>
      <c r="AU654" s="49"/>
    </row>
    <row r="655" spans="1:47" ht="15">
      <c r="A655" s="49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  <c r="AD655" s="49"/>
      <c r="AE655" s="49"/>
      <c r="AF655" s="49"/>
      <c r="AG655" s="49"/>
      <c r="AH655" s="49"/>
      <c r="AI655" s="49"/>
      <c r="AJ655" s="49"/>
      <c r="AK655" s="49"/>
      <c r="AL655" s="49"/>
      <c r="AM655" s="49"/>
      <c r="AN655" s="49"/>
      <c r="AO655" s="49"/>
      <c r="AP655" s="49"/>
      <c r="AQ655" s="49"/>
      <c r="AR655" s="49"/>
      <c r="AS655" s="49"/>
      <c r="AT655" s="49"/>
      <c r="AU655" s="49"/>
    </row>
    <row r="656" spans="1:47" ht="15">
      <c r="A656" s="49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  <c r="AD656" s="49"/>
      <c r="AE656" s="49"/>
      <c r="AF656" s="49"/>
      <c r="AG656" s="49"/>
      <c r="AH656" s="49"/>
      <c r="AI656" s="49"/>
      <c r="AJ656" s="49"/>
      <c r="AK656" s="49"/>
      <c r="AL656" s="49"/>
      <c r="AM656" s="49"/>
      <c r="AN656" s="49"/>
      <c r="AO656" s="49"/>
      <c r="AP656" s="49"/>
      <c r="AQ656" s="49"/>
      <c r="AR656" s="49"/>
      <c r="AS656" s="49"/>
      <c r="AT656" s="49"/>
      <c r="AU656" s="49"/>
    </row>
    <row r="657" spans="1:47" ht="15">
      <c r="A657" s="49"/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/>
      <c r="AC657" s="49"/>
      <c r="AD657" s="49"/>
      <c r="AE657" s="49"/>
      <c r="AF657" s="49"/>
      <c r="AG657" s="49"/>
      <c r="AH657" s="49"/>
      <c r="AI657" s="49"/>
      <c r="AJ657" s="49"/>
      <c r="AK657" s="49"/>
      <c r="AL657" s="49"/>
      <c r="AM657" s="49"/>
      <c r="AN657" s="49"/>
      <c r="AO657" s="49"/>
      <c r="AP657" s="49"/>
      <c r="AQ657" s="49"/>
      <c r="AR657" s="49"/>
      <c r="AS657" s="49"/>
      <c r="AT657" s="49"/>
      <c r="AU657" s="49"/>
    </row>
    <row r="658" spans="1:47" ht="15">
      <c r="A658" s="49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  <c r="AA658" s="49"/>
      <c r="AB658" s="49"/>
      <c r="AC658" s="49"/>
      <c r="AD658" s="49"/>
      <c r="AE658" s="49"/>
      <c r="AF658" s="49"/>
      <c r="AG658" s="49"/>
      <c r="AH658" s="49"/>
      <c r="AI658" s="49"/>
      <c r="AJ658" s="49"/>
      <c r="AK658" s="49"/>
      <c r="AL658" s="49"/>
      <c r="AM658" s="49"/>
      <c r="AN658" s="49"/>
      <c r="AO658" s="49"/>
      <c r="AP658" s="49"/>
      <c r="AQ658" s="49"/>
      <c r="AR658" s="49"/>
      <c r="AS658" s="49"/>
      <c r="AT658" s="49"/>
      <c r="AU658" s="49"/>
    </row>
    <row r="659" spans="1:47" ht="15">
      <c r="A659" s="49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/>
      <c r="AC659" s="49"/>
      <c r="AD659" s="49"/>
      <c r="AE659" s="49"/>
      <c r="AF659" s="49"/>
      <c r="AG659" s="49"/>
      <c r="AH659" s="49"/>
      <c r="AI659" s="49"/>
      <c r="AJ659" s="49"/>
      <c r="AK659" s="49"/>
      <c r="AL659" s="49"/>
      <c r="AM659" s="49"/>
      <c r="AN659" s="49"/>
      <c r="AO659" s="49"/>
      <c r="AP659" s="49"/>
      <c r="AQ659" s="49"/>
      <c r="AR659" s="49"/>
      <c r="AS659" s="49"/>
      <c r="AT659" s="49"/>
      <c r="AU659" s="49"/>
    </row>
    <row r="660" spans="1:47" ht="15">
      <c r="A660" s="49"/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/>
      <c r="AC660" s="49"/>
      <c r="AD660" s="49"/>
      <c r="AE660" s="49"/>
      <c r="AF660" s="49"/>
      <c r="AG660" s="49"/>
      <c r="AH660" s="49"/>
      <c r="AI660" s="49"/>
      <c r="AJ660" s="49"/>
      <c r="AK660" s="49"/>
      <c r="AL660" s="49"/>
      <c r="AM660" s="49"/>
      <c r="AN660" s="49"/>
      <c r="AO660" s="49"/>
      <c r="AP660" s="49"/>
      <c r="AQ660" s="49"/>
      <c r="AR660" s="49"/>
      <c r="AS660" s="49"/>
      <c r="AT660" s="49"/>
      <c r="AU660" s="49"/>
    </row>
    <row r="661" spans="1:47" ht="15">
      <c r="A661" s="49"/>
      <c r="B661" s="49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  <c r="AA661" s="49"/>
      <c r="AB661" s="49"/>
      <c r="AC661" s="49"/>
      <c r="AD661" s="49"/>
      <c r="AE661" s="49"/>
      <c r="AF661" s="49"/>
      <c r="AG661" s="49"/>
      <c r="AH661" s="49"/>
      <c r="AI661" s="49"/>
      <c r="AJ661" s="49"/>
      <c r="AK661" s="49"/>
      <c r="AL661" s="49"/>
      <c r="AM661" s="49"/>
      <c r="AN661" s="49"/>
      <c r="AO661" s="49"/>
      <c r="AP661" s="49"/>
      <c r="AQ661" s="49"/>
      <c r="AR661" s="49"/>
      <c r="AS661" s="49"/>
      <c r="AT661" s="49"/>
      <c r="AU661" s="49"/>
    </row>
    <row r="662" spans="1:47" ht="15">
      <c r="A662" s="49"/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/>
      <c r="AC662" s="49"/>
      <c r="AD662" s="49"/>
      <c r="AE662" s="49"/>
      <c r="AF662" s="49"/>
      <c r="AG662" s="49"/>
      <c r="AH662" s="49"/>
      <c r="AI662" s="49"/>
      <c r="AJ662" s="49"/>
      <c r="AK662" s="49"/>
      <c r="AL662" s="49"/>
      <c r="AM662" s="49"/>
      <c r="AN662" s="49"/>
      <c r="AO662" s="49"/>
      <c r="AP662" s="49"/>
      <c r="AQ662" s="49"/>
      <c r="AR662" s="49"/>
      <c r="AS662" s="49"/>
      <c r="AT662" s="49"/>
      <c r="AU662" s="49"/>
    </row>
    <row r="663" spans="1:47" ht="15">
      <c r="A663" s="49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  <c r="AA663" s="49"/>
      <c r="AB663" s="49"/>
      <c r="AC663" s="49"/>
      <c r="AD663" s="49"/>
      <c r="AE663" s="49"/>
      <c r="AF663" s="49"/>
      <c r="AG663" s="49"/>
      <c r="AH663" s="49"/>
      <c r="AI663" s="49"/>
      <c r="AJ663" s="49"/>
      <c r="AK663" s="49"/>
      <c r="AL663" s="49"/>
      <c r="AM663" s="49"/>
      <c r="AN663" s="49"/>
      <c r="AO663" s="49"/>
      <c r="AP663" s="49"/>
      <c r="AQ663" s="49"/>
      <c r="AR663" s="49"/>
      <c r="AS663" s="49"/>
      <c r="AT663" s="49"/>
      <c r="AU663" s="49"/>
    </row>
    <row r="664" spans="1:47" ht="15">
      <c r="A664" s="49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  <c r="AA664" s="49"/>
      <c r="AB664" s="49"/>
      <c r="AC664" s="49"/>
      <c r="AD664" s="49"/>
      <c r="AE664" s="49"/>
      <c r="AF664" s="49"/>
      <c r="AG664" s="49"/>
      <c r="AH664" s="49"/>
      <c r="AI664" s="49"/>
      <c r="AJ664" s="49"/>
      <c r="AK664" s="49"/>
      <c r="AL664" s="49"/>
      <c r="AM664" s="49"/>
      <c r="AN664" s="49"/>
      <c r="AO664" s="49"/>
      <c r="AP664" s="49"/>
      <c r="AQ664" s="49"/>
      <c r="AR664" s="49"/>
      <c r="AS664" s="49"/>
      <c r="AT664" s="49"/>
      <c r="AU664" s="49"/>
    </row>
    <row r="665" spans="1:47" ht="15">
      <c r="A665" s="49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  <c r="AD665" s="49"/>
      <c r="AE665" s="49"/>
      <c r="AF665" s="49"/>
      <c r="AG665" s="49"/>
      <c r="AH665" s="49"/>
      <c r="AI665" s="49"/>
      <c r="AJ665" s="49"/>
      <c r="AK665" s="49"/>
      <c r="AL665" s="49"/>
      <c r="AM665" s="49"/>
      <c r="AN665" s="49"/>
      <c r="AO665" s="49"/>
      <c r="AP665" s="49"/>
      <c r="AQ665" s="49"/>
      <c r="AR665" s="49"/>
      <c r="AS665" s="49"/>
      <c r="AT665" s="49"/>
      <c r="AU665" s="49"/>
    </row>
    <row r="666" spans="1:47" ht="15">
      <c r="A666" s="49"/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  <c r="AA666" s="49"/>
      <c r="AB666" s="49"/>
      <c r="AC666" s="49"/>
      <c r="AD666" s="49"/>
      <c r="AE666" s="49"/>
      <c r="AF666" s="49"/>
      <c r="AG666" s="49"/>
      <c r="AH666" s="49"/>
      <c r="AI666" s="49"/>
      <c r="AJ666" s="49"/>
      <c r="AK666" s="49"/>
      <c r="AL666" s="49"/>
      <c r="AM666" s="49"/>
      <c r="AN666" s="49"/>
      <c r="AO666" s="49"/>
      <c r="AP666" s="49"/>
      <c r="AQ666" s="49"/>
      <c r="AR666" s="49"/>
      <c r="AS666" s="49"/>
      <c r="AT666" s="49"/>
      <c r="AU666" s="49"/>
    </row>
    <row r="667" spans="1:47" ht="15">
      <c r="A667" s="49"/>
      <c r="B667" s="49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  <c r="AA667" s="49"/>
      <c r="AB667" s="49"/>
      <c r="AC667" s="49"/>
      <c r="AD667" s="49"/>
      <c r="AE667" s="49"/>
      <c r="AF667" s="49"/>
      <c r="AG667" s="49"/>
      <c r="AH667" s="49"/>
      <c r="AI667" s="49"/>
      <c r="AJ667" s="49"/>
      <c r="AK667" s="49"/>
      <c r="AL667" s="49"/>
      <c r="AM667" s="49"/>
      <c r="AN667" s="49"/>
      <c r="AO667" s="49"/>
      <c r="AP667" s="49"/>
      <c r="AQ667" s="49"/>
      <c r="AR667" s="49"/>
      <c r="AS667" s="49"/>
      <c r="AT667" s="49"/>
      <c r="AU667" s="49"/>
    </row>
    <row r="668" spans="1:47" ht="15">
      <c r="A668" s="49"/>
      <c r="B668" s="49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  <c r="AA668" s="49"/>
      <c r="AB668" s="49"/>
      <c r="AC668" s="49"/>
      <c r="AD668" s="49"/>
      <c r="AE668" s="49"/>
      <c r="AF668" s="49"/>
      <c r="AG668" s="49"/>
      <c r="AH668" s="49"/>
      <c r="AI668" s="49"/>
      <c r="AJ668" s="49"/>
      <c r="AK668" s="49"/>
      <c r="AL668" s="49"/>
      <c r="AM668" s="49"/>
      <c r="AN668" s="49"/>
      <c r="AO668" s="49"/>
      <c r="AP668" s="49"/>
      <c r="AQ668" s="49"/>
      <c r="AR668" s="49"/>
      <c r="AS668" s="49"/>
      <c r="AT668" s="49"/>
      <c r="AU668" s="49"/>
    </row>
    <row r="669" spans="1:47" ht="15">
      <c r="A669" s="49"/>
      <c r="B669" s="49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  <c r="AA669" s="49"/>
      <c r="AB669" s="49"/>
      <c r="AC669" s="49"/>
      <c r="AD669" s="49"/>
      <c r="AE669" s="49"/>
      <c r="AF669" s="49"/>
      <c r="AG669" s="49"/>
      <c r="AH669" s="49"/>
      <c r="AI669" s="49"/>
      <c r="AJ669" s="49"/>
      <c r="AK669" s="49"/>
      <c r="AL669" s="49"/>
      <c r="AM669" s="49"/>
      <c r="AN669" s="49"/>
      <c r="AO669" s="49"/>
      <c r="AP669" s="49"/>
      <c r="AQ669" s="49"/>
      <c r="AR669" s="49"/>
      <c r="AS669" s="49"/>
      <c r="AT669" s="49"/>
      <c r="AU669" s="49"/>
    </row>
    <row r="670" spans="1:47" ht="15">
      <c r="A670" s="49"/>
      <c r="B670" s="49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  <c r="AA670" s="49"/>
      <c r="AB670" s="49"/>
      <c r="AC670" s="49"/>
      <c r="AD670" s="49"/>
      <c r="AE670" s="49"/>
      <c r="AF670" s="49"/>
      <c r="AG670" s="49"/>
      <c r="AH670" s="49"/>
      <c r="AI670" s="49"/>
      <c r="AJ670" s="49"/>
      <c r="AK670" s="49"/>
      <c r="AL670" s="49"/>
      <c r="AM670" s="49"/>
      <c r="AN670" s="49"/>
      <c r="AO670" s="49"/>
      <c r="AP670" s="49"/>
      <c r="AQ670" s="49"/>
      <c r="AR670" s="49"/>
      <c r="AS670" s="49"/>
      <c r="AT670" s="49"/>
      <c r="AU670" s="49"/>
    </row>
    <row r="671" spans="1:47" ht="15">
      <c r="A671" s="49"/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  <c r="AA671" s="49"/>
      <c r="AB671" s="49"/>
      <c r="AC671" s="49"/>
      <c r="AD671" s="49"/>
      <c r="AE671" s="49"/>
      <c r="AF671" s="49"/>
      <c r="AG671" s="49"/>
      <c r="AH671" s="49"/>
      <c r="AI671" s="49"/>
      <c r="AJ671" s="49"/>
      <c r="AK671" s="49"/>
      <c r="AL671" s="49"/>
      <c r="AM671" s="49"/>
      <c r="AN671" s="49"/>
      <c r="AO671" s="49"/>
      <c r="AP671" s="49"/>
      <c r="AQ671" s="49"/>
      <c r="AR671" s="49"/>
      <c r="AS671" s="49"/>
      <c r="AT671" s="49"/>
      <c r="AU671" s="49"/>
    </row>
    <row r="672" spans="1:47" ht="15">
      <c r="A672" s="49"/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  <c r="AA672" s="49"/>
      <c r="AB672" s="49"/>
      <c r="AC672" s="49"/>
      <c r="AD672" s="49"/>
      <c r="AE672" s="49"/>
      <c r="AF672" s="49"/>
      <c r="AG672" s="49"/>
      <c r="AH672" s="49"/>
      <c r="AI672" s="49"/>
      <c r="AJ672" s="49"/>
      <c r="AK672" s="49"/>
      <c r="AL672" s="49"/>
      <c r="AM672" s="49"/>
      <c r="AN672" s="49"/>
      <c r="AO672" s="49"/>
      <c r="AP672" s="49"/>
      <c r="AQ672" s="49"/>
      <c r="AR672" s="49"/>
      <c r="AS672" s="49"/>
      <c r="AT672" s="49"/>
      <c r="AU672" s="49"/>
    </row>
    <row r="673" spans="1:47" ht="15">
      <c r="A673" s="49"/>
      <c r="B673" s="49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  <c r="AA673" s="49"/>
      <c r="AB673" s="49"/>
      <c r="AC673" s="49"/>
      <c r="AD673" s="49"/>
      <c r="AE673" s="49"/>
      <c r="AF673" s="49"/>
      <c r="AG673" s="49"/>
      <c r="AH673" s="49"/>
      <c r="AI673" s="49"/>
      <c r="AJ673" s="49"/>
      <c r="AK673" s="49"/>
      <c r="AL673" s="49"/>
      <c r="AM673" s="49"/>
      <c r="AN673" s="49"/>
      <c r="AO673" s="49"/>
      <c r="AP673" s="49"/>
      <c r="AQ673" s="49"/>
      <c r="AR673" s="49"/>
      <c r="AS673" s="49"/>
      <c r="AT673" s="49"/>
      <c r="AU673" s="49"/>
    </row>
    <row r="674" spans="1:47" ht="15">
      <c r="A674" s="49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  <c r="AD674" s="49"/>
      <c r="AE674" s="49"/>
      <c r="AF674" s="49"/>
      <c r="AG674" s="49"/>
      <c r="AH674" s="49"/>
      <c r="AI674" s="49"/>
      <c r="AJ674" s="49"/>
      <c r="AK674" s="49"/>
      <c r="AL674" s="49"/>
      <c r="AM674" s="49"/>
      <c r="AN674" s="49"/>
      <c r="AO674" s="49"/>
      <c r="AP674" s="49"/>
      <c r="AQ674" s="49"/>
      <c r="AR674" s="49"/>
      <c r="AS674" s="49"/>
      <c r="AT674" s="49"/>
      <c r="AU674" s="49"/>
    </row>
    <row r="675" spans="1:47" ht="15">
      <c r="A675" s="49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  <c r="AD675" s="49"/>
      <c r="AE675" s="49"/>
      <c r="AF675" s="49"/>
      <c r="AG675" s="49"/>
      <c r="AH675" s="49"/>
      <c r="AI675" s="49"/>
      <c r="AJ675" s="49"/>
      <c r="AK675" s="49"/>
      <c r="AL675" s="49"/>
      <c r="AM675" s="49"/>
      <c r="AN675" s="49"/>
      <c r="AO675" s="49"/>
      <c r="AP675" s="49"/>
      <c r="AQ675" s="49"/>
      <c r="AR675" s="49"/>
      <c r="AS675" s="49"/>
      <c r="AT675" s="49"/>
      <c r="AU675" s="49"/>
    </row>
    <row r="676" spans="1:47" ht="15">
      <c r="A676" s="49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  <c r="AD676" s="49"/>
      <c r="AE676" s="49"/>
      <c r="AF676" s="49"/>
      <c r="AG676" s="49"/>
      <c r="AH676" s="49"/>
      <c r="AI676" s="49"/>
      <c r="AJ676" s="49"/>
      <c r="AK676" s="49"/>
      <c r="AL676" s="49"/>
      <c r="AM676" s="49"/>
      <c r="AN676" s="49"/>
      <c r="AO676" s="49"/>
      <c r="AP676" s="49"/>
      <c r="AQ676" s="49"/>
      <c r="AR676" s="49"/>
      <c r="AS676" s="49"/>
      <c r="AT676" s="49"/>
      <c r="AU676" s="49"/>
    </row>
    <row r="677" spans="1:47" ht="15">
      <c r="A677" s="49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/>
      <c r="AC677" s="49"/>
      <c r="AD677" s="49"/>
      <c r="AE677" s="49"/>
      <c r="AF677" s="49"/>
      <c r="AG677" s="49"/>
      <c r="AH677" s="49"/>
      <c r="AI677" s="49"/>
      <c r="AJ677" s="49"/>
      <c r="AK677" s="49"/>
      <c r="AL677" s="49"/>
      <c r="AM677" s="49"/>
      <c r="AN677" s="49"/>
      <c r="AO677" s="49"/>
      <c r="AP677" s="49"/>
      <c r="AQ677" s="49"/>
      <c r="AR677" s="49"/>
      <c r="AS677" s="49"/>
      <c r="AT677" s="49"/>
      <c r="AU677" s="49"/>
    </row>
    <row r="678" spans="1:47" ht="15">
      <c r="A678" s="49"/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  <c r="AA678" s="49"/>
      <c r="AB678" s="49"/>
      <c r="AC678" s="49"/>
      <c r="AD678" s="49"/>
      <c r="AE678" s="49"/>
      <c r="AF678" s="49"/>
      <c r="AG678" s="49"/>
      <c r="AH678" s="49"/>
      <c r="AI678" s="49"/>
      <c r="AJ678" s="49"/>
      <c r="AK678" s="49"/>
      <c r="AL678" s="49"/>
      <c r="AM678" s="49"/>
      <c r="AN678" s="49"/>
      <c r="AO678" s="49"/>
      <c r="AP678" s="49"/>
      <c r="AQ678" s="49"/>
      <c r="AR678" s="49"/>
      <c r="AS678" s="49"/>
      <c r="AT678" s="49"/>
      <c r="AU678" s="49"/>
    </row>
    <row r="679" spans="1:47" ht="15">
      <c r="A679" s="49"/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A679" s="49"/>
      <c r="AB679" s="49"/>
      <c r="AC679" s="49"/>
      <c r="AD679" s="49"/>
      <c r="AE679" s="49"/>
      <c r="AF679" s="49"/>
      <c r="AG679" s="49"/>
      <c r="AH679" s="49"/>
      <c r="AI679" s="49"/>
      <c r="AJ679" s="49"/>
      <c r="AK679" s="49"/>
      <c r="AL679" s="49"/>
      <c r="AM679" s="49"/>
      <c r="AN679" s="49"/>
      <c r="AO679" s="49"/>
      <c r="AP679" s="49"/>
      <c r="AQ679" s="49"/>
      <c r="AR679" s="49"/>
      <c r="AS679" s="49"/>
      <c r="AT679" s="49"/>
      <c r="AU679" s="49"/>
    </row>
    <row r="680" spans="1:47" ht="15">
      <c r="A680" s="49"/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9"/>
      <c r="AB680" s="49"/>
      <c r="AC680" s="49"/>
      <c r="AD680" s="49"/>
      <c r="AE680" s="49"/>
      <c r="AF680" s="49"/>
      <c r="AG680" s="49"/>
      <c r="AH680" s="49"/>
      <c r="AI680" s="49"/>
      <c r="AJ680" s="49"/>
      <c r="AK680" s="49"/>
      <c r="AL680" s="49"/>
      <c r="AM680" s="49"/>
      <c r="AN680" s="49"/>
      <c r="AO680" s="49"/>
      <c r="AP680" s="49"/>
      <c r="AQ680" s="49"/>
      <c r="AR680" s="49"/>
      <c r="AS680" s="49"/>
      <c r="AT680" s="49"/>
      <c r="AU680" s="49"/>
    </row>
    <row r="681" spans="1:47" ht="15">
      <c r="A681" s="49"/>
      <c r="B681" s="49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  <c r="AA681" s="49"/>
      <c r="AB681" s="49"/>
      <c r="AC681" s="49"/>
      <c r="AD681" s="49"/>
      <c r="AE681" s="49"/>
      <c r="AF681" s="49"/>
      <c r="AG681" s="49"/>
      <c r="AH681" s="49"/>
      <c r="AI681" s="49"/>
      <c r="AJ681" s="49"/>
      <c r="AK681" s="49"/>
      <c r="AL681" s="49"/>
      <c r="AM681" s="49"/>
      <c r="AN681" s="49"/>
      <c r="AO681" s="49"/>
      <c r="AP681" s="49"/>
      <c r="AQ681" s="49"/>
      <c r="AR681" s="49"/>
      <c r="AS681" s="49"/>
      <c r="AT681" s="49"/>
      <c r="AU681" s="49"/>
    </row>
    <row r="682" spans="1:47" ht="15">
      <c r="A682" s="49"/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9"/>
      <c r="AB682" s="49"/>
      <c r="AC682" s="49"/>
      <c r="AD682" s="49"/>
      <c r="AE682" s="49"/>
      <c r="AF682" s="49"/>
      <c r="AG682" s="49"/>
      <c r="AH682" s="49"/>
      <c r="AI682" s="49"/>
      <c r="AJ682" s="49"/>
      <c r="AK682" s="49"/>
      <c r="AL682" s="49"/>
      <c r="AM682" s="49"/>
      <c r="AN682" s="49"/>
      <c r="AO682" s="49"/>
      <c r="AP682" s="49"/>
      <c r="AQ682" s="49"/>
      <c r="AR682" s="49"/>
      <c r="AS682" s="49"/>
      <c r="AT682" s="49"/>
      <c r="AU682" s="49"/>
    </row>
    <row r="683" spans="1:47" ht="15">
      <c r="A683" s="49"/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  <c r="AA683" s="49"/>
      <c r="AB683" s="49"/>
      <c r="AC683" s="49"/>
      <c r="AD683" s="49"/>
      <c r="AE683" s="49"/>
      <c r="AF683" s="49"/>
      <c r="AG683" s="49"/>
      <c r="AH683" s="49"/>
      <c r="AI683" s="49"/>
      <c r="AJ683" s="49"/>
      <c r="AK683" s="49"/>
      <c r="AL683" s="49"/>
      <c r="AM683" s="49"/>
      <c r="AN683" s="49"/>
      <c r="AO683" s="49"/>
      <c r="AP683" s="49"/>
      <c r="AQ683" s="49"/>
      <c r="AR683" s="49"/>
      <c r="AS683" s="49"/>
      <c r="AT683" s="49"/>
      <c r="AU683" s="49"/>
    </row>
    <row r="684" spans="1:47" ht="15">
      <c r="A684" s="49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9"/>
      <c r="AB684" s="49"/>
      <c r="AC684" s="49"/>
      <c r="AD684" s="49"/>
      <c r="AE684" s="49"/>
      <c r="AF684" s="49"/>
      <c r="AG684" s="49"/>
      <c r="AH684" s="49"/>
      <c r="AI684" s="49"/>
      <c r="AJ684" s="49"/>
      <c r="AK684" s="49"/>
      <c r="AL684" s="49"/>
      <c r="AM684" s="49"/>
      <c r="AN684" s="49"/>
      <c r="AO684" s="49"/>
      <c r="AP684" s="49"/>
      <c r="AQ684" s="49"/>
      <c r="AR684" s="49"/>
      <c r="AS684" s="49"/>
      <c r="AT684" s="49"/>
      <c r="AU684" s="49"/>
    </row>
    <row r="685" spans="1:47" ht="15">
      <c r="A685" s="49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  <c r="AA685" s="49"/>
      <c r="AB685" s="49"/>
      <c r="AC685" s="49"/>
      <c r="AD685" s="49"/>
      <c r="AE685" s="49"/>
      <c r="AF685" s="49"/>
      <c r="AG685" s="49"/>
      <c r="AH685" s="49"/>
      <c r="AI685" s="49"/>
      <c r="AJ685" s="49"/>
      <c r="AK685" s="49"/>
      <c r="AL685" s="49"/>
      <c r="AM685" s="49"/>
      <c r="AN685" s="49"/>
      <c r="AO685" s="49"/>
      <c r="AP685" s="49"/>
      <c r="AQ685" s="49"/>
      <c r="AR685" s="49"/>
      <c r="AS685" s="49"/>
      <c r="AT685" s="49"/>
      <c r="AU685" s="49"/>
    </row>
    <row r="686" spans="1:47" ht="15">
      <c r="A686" s="49"/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  <c r="AA686" s="49"/>
      <c r="AB686" s="49"/>
      <c r="AC686" s="49"/>
      <c r="AD686" s="49"/>
      <c r="AE686" s="49"/>
      <c r="AF686" s="49"/>
      <c r="AG686" s="49"/>
      <c r="AH686" s="49"/>
      <c r="AI686" s="49"/>
      <c r="AJ686" s="49"/>
      <c r="AK686" s="49"/>
      <c r="AL686" s="49"/>
      <c r="AM686" s="49"/>
      <c r="AN686" s="49"/>
      <c r="AO686" s="49"/>
      <c r="AP686" s="49"/>
      <c r="AQ686" s="49"/>
      <c r="AR686" s="49"/>
      <c r="AS686" s="49"/>
      <c r="AT686" s="49"/>
      <c r="AU686" s="49"/>
    </row>
    <row r="687" spans="1:47" ht="15">
      <c r="A687" s="49"/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/>
      <c r="AC687" s="49"/>
      <c r="AD687" s="49"/>
      <c r="AE687" s="49"/>
      <c r="AF687" s="49"/>
      <c r="AG687" s="49"/>
      <c r="AH687" s="49"/>
      <c r="AI687" s="49"/>
      <c r="AJ687" s="49"/>
      <c r="AK687" s="49"/>
      <c r="AL687" s="49"/>
      <c r="AM687" s="49"/>
      <c r="AN687" s="49"/>
      <c r="AO687" s="49"/>
      <c r="AP687" s="49"/>
      <c r="AQ687" s="49"/>
      <c r="AR687" s="49"/>
      <c r="AS687" s="49"/>
      <c r="AT687" s="49"/>
      <c r="AU687" s="49"/>
    </row>
    <row r="688" spans="1:47" ht="15">
      <c r="A688" s="49"/>
      <c r="B688" s="49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  <c r="AA688" s="49"/>
      <c r="AB688" s="49"/>
      <c r="AC688" s="49"/>
      <c r="AD688" s="49"/>
      <c r="AE688" s="49"/>
      <c r="AF688" s="49"/>
      <c r="AG688" s="49"/>
      <c r="AH688" s="49"/>
      <c r="AI688" s="49"/>
      <c r="AJ688" s="49"/>
      <c r="AK688" s="49"/>
      <c r="AL688" s="49"/>
      <c r="AM688" s="49"/>
      <c r="AN688" s="49"/>
      <c r="AO688" s="49"/>
      <c r="AP688" s="49"/>
      <c r="AQ688" s="49"/>
      <c r="AR688" s="49"/>
      <c r="AS688" s="49"/>
      <c r="AT688" s="49"/>
      <c r="AU688" s="49"/>
    </row>
    <row r="689" spans="1:47" ht="15">
      <c r="A689" s="49"/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  <c r="AA689" s="49"/>
      <c r="AB689" s="49"/>
      <c r="AC689" s="49"/>
      <c r="AD689" s="49"/>
      <c r="AE689" s="49"/>
      <c r="AF689" s="49"/>
      <c r="AG689" s="49"/>
      <c r="AH689" s="49"/>
      <c r="AI689" s="49"/>
      <c r="AJ689" s="49"/>
      <c r="AK689" s="49"/>
      <c r="AL689" s="49"/>
      <c r="AM689" s="49"/>
      <c r="AN689" s="49"/>
      <c r="AO689" s="49"/>
      <c r="AP689" s="49"/>
      <c r="AQ689" s="49"/>
      <c r="AR689" s="49"/>
      <c r="AS689" s="49"/>
      <c r="AT689" s="49"/>
      <c r="AU689" s="49"/>
    </row>
    <row r="690" spans="1:47" ht="15">
      <c r="A690" s="49"/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  <c r="AA690" s="49"/>
      <c r="AB690" s="49"/>
      <c r="AC690" s="49"/>
      <c r="AD690" s="49"/>
      <c r="AE690" s="49"/>
      <c r="AF690" s="49"/>
      <c r="AG690" s="49"/>
      <c r="AH690" s="49"/>
      <c r="AI690" s="49"/>
      <c r="AJ690" s="49"/>
      <c r="AK690" s="49"/>
      <c r="AL690" s="49"/>
      <c r="AM690" s="49"/>
      <c r="AN690" s="49"/>
      <c r="AO690" s="49"/>
      <c r="AP690" s="49"/>
      <c r="AQ690" s="49"/>
      <c r="AR690" s="49"/>
      <c r="AS690" s="49"/>
      <c r="AT690" s="49"/>
      <c r="AU690" s="49"/>
    </row>
    <row r="691" spans="1:47" ht="15">
      <c r="A691" s="49"/>
      <c r="B691" s="49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  <c r="AA691" s="49"/>
      <c r="AB691" s="49"/>
      <c r="AC691" s="49"/>
      <c r="AD691" s="49"/>
      <c r="AE691" s="49"/>
      <c r="AF691" s="49"/>
      <c r="AG691" s="49"/>
      <c r="AH691" s="49"/>
      <c r="AI691" s="49"/>
      <c r="AJ691" s="49"/>
      <c r="AK691" s="49"/>
      <c r="AL691" s="49"/>
      <c r="AM691" s="49"/>
      <c r="AN691" s="49"/>
      <c r="AO691" s="49"/>
      <c r="AP691" s="49"/>
      <c r="AQ691" s="49"/>
      <c r="AR691" s="49"/>
      <c r="AS691" s="49"/>
      <c r="AT691" s="49"/>
      <c r="AU691" s="49"/>
    </row>
    <row r="692" spans="1:47" ht="15">
      <c r="A692" s="49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9"/>
      <c r="AD692" s="49"/>
      <c r="AE692" s="49"/>
      <c r="AF692" s="49"/>
      <c r="AG692" s="49"/>
      <c r="AH692" s="49"/>
      <c r="AI692" s="49"/>
      <c r="AJ692" s="49"/>
      <c r="AK692" s="49"/>
      <c r="AL692" s="49"/>
      <c r="AM692" s="49"/>
      <c r="AN692" s="49"/>
      <c r="AO692" s="49"/>
      <c r="AP692" s="49"/>
      <c r="AQ692" s="49"/>
      <c r="AR692" s="49"/>
      <c r="AS692" s="49"/>
      <c r="AT692" s="49"/>
      <c r="AU692" s="49"/>
    </row>
    <row r="693" spans="1:47" ht="15">
      <c r="A693" s="49"/>
      <c r="B693" s="49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  <c r="AA693" s="49"/>
      <c r="AB693" s="49"/>
      <c r="AC693" s="49"/>
      <c r="AD693" s="49"/>
      <c r="AE693" s="49"/>
      <c r="AF693" s="49"/>
      <c r="AG693" s="49"/>
      <c r="AH693" s="49"/>
      <c r="AI693" s="49"/>
      <c r="AJ693" s="49"/>
      <c r="AK693" s="49"/>
      <c r="AL693" s="49"/>
      <c r="AM693" s="49"/>
      <c r="AN693" s="49"/>
      <c r="AO693" s="49"/>
      <c r="AP693" s="49"/>
      <c r="AQ693" s="49"/>
      <c r="AR693" s="49"/>
      <c r="AS693" s="49"/>
      <c r="AT693" s="49"/>
      <c r="AU693" s="49"/>
    </row>
    <row r="694" spans="1:47" ht="15">
      <c r="A694" s="49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  <c r="AA694" s="49"/>
      <c r="AB694" s="49"/>
      <c r="AC694" s="49"/>
      <c r="AD694" s="49"/>
      <c r="AE694" s="49"/>
      <c r="AF694" s="49"/>
      <c r="AG694" s="49"/>
      <c r="AH694" s="49"/>
      <c r="AI694" s="49"/>
      <c r="AJ694" s="49"/>
      <c r="AK694" s="49"/>
      <c r="AL694" s="49"/>
      <c r="AM694" s="49"/>
      <c r="AN694" s="49"/>
      <c r="AO694" s="49"/>
      <c r="AP694" s="49"/>
      <c r="AQ694" s="49"/>
      <c r="AR694" s="49"/>
      <c r="AS694" s="49"/>
      <c r="AT694" s="49"/>
      <c r="AU694" s="49"/>
    </row>
    <row r="695" spans="1:47" ht="15">
      <c r="A695" s="49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  <c r="AA695" s="49"/>
      <c r="AB695" s="49"/>
      <c r="AC695" s="49"/>
      <c r="AD695" s="49"/>
      <c r="AE695" s="49"/>
      <c r="AF695" s="49"/>
      <c r="AG695" s="49"/>
      <c r="AH695" s="49"/>
      <c r="AI695" s="49"/>
      <c r="AJ695" s="49"/>
      <c r="AK695" s="49"/>
      <c r="AL695" s="49"/>
      <c r="AM695" s="49"/>
      <c r="AN695" s="49"/>
      <c r="AO695" s="49"/>
      <c r="AP695" s="49"/>
      <c r="AQ695" s="49"/>
      <c r="AR695" s="49"/>
      <c r="AS695" s="49"/>
      <c r="AT695" s="49"/>
      <c r="AU695" s="49"/>
    </row>
    <row r="696" spans="1:47" ht="15">
      <c r="A696" s="49"/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  <c r="AA696" s="49"/>
      <c r="AB696" s="49"/>
      <c r="AC696" s="49"/>
      <c r="AD696" s="49"/>
      <c r="AE696" s="49"/>
      <c r="AF696" s="49"/>
      <c r="AG696" s="49"/>
      <c r="AH696" s="49"/>
      <c r="AI696" s="49"/>
      <c r="AJ696" s="49"/>
      <c r="AK696" s="49"/>
      <c r="AL696" s="49"/>
      <c r="AM696" s="49"/>
      <c r="AN696" s="49"/>
      <c r="AO696" s="49"/>
      <c r="AP696" s="49"/>
      <c r="AQ696" s="49"/>
      <c r="AR696" s="49"/>
      <c r="AS696" s="49"/>
      <c r="AT696" s="49"/>
      <c r="AU696" s="49"/>
    </row>
    <row r="697" spans="1:47" ht="15">
      <c r="A697" s="49"/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/>
      <c r="AC697" s="49"/>
      <c r="AD697" s="49"/>
      <c r="AE697" s="49"/>
      <c r="AF697" s="49"/>
      <c r="AG697" s="49"/>
      <c r="AH697" s="49"/>
      <c r="AI697" s="49"/>
      <c r="AJ697" s="49"/>
      <c r="AK697" s="49"/>
      <c r="AL697" s="49"/>
      <c r="AM697" s="49"/>
      <c r="AN697" s="49"/>
      <c r="AO697" s="49"/>
      <c r="AP697" s="49"/>
      <c r="AQ697" s="49"/>
      <c r="AR697" s="49"/>
      <c r="AS697" s="49"/>
      <c r="AT697" s="49"/>
      <c r="AU697" s="49"/>
    </row>
    <row r="698" spans="1:47" ht="15">
      <c r="A698" s="49"/>
      <c r="B698" s="49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  <c r="AD698" s="49"/>
      <c r="AE698" s="49"/>
      <c r="AF698" s="49"/>
      <c r="AG698" s="49"/>
      <c r="AH698" s="49"/>
      <c r="AI698" s="49"/>
      <c r="AJ698" s="49"/>
      <c r="AK698" s="49"/>
      <c r="AL698" s="49"/>
      <c r="AM698" s="49"/>
      <c r="AN698" s="49"/>
      <c r="AO698" s="49"/>
      <c r="AP698" s="49"/>
      <c r="AQ698" s="49"/>
      <c r="AR698" s="49"/>
      <c r="AS698" s="49"/>
      <c r="AT698" s="49"/>
      <c r="AU698" s="49"/>
    </row>
    <row r="699" spans="1:47" ht="15">
      <c r="A699" s="49"/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  <c r="AA699" s="49"/>
      <c r="AB699" s="49"/>
      <c r="AC699" s="49"/>
      <c r="AD699" s="49"/>
      <c r="AE699" s="49"/>
      <c r="AF699" s="49"/>
      <c r="AG699" s="49"/>
      <c r="AH699" s="49"/>
      <c r="AI699" s="49"/>
      <c r="AJ699" s="49"/>
      <c r="AK699" s="49"/>
      <c r="AL699" s="49"/>
      <c r="AM699" s="49"/>
      <c r="AN699" s="49"/>
      <c r="AO699" s="49"/>
      <c r="AP699" s="49"/>
      <c r="AQ699" s="49"/>
      <c r="AR699" s="49"/>
      <c r="AS699" s="49"/>
      <c r="AT699" s="49"/>
      <c r="AU699" s="49"/>
    </row>
    <row r="700" spans="1:47" ht="15">
      <c r="A700" s="49"/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  <c r="AA700" s="49"/>
      <c r="AB700" s="49"/>
      <c r="AC700" s="49"/>
      <c r="AD700" s="49"/>
      <c r="AE700" s="49"/>
      <c r="AF700" s="49"/>
      <c r="AG700" s="49"/>
      <c r="AH700" s="49"/>
      <c r="AI700" s="49"/>
      <c r="AJ700" s="49"/>
      <c r="AK700" s="49"/>
      <c r="AL700" s="49"/>
      <c r="AM700" s="49"/>
      <c r="AN700" s="49"/>
      <c r="AO700" s="49"/>
      <c r="AP700" s="49"/>
      <c r="AQ700" s="49"/>
      <c r="AR700" s="49"/>
      <c r="AS700" s="49"/>
      <c r="AT700" s="49"/>
      <c r="AU700" s="49"/>
    </row>
    <row r="701" spans="1:47" ht="15">
      <c r="A701" s="49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  <c r="AA701" s="49"/>
      <c r="AB701" s="49"/>
      <c r="AC701" s="49"/>
      <c r="AD701" s="49"/>
      <c r="AE701" s="49"/>
      <c r="AF701" s="49"/>
      <c r="AG701" s="49"/>
      <c r="AH701" s="49"/>
      <c r="AI701" s="49"/>
      <c r="AJ701" s="49"/>
      <c r="AK701" s="49"/>
      <c r="AL701" s="49"/>
      <c r="AM701" s="49"/>
      <c r="AN701" s="49"/>
      <c r="AO701" s="49"/>
      <c r="AP701" s="49"/>
      <c r="AQ701" s="49"/>
      <c r="AR701" s="49"/>
      <c r="AS701" s="49"/>
      <c r="AT701" s="49"/>
      <c r="AU701" s="49"/>
    </row>
    <row r="702" spans="1:47" ht="15">
      <c r="A702" s="49"/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  <c r="AA702" s="49"/>
      <c r="AB702" s="49"/>
      <c r="AC702" s="49"/>
      <c r="AD702" s="49"/>
      <c r="AE702" s="49"/>
      <c r="AF702" s="49"/>
      <c r="AG702" s="49"/>
      <c r="AH702" s="49"/>
      <c r="AI702" s="49"/>
      <c r="AJ702" s="49"/>
      <c r="AK702" s="49"/>
      <c r="AL702" s="49"/>
      <c r="AM702" s="49"/>
      <c r="AN702" s="49"/>
      <c r="AO702" s="49"/>
      <c r="AP702" s="49"/>
      <c r="AQ702" s="49"/>
      <c r="AR702" s="49"/>
      <c r="AS702" s="49"/>
      <c r="AT702" s="49"/>
      <c r="AU702" s="49"/>
    </row>
    <row r="703" spans="1:47" ht="15">
      <c r="A703" s="49"/>
      <c r="B703" s="49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  <c r="AA703" s="49"/>
      <c r="AB703" s="49"/>
      <c r="AC703" s="49"/>
      <c r="AD703" s="49"/>
      <c r="AE703" s="49"/>
      <c r="AF703" s="49"/>
      <c r="AG703" s="49"/>
      <c r="AH703" s="49"/>
      <c r="AI703" s="49"/>
      <c r="AJ703" s="49"/>
      <c r="AK703" s="49"/>
      <c r="AL703" s="49"/>
      <c r="AM703" s="49"/>
      <c r="AN703" s="49"/>
      <c r="AO703" s="49"/>
      <c r="AP703" s="49"/>
      <c r="AQ703" s="49"/>
      <c r="AR703" s="49"/>
      <c r="AS703" s="49"/>
      <c r="AT703" s="49"/>
      <c r="AU703" s="49"/>
    </row>
    <row r="704" spans="1:47" ht="15">
      <c r="A704" s="49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  <c r="AA704" s="49"/>
      <c r="AB704" s="49"/>
      <c r="AC704" s="49"/>
      <c r="AD704" s="49"/>
      <c r="AE704" s="49"/>
      <c r="AF704" s="49"/>
      <c r="AG704" s="49"/>
      <c r="AH704" s="49"/>
      <c r="AI704" s="49"/>
      <c r="AJ704" s="49"/>
      <c r="AK704" s="49"/>
      <c r="AL704" s="49"/>
      <c r="AM704" s="49"/>
      <c r="AN704" s="49"/>
      <c r="AO704" s="49"/>
      <c r="AP704" s="49"/>
      <c r="AQ704" s="49"/>
      <c r="AR704" s="49"/>
      <c r="AS704" s="49"/>
      <c r="AT704" s="49"/>
      <c r="AU704" s="49"/>
    </row>
    <row r="705" spans="1:47" ht="15">
      <c r="A705" s="49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  <c r="AA705" s="49"/>
      <c r="AB705" s="49"/>
      <c r="AC705" s="49"/>
      <c r="AD705" s="49"/>
      <c r="AE705" s="49"/>
      <c r="AF705" s="49"/>
      <c r="AG705" s="49"/>
      <c r="AH705" s="49"/>
      <c r="AI705" s="49"/>
      <c r="AJ705" s="49"/>
      <c r="AK705" s="49"/>
      <c r="AL705" s="49"/>
      <c r="AM705" s="49"/>
      <c r="AN705" s="49"/>
      <c r="AO705" s="49"/>
      <c r="AP705" s="49"/>
      <c r="AQ705" s="49"/>
      <c r="AR705" s="49"/>
      <c r="AS705" s="49"/>
      <c r="AT705" s="49"/>
      <c r="AU705" s="49"/>
    </row>
    <row r="706" spans="1:47" ht="15">
      <c r="A706" s="49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  <c r="AA706" s="49"/>
      <c r="AB706" s="49"/>
      <c r="AC706" s="49"/>
      <c r="AD706" s="49"/>
      <c r="AE706" s="49"/>
      <c r="AF706" s="49"/>
      <c r="AG706" s="49"/>
      <c r="AH706" s="49"/>
      <c r="AI706" s="49"/>
      <c r="AJ706" s="49"/>
      <c r="AK706" s="49"/>
      <c r="AL706" s="49"/>
      <c r="AM706" s="49"/>
      <c r="AN706" s="49"/>
      <c r="AO706" s="49"/>
      <c r="AP706" s="49"/>
      <c r="AQ706" s="49"/>
      <c r="AR706" s="49"/>
      <c r="AS706" s="49"/>
      <c r="AT706" s="49"/>
      <c r="AU706" s="49"/>
    </row>
    <row r="707" spans="1:47" ht="15">
      <c r="A707" s="49"/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  <c r="AA707" s="49"/>
      <c r="AB707" s="49"/>
      <c r="AC707" s="49"/>
      <c r="AD707" s="49"/>
      <c r="AE707" s="49"/>
      <c r="AF707" s="49"/>
      <c r="AG707" s="49"/>
      <c r="AH707" s="49"/>
      <c r="AI707" s="49"/>
      <c r="AJ707" s="49"/>
      <c r="AK707" s="49"/>
      <c r="AL707" s="49"/>
      <c r="AM707" s="49"/>
      <c r="AN707" s="49"/>
      <c r="AO707" s="49"/>
      <c r="AP707" s="49"/>
      <c r="AQ707" s="49"/>
      <c r="AR707" s="49"/>
      <c r="AS707" s="49"/>
      <c r="AT707" s="49"/>
      <c r="AU707" s="49"/>
    </row>
    <row r="708" spans="1:47" ht="15">
      <c r="A708" s="49"/>
      <c r="B708" s="49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  <c r="AA708" s="49"/>
      <c r="AB708" s="49"/>
      <c r="AC708" s="49"/>
      <c r="AD708" s="49"/>
      <c r="AE708" s="49"/>
      <c r="AF708" s="49"/>
      <c r="AG708" s="49"/>
      <c r="AH708" s="49"/>
      <c r="AI708" s="49"/>
      <c r="AJ708" s="49"/>
      <c r="AK708" s="49"/>
      <c r="AL708" s="49"/>
      <c r="AM708" s="49"/>
      <c r="AN708" s="49"/>
      <c r="AO708" s="49"/>
      <c r="AP708" s="49"/>
      <c r="AQ708" s="49"/>
      <c r="AR708" s="49"/>
      <c r="AS708" s="49"/>
      <c r="AT708" s="49"/>
      <c r="AU708" s="49"/>
    </row>
    <row r="709" spans="1:47" ht="15">
      <c r="A709" s="49"/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  <c r="AA709" s="49"/>
      <c r="AB709" s="49"/>
      <c r="AC709" s="49"/>
      <c r="AD709" s="49"/>
      <c r="AE709" s="49"/>
      <c r="AF709" s="49"/>
      <c r="AG709" s="49"/>
      <c r="AH709" s="49"/>
      <c r="AI709" s="49"/>
      <c r="AJ709" s="49"/>
      <c r="AK709" s="49"/>
      <c r="AL709" s="49"/>
      <c r="AM709" s="49"/>
      <c r="AN709" s="49"/>
      <c r="AO709" s="49"/>
      <c r="AP709" s="49"/>
      <c r="AQ709" s="49"/>
      <c r="AR709" s="49"/>
      <c r="AS709" s="49"/>
      <c r="AT709" s="49"/>
      <c r="AU709" s="49"/>
    </row>
    <row r="710" spans="1:47" ht="15">
      <c r="A710" s="49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  <c r="AA710" s="49"/>
      <c r="AB710" s="49"/>
      <c r="AC710" s="49"/>
      <c r="AD710" s="49"/>
      <c r="AE710" s="49"/>
      <c r="AF710" s="49"/>
      <c r="AG710" s="49"/>
      <c r="AH710" s="49"/>
      <c r="AI710" s="49"/>
      <c r="AJ710" s="49"/>
      <c r="AK710" s="49"/>
      <c r="AL710" s="49"/>
      <c r="AM710" s="49"/>
      <c r="AN710" s="49"/>
      <c r="AO710" s="49"/>
      <c r="AP710" s="49"/>
      <c r="AQ710" s="49"/>
      <c r="AR710" s="49"/>
      <c r="AS710" s="49"/>
      <c r="AT710" s="49"/>
      <c r="AU710" s="49"/>
    </row>
    <row r="711" spans="1:47" ht="15">
      <c r="A711" s="49"/>
      <c r="B711" s="49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  <c r="AA711" s="49"/>
      <c r="AB711" s="49"/>
      <c r="AC711" s="49"/>
      <c r="AD711" s="49"/>
      <c r="AE711" s="49"/>
      <c r="AF711" s="49"/>
      <c r="AG711" s="49"/>
      <c r="AH711" s="49"/>
      <c r="AI711" s="49"/>
      <c r="AJ711" s="49"/>
      <c r="AK711" s="49"/>
      <c r="AL711" s="49"/>
      <c r="AM711" s="49"/>
      <c r="AN711" s="49"/>
      <c r="AO711" s="49"/>
      <c r="AP711" s="49"/>
      <c r="AQ711" s="49"/>
      <c r="AR711" s="49"/>
      <c r="AS711" s="49"/>
      <c r="AT711" s="49"/>
      <c r="AU711" s="49"/>
    </row>
    <row r="712" spans="1:47" ht="15">
      <c r="A712" s="49"/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  <c r="AA712" s="49"/>
      <c r="AB712" s="49"/>
      <c r="AC712" s="49"/>
      <c r="AD712" s="49"/>
      <c r="AE712" s="49"/>
      <c r="AF712" s="49"/>
      <c r="AG712" s="49"/>
      <c r="AH712" s="49"/>
      <c r="AI712" s="49"/>
      <c r="AJ712" s="49"/>
      <c r="AK712" s="49"/>
      <c r="AL712" s="49"/>
      <c r="AM712" s="49"/>
      <c r="AN712" s="49"/>
      <c r="AO712" s="49"/>
      <c r="AP712" s="49"/>
      <c r="AQ712" s="49"/>
      <c r="AR712" s="49"/>
      <c r="AS712" s="49"/>
      <c r="AT712" s="49"/>
      <c r="AU712" s="49"/>
    </row>
    <row r="713" spans="1:47" ht="15">
      <c r="A713" s="49"/>
      <c r="B713" s="49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  <c r="AA713" s="49"/>
      <c r="AB713" s="49"/>
      <c r="AC713" s="49"/>
      <c r="AD713" s="49"/>
      <c r="AE713" s="49"/>
      <c r="AF713" s="49"/>
      <c r="AG713" s="49"/>
      <c r="AH713" s="49"/>
      <c r="AI713" s="49"/>
      <c r="AJ713" s="49"/>
      <c r="AK713" s="49"/>
      <c r="AL713" s="49"/>
      <c r="AM713" s="49"/>
      <c r="AN713" s="49"/>
      <c r="AO713" s="49"/>
      <c r="AP713" s="49"/>
      <c r="AQ713" s="49"/>
      <c r="AR713" s="49"/>
      <c r="AS713" s="49"/>
      <c r="AT713" s="49"/>
      <c r="AU713" s="49"/>
    </row>
    <row r="714" spans="1:47" ht="15">
      <c r="A714" s="49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  <c r="AA714" s="49"/>
      <c r="AB714" s="49"/>
      <c r="AC714" s="49"/>
      <c r="AD714" s="49"/>
      <c r="AE714" s="49"/>
      <c r="AF714" s="49"/>
      <c r="AG714" s="49"/>
      <c r="AH714" s="49"/>
      <c r="AI714" s="49"/>
      <c r="AJ714" s="49"/>
      <c r="AK714" s="49"/>
      <c r="AL714" s="49"/>
      <c r="AM714" s="49"/>
      <c r="AN714" s="49"/>
      <c r="AO714" s="49"/>
      <c r="AP714" s="49"/>
      <c r="AQ714" s="49"/>
      <c r="AR714" s="49"/>
      <c r="AS714" s="49"/>
      <c r="AT714" s="49"/>
      <c r="AU714" s="49"/>
    </row>
    <row r="715" spans="1:47" ht="15">
      <c r="A715" s="49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  <c r="AA715" s="49"/>
      <c r="AB715" s="49"/>
      <c r="AC715" s="49"/>
      <c r="AD715" s="49"/>
      <c r="AE715" s="49"/>
      <c r="AF715" s="49"/>
      <c r="AG715" s="49"/>
      <c r="AH715" s="49"/>
      <c r="AI715" s="49"/>
      <c r="AJ715" s="49"/>
      <c r="AK715" s="49"/>
      <c r="AL715" s="49"/>
      <c r="AM715" s="49"/>
      <c r="AN715" s="49"/>
      <c r="AO715" s="49"/>
      <c r="AP715" s="49"/>
      <c r="AQ715" s="49"/>
      <c r="AR715" s="49"/>
      <c r="AS715" s="49"/>
      <c r="AT715" s="49"/>
      <c r="AU715" s="49"/>
    </row>
    <row r="716" spans="1:47" ht="15">
      <c r="A716" s="49"/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  <c r="AA716" s="49"/>
      <c r="AB716" s="49"/>
      <c r="AC716" s="49"/>
      <c r="AD716" s="49"/>
      <c r="AE716" s="49"/>
      <c r="AF716" s="49"/>
      <c r="AG716" s="49"/>
      <c r="AH716" s="49"/>
      <c r="AI716" s="49"/>
      <c r="AJ716" s="49"/>
      <c r="AK716" s="49"/>
      <c r="AL716" s="49"/>
      <c r="AM716" s="49"/>
      <c r="AN716" s="49"/>
      <c r="AO716" s="49"/>
      <c r="AP716" s="49"/>
      <c r="AQ716" s="49"/>
      <c r="AR716" s="49"/>
      <c r="AS716" s="49"/>
      <c r="AT716" s="49"/>
      <c r="AU716" s="49"/>
    </row>
    <row r="717" spans="1:47" ht="15">
      <c r="A717" s="49"/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  <c r="AA717" s="49"/>
      <c r="AB717" s="49"/>
      <c r="AC717" s="49"/>
      <c r="AD717" s="49"/>
      <c r="AE717" s="49"/>
      <c r="AF717" s="49"/>
      <c r="AG717" s="49"/>
      <c r="AH717" s="49"/>
      <c r="AI717" s="49"/>
      <c r="AJ717" s="49"/>
      <c r="AK717" s="49"/>
      <c r="AL717" s="49"/>
      <c r="AM717" s="49"/>
      <c r="AN717" s="49"/>
      <c r="AO717" s="49"/>
      <c r="AP717" s="49"/>
      <c r="AQ717" s="49"/>
      <c r="AR717" s="49"/>
      <c r="AS717" s="49"/>
      <c r="AT717" s="49"/>
      <c r="AU717" s="49"/>
    </row>
    <row r="718" spans="1:47" ht="15">
      <c r="A718" s="49"/>
      <c r="B718" s="49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  <c r="AA718" s="49"/>
      <c r="AB718" s="49"/>
      <c r="AC718" s="49"/>
      <c r="AD718" s="49"/>
      <c r="AE718" s="49"/>
      <c r="AF718" s="49"/>
      <c r="AG718" s="49"/>
      <c r="AH718" s="49"/>
      <c r="AI718" s="49"/>
      <c r="AJ718" s="49"/>
      <c r="AK718" s="49"/>
      <c r="AL718" s="49"/>
      <c r="AM718" s="49"/>
      <c r="AN718" s="49"/>
      <c r="AO718" s="49"/>
      <c r="AP718" s="49"/>
      <c r="AQ718" s="49"/>
      <c r="AR718" s="49"/>
      <c r="AS718" s="49"/>
      <c r="AT718" s="49"/>
      <c r="AU718" s="49"/>
    </row>
    <row r="719" spans="1:47" ht="15">
      <c r="A719" s="49"/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  <c r="AA719" s="49"/>
      <c r="AB719" s="49"/>
      <c r="AC719" s="49"/>
      <c r="AD719" s="49"/>
      <c r="AE719" s="49"/>
      <c r="AF719" s="49"/>
      <c r="AG719" s="49"/>
      <c r="AH719" s="49"/>
      <c r="AI719" s="49"/>
      <c r="AJ719" s="49"/>
      <c r="AK719" s="49"/>
      <c r="AL719" s="49"/>
      <c r="AM719" s="49"/>
      <c r="AN719" s="49"/>
      <c r="AO719" s="49"/>
      <c r="AP719" s="49"/>
      <c r="AQ719" s="49"/>
      <c r="AR719" s="49"/>
      <c r="AS719" s="49"/>
      <c r="AT719" s="49"/>
      <c r="AU719" s="49"/>
    </row>
    <row r="720" spans="1:47" ht="15">
      <c r="A720" s="49"/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  <c r="AA720" s="49"/>
      <c r="AB720" s="49"/>
      <c r="AC720" s="49"/>
      <c r="AD720" s="49"/>
      <c r="AE720" s="49"/>
      <c r="AF720" s="49"/>
      <c r="AG720" s="49"/>
      <c r="AH720" s="49"/>
      <c r="AI720" s="49"/>
      <c r="AJ720" s="49"/>
      <c r="AK720" s="49"/>
      <c r="AL720" s="49"/>
      <c r="AM720" s="49"/>
      <c r="AN720" s="49"/>
      <c r="AO720" s="49"/>
      <c r="AP720" s="49"/>
      <c r="AQ720" s="49"/>
      <c r="AR720" s="49"/>
      <c r="AS720" s="49"/>
      <c r="AT720" s="49"/>
      <c r="AU720" s="49"/>
    </row>
    <row r="721" spans="1:47" ht="15">
      <c r="A721" s="49"/>
      <c r="B721" s="49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  <c r="AA721" s="49"/>
      <c r="AB721" s="49"/>
      <c r="AC721" s="49"/>
      <c r="AD721" s="49"/>
      <c r="AE721" s="49"/>
      <c r="AF721" s="49"/>
      <c r="AG721" s="49"/>
      <c r="AH721" s="49"/>
      <c r="AI721" s="49"/>
      <c r="AJ721" s="49"/>
      <c r="AK721" s="49"/>
      <c r="AL721" s="49"/>
      <c r="AM721" s="49"/>
      <c r="AN721" s="49"/>
      <c r="AO721" s="49"/>
      <c r="AP721" s="49"/>
      <c r="AQ721" s="49"/>
      <c r="AR721" s="49"/>
      <c r="AS721" s="49"/>
      <c r="AT721" s="49"/>
      <c r="AU721" s="49"/>
    </row>
    <row r="722" spans="1:47" ht="15">
      <c r="A722" s="49"/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  <c r="AA722" s="49"/>
      <c r="AB722" s="49"/>
      <c r="AC722" s="49"/>
      <c r="AD722" s="49"/>
      <c r="AE722" s="49"/>
      <c r="AF722" s="49"/>
      <c r="AG722" s="49"/>
      <c r="AH722" s="49"/>
      <c r="AI722" s="49"/>
      <c r="AJ722" s="49"/>
      <c r="AK722" s="49"/>
      <c r="AL722" s="49"/>
      <c r="AM722" s="49"/>
      <c r="AN722" s="49"/>
      <c r="AO722" s="49"/>
      <c r="AP722" s="49"/>
      <c r="AQ722" s="49"/>
      <c r="AR722" s="49"/>
      <c r="AS722" s="49"/>
      <c r="AT722" s="49"/>
      <c r="AU722" s="49"/>
    </row>
    <row r="723" spans="1:47" ht="15">
      <c r="A723" s="49"/>
      <c r="B723" s="49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  <c r="AA723" s="49"/>
      <c r="AB723" s="49"/>
      <c r="AC723" s="49"/>
      <c r="AD723" s="49"/>
      <c r="AE723" s="49"/>
      <c r="AF723" s="49"/>
      <c r="AG723" s="49"/>
      <c r="AH723" s="49"/>
      <c r="AI723" s="49"/>
      <c r="AJ723" s="49"/>
      <c r="AK723" s="49"/>
      <c r="AL723" s="49"/>
      <c r="AM723" s="49"/>
      <c r="AN723" s="49"/>
      <c r="AO723" s="49"/>
      <c r="AP723" s="49"/>
      <c r="AQ723" s="49"/>
      <c r="AR723" s="49"/>
      <c r="AS723" s="49"/>
      <c r="AT723" s="49"/>
      <c r="AU723" s="49"/>
    </row>
    <row r="724" spans="1:47" ht="15">
      <c r="A724" s="49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  <c r="AA724" s="49"/>
      <c r="AB724" s="49"/>
      <c r="AC724" s="49"/>
      <c r="AD724" s="49"/>
      <c r="AE724" s="49"/>
      <c r="AF724" s="49"/>
      <c r="AG724" s="49"/>
      <c r="AH724" s="49"/>
      <c r="AI724" s="49"/>
      <c r="AJ724" s="49"/>
      <c r="AK724" s="49"/>
      <c r="AL724" s="49"/>
      <c r="AM724" s="49"/>
      <c r="AN724" s="49"/>
      <c r="AO724" s="49"/>
      <c r="AP724" s="49"/>
      <c r="AQ724" s="49"/>
      <c r="AR724" s="49"/>
      <c r="AS724" s="49"/>
      <c r="AT724" s="49"/>
      <c r="AU724" s="49"/>
    </row>
    <row r="725" spans="1:47" ht="15">
      <c r="A725" s="49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  <c r="AA725" s="49"/>
      <c r="AB725" s="49"/>
      <c r="AC725" s="49"/>
      <c r="AD725" s="49"/>
      <c r="AE725" s="49"/>
      <c r="AF725" s="49"/>
      <c r="AG725" s="49"/>
      <c r="AH725" s="49"/>
      <c r="AI725" s="49"/>
      <c r="AJ725" s="49"/>
      <c r="AK725" s="49"/>
      <c r="AL725" s="49"/>
      <c r="AM725" s="49"/>
      <c r="AN725" s="49"/>
      <c r="AO725" s="49"/>
      <c r="AP725" s="49"/>
      <c r="AQ725" s="49"/>
      <c r="AR725" s="49"/>
      <c r="AS725" s="49"/>
      <c r="AT725" s="49"/>
      <c r="AU725" s="49"/>
    </row>
    <row r="726" spans="1:47" ht="15">
      <c r="A726" s="49"/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  <c r="AA726" s="49"/>
      <c r="AB726" s="49"/>
      <c r="AC726" s="49"/>
      <c r="AD726" s="49"/>
      <c r="AE726" s="49"/>
      <c r="AF726" s="49"/>
      <c r="AG726" s="49"/>
      <c r="AH726" s="49"/>
      <c r="AI726" s="49"/>
      <c r="AJ726" s="49"/>
      <c r="AK726" s="49"/>
      <c r="AL726" s="49"/>
      <c r="AM726" s="49"/>
      <c r="AN726" s="49"/>
      <c r="AO726" s="49"/>
      <c r="AP726" s="49"/>
      <c r="AQ726" s="49"/>
      <c r="AR726" s="49"/>
      <c r="AS726" s="49"/>
      <c r="AT726" s="49"/>
      <c r="AU726" s="49"/>
    </row>
    <row r="727" spans="1:47" ht="15">
      <c r="A727" s="49"/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  <c r="AA727" s="49"/>
      <c r="AB727" s="49"/>
      <c r="AC727" s="49"/>
      <c r="AD727" s="49"/>
      <c r="AE727" s="49"/>
      <c r="AF727" s="49"/>
      <c r="AG727" s="49"/>
      <c r="AH727" s="49"/>
      <c r="AI727" s="49"/>
      <c r="AJ727" s="49"/>
      <c r="AK727" s="49"/>
      <c r="AL727" s="49"/>
      <c r="AM727" s="49"/>
      <c r="AN727" s="49"/>
      <c r="AO727" s="49"/>
      <c r="AP727" s="49"/>
      <c r="AQ727" s="49"/>
      <c r="AR727" s="49"/>
      <c r="AS727" s="49"/>
      <c r="AT727" s="49"/>
      <c r="AU727" s="49"/>
    </row>
    <row r="728" spans="1:47" ht="15">
      <c r="A728" s="49"/>
      <c r="B728" s="49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  <c r="AA728" s="49"/>
      <c r="AB728" s="49"/>
      <c r="AC728" s="49"/>
      <c r="AD728" s="49"/>
      <c r="AE728" s="49"/>
      <c r="AF728" s="49"/>
      <c r="AG728" s="49"/>
      <c r="AH728" s="49"/>
      <c r="AI728" s="49"/>
      <c r="AJ728" s="49"/>
      <c r="AK728" s="49"/>
      <c r="AL728" s="49"/>
      <c r="AM728" s="49"/>
      <c r="AN728" s="49"/>
      <c r="AO728" s="49"/>
      <c r="AP728" s="49"/>
      <c r="AQ728" s="49"/>
      <c r="AR728" s="49"/>
      <c r="AS728" s="49"/>
      <c r="AT728" s="49"/>
      <c r="AU728" s="49"/>
    </row>
    <row r="729" spans="1:47" ht="15">
      <c r="A729" s="49"/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  <c r="AA729" s="49"/>
      <c r="AB729" s="49"/>
      <c r="AC729" s="49"/>
      <c r="AD729" s="49"/>
      <c r="AE729" s="49"/>
      <c r="AF729" s="49"/>
      <c r="AG729" s="49"/>
      <c r="AH729" s="49"/>
      <c r="AI729" s="49"/>
      <c r="AJ729" s="49"/>
      <c r="AK729" s="49"/>
      <c r="AL729" s="49"/>
      <c r="AM729" s="49"/>
      <c r="AN729" s="49"/>
      <c r="AO729" s="49"/>
      <c r="AP729" s="49"/>
      <c r="AQ729" s="49"/>
      <c r="AR729" s="49"/>
      <c r="AS729" s="49"/>
      <c r="AT729" s="49"/>
      <c r="AU729" s="49"/>
    </row>
    <row r="730" spans="1:47" ht="15">
      <c r="A730" s="49"/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  <c r="AA730" s="49"/>
      <c r="AB730" s="49"/>
      <c r="AC730" s="49"/>
      <c r="AD730" s="49"/>
      <c r="AE730" s="49"/>
      <c r="AF730" s="49"/>
      <c r="AG730" s="49"/>
      <c r="AH730" s="49"/>
      <c r="AI730" s="49"/>
      <c r="AJ730" s="49"/>
      <c r="AK730" s="49"/>
      <c r="AL730" s="49"/>
      <c r="AM730" s="49"/>
      <c r="AN730" s="49"/>
      <c r="AO730" s="49"/>
      <c r="AP730" s="49"/>
      <c r="AQ730" s="49"/>
      <c r="AR730" s="49"/>
      <c r="AS730" s="49"/>
      <c r="AT730" s="49"/>
      <c r="AU730" s="49"/>
    </row>
    <row r="731" spans="1:47" ht="15">
      <c r="A731" s="49"/>
      <c r="B731" s="49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  <c r="AA731" s="49"/>
      <c r="AB731" s="49"/>
      <c r="AC731" s="49"/>
      <c r="AD731" s="49"/>
      <c r="AE731" s="49"/>
      <c r="AF731" s="49"/>
      <c r="AG731" s="49"/>
      <c r="AH731" s="49"/>
      <c r="AI731" s="49"/>
      <c r="AJ731" s="49"/>
      <c r="AK731" s="49"/>
      <c r="AL731" s="49"/>
      <c r="AM731" s="49"/>
      <c r="AN731" s="49"/>
      <c r="AO731" s="49"/>
      <c r="AP731" s="49"/>
      <c r="AQ731" s="49"/>
      <c r="AR731" s="49"/>
      <c r="AS731" s="49"/>
      <c r="AT731" s="49"/>
      <c r="AU731" s="49"/>
    </row>
    <row r="732" spans="1:47" ht="15">
      <c r="A732" s="49"/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  <c r="AA732" s="49"/>
      <c r="AB732" s="49"/>
      <c r="AC732" s="49"/>
      <c r="AD732" s="49"/>
      <c r="AE732" s="49"/>
      <c r="AF732" s="49"/>
      <c r="AG732" s="49"/>
      <c r="AH732" s="49"/>
      <c r="AI732" s="49"/>
      <c r="AJ732" s="49"/>
      <c r="AK732" s="49"/>
      <c r="AL732" s="49"/>
      <c r="AM732" s="49"/>
      <c r="AN732" s="49"/>
      <c r="AO732" s="49"/>
      <c r="AP732" s="49"/>
      <c r="AQ732" s="49"/>
      <c r="AR732" s="49"/>
      <c r="AS732" s="49"/>
      <c r="AT732" s="49"/>
      <c r="AU732" s="49"/>
    </row>
    <row r="733" spans="1:47" ht="15">
      <c r="A733" s="49"/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  <c r="AA733" s="49"/>
      <c r="AB733" s="49"/>
      <c r="AC733" s="49"/>
      <c r="AD733" s="49"/>
      <c r="AE733" s="49"/>
      <c r="AF733" s="49"/>
      <c r="AG733" s="49"/>
      <c r="AH733" s="49"/>
      <c r="AI733" s="49"/>
      <c r="AJ733" s="49"/>
      <c r="AK733" s="49"/>
      <c r="AL733" s="49"/>
      <c r="AM733" s="49"/>
      <c r="AN733" s="49"/>
      <c r="AO733" s="49"/>
      <c r="AP733" s="49"/>
      <c r="AQ733" s="49"/>
      <c r="AR733" s="49"/>
      <c r="AS733" s="49"/>
      <c r="AT733" s="49"/>
      <c r="AU733" s="49"/>
    </row>
    <row r="734" spans="1:47" ht="15">
      <c r="A734" s="49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  <c r="AA734" s="49"/>
      <c r="AB734" s="49"/>
      <c r="AC734" s="49"/>
      <c r="AD734" s="49"/>
      <c r="AE734" s="49"/>
      <c r="AF734" s="49"/>
      <c r="AG734" s="49"/>
      <c r="AH734" s="49"/>
      <c r="AI734" s="49"/>
      <c r="AJ734" s="49"/>
      <c r="AK734" s="49"/>
      <c r="AL734" s="49"/>
      <c r="AM734" s="49"/>
      <c r="AN734" s="49"/>
      <c r="AO734" s="49"/>
      <c r="AP734" s="49"/>
      <c r="AQ734" s="49"/>
      <c r="AR734" s="49"/>
      <c r="AS734" s="49"/>
      <c r="AT734" s="49"/>
      <c r="AU734" s="49"/>
    </row>
    <row r="735" spans="1:47" ht="15">
      <c r="A735" s="49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  <c r="AA735" s="49"/>
      <c r="AB735" s="49"/>
      <c r="AC735" s="49"/>
      <c r="AD735" s="49"/>
      <c r="AE735" s="49"/>
      <c r="AF735" s="49"/>
      <c r="AG735" s="49"/>
      <c r="AH735" s="49"/>
      <c r="AI735" s="49"/>
      <c r="AJ735" s="49"/>
      <c r="AK735" s="49"/>
      <c r="AL735" s="49"/>
      <c r="AM735" s="49"/>
      <c r="AN735" s="49"/>
      <c r="AO735" s="49"/>
      <c r="AP735" s="49"/>
      <c r="AQ735" s="49"/>
      <c r="AR735" s="49"/>
      <c r="AS735" s="49"/>
      <c r="AT735" s="49"/>
      <c r="AU735" s="49"/>
    </row>
    <row r="736" spans="1:47" ht="15">
      <c r="A736" s="49"/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  <c r="AA736" s="49"/>
      <c r="AB736" s="49"/>
      <c r="AC736" s="49"/>
      <c r="AD736" s="49"/>
      <c r="AE736" s="49"/>
      <c r="AF736" s="49"/>
      <c r="AG736" s="49"/>
      <c r="AH736" s="49"/>
      <c r="AI736" s="49"/>
      <c r="AJ736" s="49"/>
      <c r="AK736" s="49"/>
      <c r="AL736" s="49"/>
      <c r="AM736" s="49"/>
      <c r="AN736" s="49"/>
      <c r="AO736" s="49"/>
      <c r="AP736" s="49"/>
      <c r="AQ736" s="49"/>
      <c r="AR736" s="49"/>
      <c r="AS736" s="49"/>
      <c r="AT736" s="49"/>
      <c r="AU736" s="49"/>
    </row>
    <row r="737" spans="1:47" ht="15">
      <c r="A737" s="49"/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  <c r="AA737" s="49"/>
      <c r="AB737" s="49"/>
      <c r="AC737" s="49"/>
      <c r="AD737" s="49"/>
      <c r="AE737" s="49"/>
      <c r="AF737" s="49"/>
      <c r="AG737" s="49"/>
      <c r="AH737" s="49"/>
      <c r="AI737" s="49"/>
      <c r="AJ737" s="49"/>
      <c r="AK737" s="49"/>
      <c r="AL737" s="49"/>
      <c r="AM737" s="49"/>
      <c r="AN737" s="49"/>
      <c r="AO737" s="49"/>
      <c r="AP737" s="49"/>
      <c r="AQ737" s="49"/>
      <c r="AR737" s="49"/>
      <c r="AS737" s="49"/>
      <c r="AT737" s="49"/>
      <c r="AU737" s="49"/>
    </row>
    <row r="738" spans="1:47" ht="15">
      <c r="A738" s="49"/>
      <c r="B738" s="49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  <c r="AA738" s="49"/>
      <c r="AB738" s="49"/>
      <c r="AC738" s="49"/>
      <c r="AD738" s="49"/>
      <c r="AE738" s="49"/>
      <c r="AF738" s="49"/>
      <c r="AG738" s="49"/>
      <c r="AH738" s="49"/>
      <c r="AI738" s="49"/>
      <c r="AJ738" s="49"/>
      <c r="AK738" s="49"/>
      <c r="AL738" s="49"/>
      <c r="AM738" s="49"/>
      <c r="AN738" s="49"/>
      <c r="AO738" s="49"/>
      <c r="AP738" s="49"/>
      <c r="AQ738" s="49"/>
      <c r="AR738" s="49"/>
      <c r="AS738" s="49"/>
      <c r="AT738" s="49"/>
      <c r="AU738" s="49"/>
    </row>
    <row r="739" spans="1:47" ht="15">
      <c r="A739" s="49"/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  <c r="AA739" s="49"/>
      <c r="AB739" s="49"/>
      <c r="AC739" s="49"/>
      <c r="AD739" s="49"/>
      <c r="AE739" s="49"/>
      <c r="AF739" s="49"/>
      <c r="AG739" s="49"/>
      <c r="AH739" s="49"/>
      <c r="AI739" s="49"/>
      <c r="AJ739" s="49"/>
      <c r="AK739" s="49"/>
      <c r="AL739" s="49"/>
      <c r="AM739" s="49"/>
      <c r="AN739" s="49"/>
      <c r="AO739" s="49"/>
      <c r="AP739" s="49"/>
      <c r="AQ739" s="49"/>
      <c r="AR739" s="49"/>
      <c r="AS739" s="49"/>
      <c r="AT739" s="49"/>
      <c r="AU739" s="49"/>
    </row>
    <row r="740" spans="1:47" ht="15">
      <c r="A740" s="49"/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  <c r="AA740" s="49"/>
      <c r="AB740" s="49"/>
      <c r="AC740" s="49"/>
      <c r="AD740" s="49"/>
      <c r="AE740" s="49"/>
      <c r="AF740" s="49"/>
      <c r="AG740" s="49"/>
      <c r="AH740" s="49"/>
      <c r="AI740" s="49"/>
      <c r="AJ740" s="49"/>
      <c r="AK740" s="49"/>
      <c r="AL740" s="49"/>
      <c r="AM740" s="49"/>
      <c r="AN740" s="49"/>
      <c r="AO740" s="49"/>
      <c r="AP740" s="49"/>
      <c r="AQ740" s="49"/>
      <c r="AR740" s="49"/>
      <c r="AS740" s="49"/>
      <c r="AT740" s="49"/>
      <c r="AU740" s="49"/>
    </row>
    <row r="741" spans="1:47" ht="15">
      <c r="A741" s="49"/>
      <c r="B741" s="49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  <c r="AA741" s="49"/>
      <c r="AB741" s="49"/>
      <c r="AC741" s="49"/>
      <c r="AD741" s="49"/>
      <c r="AE741" s="49"/>
      <c r="AF741" s="49"/>
      <c r="AG741" s="49"/>
      <c r="AH741" s="49"/>
      <c r="AI741" s="49"/>
      <c r="AJ741" s="49"/>
      <c r="AK741" s="49"/>
      <c r="AL741" s="49"/>
      <c r="AM741" s="49"/>
      <c r="AN741" s="49"/>
      <c r="AO741" s="49"/>
      <c r="AP741" s="49"/>
      <c r="AQ741" s="49"/>
      <c r="AR741" s="49"/>
      <c r="AS741" s="49"/>
      <c r="AT741" s="49"/>
      <c r="AU741" s="49"/>
    </row>
    <row r="742" spans="1:47" ht="15">
      <c r="A742" s="49"/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  <c r="AA742" s="49"/>
      <c r="AB742" s="49"/>
      <c r="AC742" s="49"/>
      <c r="AD742" s="49"/>
      <c r="AE742" s="49"/>
      <c r="AF742" s="49"/>
      <c r="AG742" s="49"/>
      <c r="AH742" s="49"/>
      <c r="AI742" s="49"/>
      <c r="AJ742" s="49"/>
      <c r="AK742" s="49"/>
      <c r="AL742" s="49"/>
      <c r="AM742" s="49"/>
      <c r="AN742" s="49"/>
      <c r="AO742" s="49"/>
      <c r="AP742" s="49"/>
      <c r="AQ742" s="49"/>
      <c r="AR742" s="49"/>
      <c r="AS742" s="49"/>
      <c r="AT742" s="49"/>
      <c r="AU742" s="49"/>
    </row>
    <row r="743" spans="1:47" ht="15">
      <c r="A743" s="49"/>
      <c r="B743" s="49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  <c r="AA743" s="49"/>
      <c r="AB743" s="49"/>
      <c r="AC743" s="49"/>
      <c r="AD743" s="49"/>
      <c r="AE743" s="49"/>
      <c r="AF743" s="49"/>
      <c r="AG743" s="49"/>
      <c r="AH743" s="49"/>
      <c r="AI743" s="49"/>
      <c r="AJ743" s="49"/>
      <c r="AK743" s="49"/>
      <c r="AL743" s="49"/>
      <c r="AM743" s="49"/>
      <c r="AN743" s="49"/>
      <c r="AO743" s="49"/>
      <c r="AP743" s="49"/>
      <c r="AQ743" s="49"/>
      <c r="AR743" s="49"/>
      <c r="AS743" s="49"/>
      <c r="AT743" s="49"/>
      <c r="AU743" s="49"/>
    </row>
    <row r="744" spans="1:47" ht="15">
      <c r="A744" s="49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  <c r="AA744" s="49"/>
      <c r="AB744" s="49"/>
      <c r="AC744" s="49"/>
      <c r="AD744" s="49"/>
      <c r="AE744" s="49"/>
      <c r="AF744" s="49"/>
      <c r="AG744" s="49"/>
      <c r="AH744" s="49"/>
      <c r="AI744" s="49"/>
      <c r="AJ744" s="49"/>
      <c r="AK744" s="49"/>
      <c r="AL744" s="49"/>
      <c r="AM744" s="49"/>
      <c r="AN744" s="49"/>
      <c r="AO744" s="49"/>
      <c r="AP744" s="49"/>
      <c r="AQ744" s="49"/>
      <c r="AR744" s="49"/>
      <c r="AS744" s="49"/>
      <c r="AT744" s="49"/>
      <c r="AU744" s="49"/>
    </row>
    <row r="745" spans="1:47" ht="15">
      <c r="A745" s="49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  <c r="AA745" s="49"/>
      <c r="AB745" s="49"/>
      <c r="AC745" s="49"/>
      <c r="AD745" s="49"/>
      <c r="AE745" s="49"/>
      <c r="AF745" s="49"/>
      <c r="AG745" s="49"/>
      <c r="AH745" s="49"/>
      <c r="AI745" s="49"/>
      <c r="AJ745" s="49"/>
      <c r="AK745" s="49"/>
      <c r="AL745" s="49"/>
      <c r="AM745" s="49"/>
      <c r="AN745" s="49"/>
      <c r="AO745" s="49"/>
      <c r="AP745" s="49"/>
      <c r="AQ745" s="49"/>
      <c r="AR745" s="49"/>
      <c r="AS745" s="49"/>
      <c r="AT745" s="49"/>
      <c r="AU745" s="49"/>
    </row>
    <row r="746" spans="1:47" ht="15">
      <c r="A746" s="49"/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  <c r="AA746" s="49"/>
      <c r="AB746" s="49"/>
      <c r="AC746" s="49"/>
      <c r="AD746" s="49"/>
      <c r="AE746" s="49"/>
      <c r="AF746" s="49"/>
      <c r="AG746" s="49"/>
      <c r="AH746" s="49"/>
      <c r="AI746" s="49"/>
      <c r="AJ746" s="49"/>
      <c r="AK746" s="49"/>
      <c r="AL746" s="49"/>
      <c r="AM746" s="49"/>
      <c r="AN746" s="49"/>
      <c r="AO746" s="49"/>
      <c r="AP746" s="49"/>
      <c r="AQ746" s="49"/>
      <c r="AR746" s="49"/>
      <c r="AS746" s="49"/>
      <c r="AT746" s="49"/>
      <c r="AU746" s="49"/>
    </row>
    <row r="747" spans="1:47" ht="15">
      <c r="A747" s="49"/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  <c r="AA747" s="49"/>
      <c r="AB747" s="49"/>
      <c r="AC747" s="49"/>
      <c r="AD747" s="49"/>
      <c r="AE747" s="49"/>
      <c r="AF747" s="49"/>
      <c r="AG747" s="49"/>
      <c r="AH747" s="49"/>
      <c r="AI747" s="49"/>
      <c r="AJ747" s="49"/>
      <c r="AK747" s="49"/>
      <c r="AL747" s="49"/>
      <c r="AM747" s="49"/>
      <c r="AN747" s="49"/>
      <c r="AO747" s="49"/>
      <c r="AP747" s="49"/>
      <c r="AQ747" s="49"/>
      <c r="AR747" s="49"/>
      <c r="AS747" s="49"/>
      <c r="AT747" s="49"/>
      <c r="AU747" s="49"/>
    </row>
    <row r="748" spans="1:47" ht="15">
      <c r="A748" s="49"/>
      <c r="B748" s="49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  <c r="AA748" s="49"/>
      <c r="AB748" s="49"/>
      <c r="AC748" s="49"/>
      <c r="AD748" s="49"/>
      <c r="AE748" s="49"/>
      <c r="AF748" s="49"/>
      <c r="AG748" s="49"/>
      <c r="AH748" s="49"/>
      <c r="AI748" s="49"/>
      <c r="AJ748" s="49"/>
      <c r="AK748" s="49"/>
      <c r="AL748" s="49"/>
      <c r="AM748" s="49"/>
      <c r="AN748" s="49"/>
      <c r="AO748" s="49"/>
      <c r="AP748" s="49"/>
      <c r="AQ748" s="49"/>
      <c r="AR748" s="49"/>
      <c r="AS748" s="49"/>
      <c r="AT748" s="49"/>
      <c r="AU748" s="49"/>
    </row>
    <row r="749" spans="1:47" ht="15">
      <c r="A749" s="49"/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  <c r="AA749" s="49"/>
      <c r="AB749" s="49"/>
      <c r="AC749" s="49"/>
      <c r="AD749" s="49"/>
      <c r="AE749" s="49"/>
      <c r="AF749" s="49"/>
      <c r="AG749" s="49"/>
      <c r="AH749" s="49"/>
      <c r="AI749" s="49"/>
      <c r="AJ749" s="49"/>
      <c r="AK749" s="49"/>
      <c r="AL749" s="49"/>
      <c r="AM749" s="49"/>
      <c r="AN749" s="49"/>
      <c r="AO749" s="49"/>
      <c r="AP749" s="49"/>
      <c r="AQ749" s="49"/>
      <c r="AR749" s="49"/>
      <c r="AS749" s="49"/>
      <c r="AT749" s="49"/>
      <c r="AU749" s="49"/>
    </row>
    <row r="750" spans="1:47" ht="15">
      <c r="A750" s="49"/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  <c r="AA750" s="49"/>
      <c r="AB750" s="49"/>
      <c r="AC750" s="49"/>
      <c r="AD750" s="49"/>
      <c r="AE750" s="49"/>
      <c r="AF750" s="49"/>
      <c r="AG750" s="49"/>
      <c r="AH750" s="49"/>
      <c r="AI750" s="49"/>
      <c r="AJ750" s="49"/>
      <c r="AK750" s="49"/>
      <c r="AL750" s="49"/>
      <c r="AM750" s="49"/>
      <c r="AN750" s="49"/>
      <c r="AO750" s="49"/>
      <c r="AP750" s="49"/>
      <c r="AQ750" s="49"/>
      <c r="AR750" s="49"/>
      <c r="AS750" s="49"/>
      <c r="AT750" s="49"/>
      <c r="AU750" s="49"/>
    </row>
    <row r="751" spans="1:47" ht="15">
      <c r="A751" s="49"/>
      <c r="B751" s="49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  <c r="AA751" s="49"/>
      <c r="AB751" s="49"/>
      <c r="AC751" s="49"/>
      <c r="AD751" s="49"/>
      <c r="AE751" s="49"/>
      <c r="AF751" s="49"/>
      <c r="AG751" s="49"/>
      <c r="AH751" s="49"/>
      <c r="AI751" s="49"/>
      <c r="AJ751" s="49"/>
      <c r="AK751" s="49"/>
      <c r="AL751" s="49"/>
      <c r="AM751" s="49"/>
      <c r="AN751" s="49"/>
      <c r="AO751" s="49"/>
      <c r="AP751" s="49"/>
      <c r="AQ751" s="49"/>
      <c r="AR751" s="49"/>
      <c r="AS751" s="49"/>
      <c r="AT751" s="49"/>
      <c r="AU751" s="49"/>
    </row>
    <row r="752" spans="1:47" ht="15">
      <c r="A752" s="49"/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  <c r="AA752" s="49"/>
      <c r="AB752" s="49"/>
      <c r="AC752" s="49"/>
      <c r="AD752" s="49"/>
      <c r="AE752" s="49"/>
      <c r="AF752" s="49"/>
      <c r="AG752" s="49"/>
      <c r="AH752" s="49"/>
      <c r="AI752" s="49"/>
      <c r="AJ752" s="49"/>
      <c r="AK752" s="49"/>
      <c r="AL752" s="49"/>
      <c r="AM752" s="49"/>
      <c r="AN752" s="49"/>
      <c r="AO752" s="49"/>
      <c r="AP752" s="49"/>
      <c r="AQ752" s="49"/>
      <c r="AR752" s="49"/>
      <c r="AS752" s="49"/>
      <c r="AT752" s="49"/>
      <c r="AU752" s="49"/>
    </row>
    <row r="753" spans="1:47" ht="15">
      <c r="A753" s="49"/>
      <c r="B753" s="49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  <c r="AA753" s="49"/>
      <c r="AB753" s="49"/>
      <c r="AC753" s="49"/>
      <c r="AD753" s="49"/>
      <c r="AE753" s="49"/>
      <c r="AF753" s="49"/>
      <c r="AG753" s="49"/>
      <c r="AH753" s="49"/>
      <c r="AI753" s="49"/>
      <c r="AJ753" s="49"/>
      <c r="AK753" s="49"/>
      <c r="AL753" s="49"/>
      <c r="AM753" s="49"/>
      <c r="AN753" s="49"/>
      <c r="AO753" s="49"/>
      <c r="AP753" s="49"/>
      <c r="AQ753" s="49"/>
      <c r="AR753" s="49"/>
      <c r="AS753" s="49"/>
      <c r="AT753" s="49"/>
      <c r="AU753" s="49"/>
    </row>
    <row r="754" spans="1:47" ht="15">
      <c r="A754" s="49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  <c r="AA754" s="49"/>
      <c r="AB754" s="49"/>
      <c r="AC754" s="49"/>
      <c r="AD754" s="49"/>
      <c r="AE754" s="49"/>
      <c r="AF754" s="49"/>
      <c r="AG754" s="49"/>
      <c r="AH754" s="49"/>
      <c r="AI754" s="49"/>
      <c r="AJ754" s="49"/>
      <c r="AK754" s="49"/>
      <c r="AL754" s="49"/>
      <c r="AM754" s="49"/>
      <c r="AN754" s="49"/>
      <c r="AO754" s="49"/>
      <c r="AP754" s="49"/>
      <c r="AQ754" s="49"/>
      <c r="AR754" s="49"/>
      <c r="AS754" s="49"/>
      <c r="AT754" s="49"/>
      <c r="AU754" s="49"/>
    </row>
    <row r="755" spans="1:47" ht="15">
      <c r="A755" s="49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  <c r="AA755" s="49"/>
      <c r="AB755" s="49"/>
      <c r="AC755" s="49"/>
      <c r="AD755" s="49"/>
      <c r="AE755" s="49"/>
      <c r="AF755" s="49"/>
      <c r="AG755" s="49"/>
      <c r="AH755" s="49"/>
      <c r="AI755" s="49"/>
      <c r="AJ755" s="49"/>
      <c r="AK755" s="49"/>
      <c r="AL755" s="49"/>
      <c r="AM755" s="49"/>
      <c r="AN755" s="49"/>
      <c r="AO755" s="49"/>
      <c r="AP755" s="49"/>
      <c r="AQ755" s="49"/>
      <c r="AR755" s="49"/>
      <c r="AS755" s="49"/>
      <c r="AT755" s="49"/>
      <c r="AU755" s="49"/>
    </row>
    <row r="756" spans="1:47" ht="15">
      <c r="A756" s="49"/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  <c r="AA756" s="49"/>
      <c r="AB756" s="49"/>
      <c r="AC756" s="49"/>
      <c r="AD756" s="49"/>
      <c r="AE756" s="49"/>
      <c r="AF756" s="49"/>
      <c r="AG756" s="49"/>
      <c r="AH756" s="49"/>
      <c r="AI756" s="49"/>
      <c r="AJ756" s="49"/>
      <c r="AK756" s="49"/>
      <c r="AL756" s="49"/>
      <c r="AM756" s="49"/>
      <c r="AN756" s="49"/>
      <c r="AO756" s="49"/>
      <c r="AP756" s="49"/>
      <c r="AQ756" s="49"/>
      <c r="AR756" s="49"/>
      <c r="AS756" s="49"/>
      <c r="AT756" s="49"/>
      <c r="AU756" s="49"/>
    </row>
    <row r="757" spans="1:47" ht="15">
      <c r="A757" s="49"/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  <c r="AA757" s="49"/>
      <c r="AB757" s="49"/>
      <c r="AC757" s="49"/>
      <c r="AD757" s="49"/>
      <c r="AE757" s="49"/>
      <c r="AF757" s="49"/>
      <c r="AG757" s="49"/>
      <c r="AH757" s="49"/>
      <c r="AI757" s="49"/>
      <c r="AJ757" s="49"/>
      <c r="AK757" s="49"/>
      <c r="AL757" s="49"/>
      <c r="AM757" s="49"/>
      <c r="AN757" s="49"/>
      <c r="AO757" s="49"/>
      <c r="AP757" s="49"/>
      <c r="AQ757" s="49"/>
      <c r="AR757" s="49"/>
      <c r="AS757" s="49"/>
      <c r="AT757" s="49"/>
      <c r="AU757" s="49"/>
    </row>
    <row r="758" spans="1:47" ht="15">
      <c r="A758" s="49"/>
      <c r="B758" s="49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  <c r="AA758" s="49"/>
      <c r="AB758" s="49"/>
      <c r="AC758" s="49"/>
      <c r="AD758" s="49"/>
      <c r="AE758" s="49"/>
      <c r="AF758" s="49"/>
      <c r="AG758" s="49"/>
      <c r="AH758" s="49"/>
      <c r="AI758" s="49"/>
      <c r="AJ758" s="49"/>
      <c r="AK758" s="49"/>
      <c r="AL758" s="49"/>
      <c r="AM758" s="49"/>
      <c r="AN758" s="49"/>
      <c r="AO758" s="49"/>
      <c r="AP758" s="49"/>
      <c r="AQ758" s="49"/>
      <c r="AR758" s="49"/>
      <c r="AS758" s="49"/>
      <c r="AT758" s="49"/>
      <c r="AU758" s="49"/>
    </row>
    <row r="759" spans="1:47" ht="15">
      <c r="A759" s="49"/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  <c r="AA759" s="49"/>
      <c r="AB759" s="49"/>
      <c r="AC759" s="49"/>
      <c r="AD759" s="49"/>
      <c r="AE759" s="49"/>
      <c r="AF759" s="49"/>
      <c r="AG759" s="49"/>
      <c r="AH759" s="49"/>
      <c r="AI759" s="49"/>
      <c r="AJ759" s="49"/>
      <c r="AK759" s="49"/>
      <c r="AL759" s="49"/>
      <c r="AM759" s="49"/>
      <c r="AN759" s="49"/>
      <c r="AO759" s="49"/>
      <c r="AP759" s="49"/>
      <c r="AQ759" s="49"/>
      <c r="AR759" s="49"/>
      <c r="AS759" s="49"/>
      <c r="AT759" s="49"/>
      <c r="AU759" s="49"/>
    </row>
    <row r="760" spans="1:47" ht="15">
      <c r="A760" s="49"/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  <c r="AA760" s="49"/>
      <c r="AB760" s="49"/>
      <c r="AC760" s="49"/>
      <c r="AD760" s="49"/>
      <c r="AE760" s="49"/>
      <c r="AF760" s="49"/>
      <c r="AG760" s="49"/>
      <c r="AH760" s="49"/>
      <c r="AI760" s="49"/>
      <c r="AJ760" s="49"/>
      <c r="AK760" s="49"/>
      <c r="AL760" s="49"/>
      <c r="AM760" s="49"/>
      <c r="AN760" s="49"/>
      <c r="AO760" s="49"/>
      <c r="AP760" s="49"/>
      <c r="AQ760" s="49"/>
      <c r="AR760" s="49"/>
      <c r="AS760" s="49"/>
      <c r="AT760" s="49"/>
      <c r="AU760" s="49"/>
    </row>
    <row r="761" spans="1:47" ht="15">
      <c r="A761" s="49"/>
      <c r="B761" s="49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  <c r="AA761" s="49"/>
      <c r="AB761" s="49"/>
      <c r="AC761" s="49"/>
      <c r="AD761" s="49"/>
      <c r="AE761" s="49"/>
      <c r="AF761" s="49"/>
      <c r="AG761" s="49"/>
      <c r="AH761" s="49"/>
      <c r="AI761" s="49"/>
      <c r="AJ761" s="49"/>
      <c r="AK761" s="49"/>
      <c r="AL761" s="49"/>
      <c r="AM761" s="49"/>
      <c r="AN761" s="49"/>
      <c r="AO761" s="49"/>
      <c r="AP761" s="49"/>
      <c r="AQ761" s="49"/>
      <c r="AR761" s="49"/>
      <c r="AS761" s="49"/>
      <c r="AT761" s="49"/>
      <c r="AU761" s="49"/>
    </row>
    <row r="762" spans="1:47" ht="15">
      <c r="A762" s="49"/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  <c r="AA762" s="49"/>
      <c r="AB762" s="49"/>
      <c r="AC762" s="49"/>
      <c r="AD762" s="49"/>
      <c r="AE762" s="49"/>
      <c r="AF762" s="49"/>
      <c r="AG762" s="49"/>
      <c r="AH762" s="49"/>
      <c r="AI762" s="49"/>
      <c r="AJ762" s="49"/>
      <c r="AK762" s="49"/>
      <c r="AL762" s="49"/>
      <c r="AM762" s="49"/>
      <c r="AN762" s="49"/>
      <c r="AO762" s="49"/>
      <c r="AP762" s="49"/>
      <c r="AQ762" s="49"/>
      <c r="AR762" s="49"/>
      <c r="AS762" s="49"/>
      <c r="AT762" s="49"/>
      <c r="AU762" s="49"/>
    </row>
    <row r="763" spans="1:47" ht="15">
      <c r="A763" s="49"/>
      <c r="B763" s="49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  <c r="AA763" s="49"/>
      <c r="AB763" s="49"/>
      <c r="AC763" s="49"/>
      <c r="AD763" s="49"/>
      <c r="AE763" s="49"/>
      <c r="AF763" s="49"/>
      <c r="AG763" s="49"/>
      <c r="AH763" s="49"/>
      <c r="AI763" s="49"/>
      <c r="AJ763" s="49"/>
      <c r="AK763" s="49"/>
      <c r="AL763" s="49"/>
      <c r="AM763" s="49"/>
      <c r="AN763" s="49"/>
      <c r="AO763" s="49"/>
      <c r="AP763" s="49"/>
      <c r="AQ763" s="49"/>
      <c r="AR763" s="49"/>
      <c r="AS763" s="49"/>
      <c r="AT763" s="49"/>
      <c r="AU763" s="49"/>
    </row>
    <row r="764" spans="1:47" ht="15">
      <c r="A764" s="49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  <c r="AA764" s="49"/>
      <c r="AB764" s="49"/>
      <c r="AC764" s="49"/>
      <c r="AD764" s="49"/>
      <c r="AE764" s="49"/>
      <c r="AF764" s="49"/>
      <c r="AG764" s="49"/>
      <c r="AH764" s="49"/>
      <c r="AI764" s="49"/>
      <c r="AJ764" s="49"/>
      <c r="AK764" s="49"/>
      <c r="AL764" s="49"/>
      <c r="AM764" s="49"/>
      <c r="AN764" s="49"/>
      <c r="AO764" s="49"/>
      <c r="AP764" s="49"/>
      <c r="AQ764" s="49"/>
      <c r="AR764" s="49"/>
      <c r="AS764" s="49"/>
      <c r="AT764" s="49"/>
      <c r="AU764" s="49"/>
    </row>
    <row r="765" spans="1:47" ht="15">
      <c r="A765" s="49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  <c r="AA765" s="49"/>
      <c r="AB765" s="49"/>
      <c r="AC765" s="49"/>
      <c r="AD765" s="49"/>
      <c r="AE765" s="49"/>
      <c r="AF765" s="49"/>
      <c r="AG765" s="49"/>
      <c r="AH765" s="49"/>
      <c r="AI765" s="49"/>
      <c r="AJ765" s="49"/>
      <c r="AK765" s="49"/>
      <c r="AL765" s="49"/>
      <c r="AM765" s="49"/>
      <c r="AN765" s="49"/>
      <c r="AO765" s="49"/>
      <c r="AP765" s="49"/>
      <c r="AQ765" s="49"/>
      <c r="AR765" s="49"/>
      <c r="AS765" s="49"/>
      <c r="AT765" s="49"/>
      <c r="AU765" s="49"/>
    </row>
    <row r="766" spans="1:47" ht="15">
      <c r="A766" s="49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  <c r="AA766" s="49"/>
      <c r="AB766" s="49"/>
      <c r="AC766" s="49"/>
      <c r="AD766" s="49"/>
      <c r="AE766" s="49"/>
      <c r="AF766" s="49"/>
      <c r="AG766" s="49"/>
      <c r="AH766" s="49"/>
      <c r="AI766" s="49"/>
      <c r="AJ766" s="49"/>
      <c r="AK766" s="49"/>
      <c r="AL766" s="49"/>
      <c r="AM766" s="49"/>
      <c r="AN766" s="49"/>
      <c r="AO766" s="49"/>
      <c r="AP766" s="49"/>
      <c r="AQ766" s="49"/>
      <c r="AR766" s="49"/>
      <c r="AS766" s="49"/>
      <c r="AT766" s="49"/>
      <c r="AU766" s="49"/>
    </row>
    <row r="767" spans="1:47" ht="15">
      <c r="A767" s="49"/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  <c r="AA767" s="49"/>
      <c r="AB767" s="49"/>
      <c r="AC767" s="49"/>
      <c r="AD767" s="49"/>
      <c r="AE767" s="49"/>
      <c r="AF767" s="49"/>
      <c r="AG767" s="49"/>
      <c r="AH767" s="49"/>
      <c r="AI767" s="49"/>
      <c r="AJ767" s="49"/>
      <c r="AK767" s="49"/>
      <c r="AL767" s="49"/>
      <c r="AM767" s="49"/>
      <c r="AN767" s="49"/>
      <c r="AO767" s="49"/>
      <c r="AP767" s="49"/>
      <c r="AQ767" s="49"/>
      <c r="AR767" s="49"/>
      <c r="AS767" s="49"/>
      <c r="AT767" s="49"/>
      <c r="AU767" s="49"/>
    </row>
    <row r="768" spans="1:47" ht="15">
      <c r="A768" s="49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  <c r="AA768" s="49"/>
      <c r="AB768" s="49"/>
      <c r="AC768" s="49"/>
      <c r="AD768" s="49"/>
      <c r="AE768" s="49"/>
      <c r="AF768" s="49"/>
      <c r="AG768" s="49"/>
      <c r="AH768" s="49"/>
      <c r="AI768" s="49"/>
      <c r="AJ768" s="49"/>
      <c r="AK768" s="49"/>
      <c r="AL768" s="49"/>
      <c r="AM768" s="49"/>
      <c r="AN768" s="49"/>
      <c r="AO768" s="49"/>
      <c r="AP768" s="49"/>
      <c r="AQ768" s="49"/>
      <c r="AR768" s="49"/>
      <c r="AS768" s="49"/>
      <c r="AT768" s="49"/>
      <c r="AU768" s="49"/>
    </row>
    <row r="769" spans="1:47" ht="15">
      <c r="A769" s="49"/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  <c r="AA769" s="49"/>
      <c r="AB769" s="49"/>
      <c r="AC769" s="49"/>
      <c r="AD769" s="49"/>
      <c r="AE769" s="49"/>
      <c r="AF769" s="49"/>
      <c r="AG769" s="49"/>
      <c r="AH769" s="49"/>
      <c r="AI769" s="49"/>
      <c r="AJ769" s="49"/>
      <c r="AK769" s="49"/>
      <c r="AL769" s="49"/>
      <c r="AM769" s="49"/>
      <c r="AN769" s="49"/>
      <c r="AO769" s="49"/>
      <c r="AP769" s="49"/>
      <c r="AQ769" s="49"/>
      <c r="AR769" s="49"/>
      <c r="AS769" s="49"/>
      <c r="AT769" s="49"/>
      <c r="AU769" s="49"/>
    </row>
    <row r="770" spans="1:47" ht="15">
      <c r="A770" s="49"/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  <c r="AA770" s="49"/>
      <c r="AB770" s="49"/>
      <c r="AC770" s="49"/>
      <c r="AD770" s="49"/>
      <c r="AE770" s="49"/>
      <c r="AF770" s="49"/>
      <c r="AG770" s="49"/>
      <c r="AH770" s="49"/>
      <c r="AI770" s="49"/>
      <c r="AJ770" s="49"/>
      <c r="AK770" s="49"/>
      <c r="AL770" s="49"/>
      <c r="AM770" s="49"/>
      <c r="AN770" s="49"/>
      <c r="AO770" s="49"/>
      <c r="AP770" s="49"/>
      <c r="AQ770" s="49"/>
      <c r="AR770" s="49"/>
      <c r="AS770" s="49"/>
      <c r="AT770" s="49"/>
      <c r="AU770" s="49"/>
    </row>
    <row r="771" spans="1:47" ht="15">
      <c r="A771" s="49"/>
      <c r="B771" s="49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  <c r="AA771" s="49"/>
      <c r="AB771" s="49"/>
      <c r="AC771" s="49"/>
      <c r="AD771" s="49"/>
      <c r="AE771" s="49"/>
      <c r="AF771" s="49"/>
      <c r="AG771" s="49"/>
      <c r="AH771" s="49"/>
      <c r="AI771" s="49"/>
      <c r="AJ771" s="49"/>
      <c r="AK771" s="49"/>
      <c r="AL771" s="49"/>
      <c r="AM771" s="49"/>
      <c r="AN771" s="49"/>
      <c r="AO771" s="49"/>
      <c r="AP771" s="49"/>
      <c r="AQ771" s="49"/>
      <c r="AR771" s="49"/>
      <c r="AS771" s="49"/>
      <c r="AT771" s="49"/>
      <c r="AU771" s="49"/>
    </row>
    <row r="772" spans="1:47" ht="15">
      <c r="A772" s="49"/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  <c r="AA772" s="49"/>
      <c r="AB772" s="49"/>
      <c r="AC772" s="49"/>
      <c r="AD772" s="49"/>
      <c r="AE772" s="49"/>
      <c r="AF772" s="49"/>
      <c r="AG772" s="49"/>
      <c r="AH772" s="49"/>
      <c r="AI772" s="49"/>
      <c r="AJ772" s="49"/>
      <c r="AK772" s="49"/>
      <c r="AL772" s="49"/>
      <c r="AM772" s="49"/>
      <c r="AN772" s="49"/>
      <c r="AO772" s="49"/>
      <c r="AP772" s="49"/>
      <c r="AQ772" s="49"/>
      <c r="AR772" s="49"/>
      <c r="AS772" s="49"/>
      <c r="AT772" s="49"/>
      <c r="AU772" s="49"/>
    </row>
    <row r="773" spans="1:47" ht="15">
      <c r="A773" s="49"/>
      <c r="B773" s="49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  <c r="AA773" s="49"/>
      <c r="AB773" s="49"/>
      <c r="AC773" s="49"/>
      <c r="AD773" s="49"/>
      <c r="AE773" s="49"/>
      <c r="AF773" s="49"/>
      <c r="AG773" s="49"/>
      <c r="AH773" s="49"/>
      <c r="AI773" s="49"/>
      <c r="AJ773" s="49"/>
      <c r="AK773" s="49"/>
      <c r="AL773" s="49"/>
      <c r="AM773" s="49"/>
      <c r="AN773" s="49"/>
      <c r="AO773" s="49"/>
      <c r="AP773" s="49"/>
      <c r="AQ773" s="49"/>
      <c r="AR773" s="49"/>
      <c r="AS773" s="49"/>
      <c r="AT773" s="49"/>
      <c r="AU773" s="49"/>
    </row>
    <row r="774" spans="1:47" ht="15">
      <c r="A774" s="49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  <c r="AA774" s="49"/>
      <c r="AB774" s="49"/>
      <c r="AC774" s="49"/>
      <c r="AD774" s="49"/>
      <c r="AE774" s="49"/>
      <c r="AF774" s="49"/>
      <c r="AG774" s="49"/>
      <c r="AH774" s="49"/>
      <c r="AI774" s="49"/>
      <c r="AJ774" s="49"/>
      <c r="AK774" s="49"/>
      <c r="AL774" s="49"/>
      <c r="AM774" s="49"/>
      <c r="AN774" s="49"/>
      <c r="AO774" s="49"/>
      <c r="AP774" s="49"/>
      <c r="AQ774" s="49"/>
      <c r="AR774" s="49"/>
      <c r="AS774" s="49"/>
      <c r="AT774" s="49"/>
      <c r="AU774" s="49"/>
    </row>
    <row r="775" spans="1:47" ht="15">
      <c r="A775" s="49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  <c r="AA775" s="49"/>
      <c r="AB775" s="49"/>
      <c r="AC775" s="49"/>
      <c r="AD775" s="49"/>
      <c r="AE775" s="49"/>
      <c r="AF775" s="49"/>
      <c r="AG775" s="49"/>
      <c r="AH775" s="49"/>
      <c r="AI775" s="49"/>
      <c r="AJ775" s="49"/>
      <c r="AK775" s="49"/>
      <c r="AL775" s="49"/>
      <c r="AM775" s="49"/>
      <c r="AN775" s="49"/>
      <c r="AO775" s="49"/>
      <c r="AP775" s="49"/>
      <c r="AQ775" s="49"/>
      <c r="AR775" s="49"/>
      <c r="AS775" s="49"/>
      <c r="AT775" s="49"/>
      <c r="AU775" s="49"/>
    </row>
    <row r="776" spans="1:47" ht="15">
      <c r="A776" s="49"/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  <c r="AA776" s="49"/>
      <c r="AB776" s="49"/>
      <c r="AC776" s="49"/>
      <c r="AD776" s="49"/>
      <c r="AE776" s="49"/>
      <c r="AF776" s="49"/>
      <c r="AG776" s="49"/>
      <c r="AH776" s="49"/>
      <c r="AI776" s="49"/>
      <c r="AJ776" s="49"/>
      <c r="AK776" s="49"/>
      <c r="AL776" s="49"/>
      <c r="AM776" s="49"/>
      <c r="AN776" s="49"/>
      <c r="AO776" s="49"/>
      <c r="AP776" s="49"/>
      <c r="AQ776" s="49"/>
      <c r="AR776" s="49"/>
      <c r="AS776" s="49"/>
      <c r="AT776" s="49"/>
      <c r="AU776" s="49"/>
    </row>
    <row r="777" spans="1:47" ht="15">
      <c r="A777" s="49"/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  <c r="AA777" s="49"/>
      <c r="AB777" s="49"/>
      <c r="AC777" s="49"/>
      <c r="AD777" s="49"/>
      <c r="AE777" s="49"/>
      <c r="AF777" s="49"/>
      <c r="AG777" s="49"/>
      <c r="AH777" s="49"/>
      <c r="AI777" s="49"/>
      <c r="AJ777" s="49"/>
      <c r="AK777" s="49"/>
      <c r="AL777" s="49"/>
      <c r="AM777" s="49"/>
      <c r="AN777" s="49"/>
      <c r="AO777" s="49"/>
      <c r="AP777" s="49"/>
      <c r="AQ777" s="49"/>
      <c r="AR777" s="49"/>
      <c r="AS777" s="49"/>
      <c r="AT777" s="49"/>
      <c r="AU777" s="49"/>
    </row>
    <row r="778" spans="1:47" ht="15">
      <c r="A778" s="49"/>
      <c r="B778" s="49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  <c r="AA778" s="49"/>
      <c r="AB778" s="49"/>
      <c r="AC778" s="49"/>
      <c r="AD778" s="49"/>
      <c r="AE778" s="49"/>
      <c r="AF778" s="49"/>
      <c r="AG778" s="49"/>
      <c r="AH778" s="49"/>
      <c r="AI778" s="49"/>
      <c r="AJ778" s="49"/>
      <c r="AK778" s="49"/>
      <c r="AL778" s="49"/>
      <c r="AM778" s="49"/>
      <c r="AN778" s="49"/>
      <c r="AO778" s="49"/>
      <c r="AP778" s="49"/>
      <c r="AQ778" s="49"/>
      <c r="AR778" s="49"/>
      <c r="AS778" s="49"/>
      <c r="AT778" s="49"/>
      <c r="AU778" s="49"/>
    </row>
    <row r="779" spans="1:47" ht="15">
      <c r="A779" s="49"/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  <c r="AA779" s="49"/>
      <c r="AB779" s="49"/>
      <c r="AC779" s="49"/>
      <c r="AD779" s="49"/>
      <c r="AE779" s="49"/>
      <c r="AF779" s="49"/>
      <c r="AG779" s="49"/>
      <c r="AH779" s="49"/>
      <c r="AI779" s="49"/>
      <c r="AJ779" s="49"/>
      <c r="AK779" s="49"/>
      <c r="AL779" s="49"/>
      <c r="AM779" s="49"/>
      <c r="AN779" s="49"/>
      <c r="AO779" s="49"/>
      <c r="AP779" s="49"/>
      <c r="AQ779" s="49"/>
      <c r="AR779" s="49"/>
      <c r="AS779" s="49"/>
      <c r="AT779" s="49"/>
      <c r="AU779" s="49"/>
    </row>
    <row r="780" spans="1:47" ht="15">
      <c r="A780" s="49"/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  <c r="AA780" s="49"/>
      <c r="AB780" s="49"/>
      <c r="AC780" s="49"/>
      <c r="AD780" s="49"/>
      <c r="AE780" s="49"/>
      <c r="AF780" s="49"/>
      <c r="AG780" s="49"/>
      <c r="AH780" s="49"/>
      <c r="AI780" s="49"/>
      <c r="AJ780" s="49"/>
      <c r="AK780" s="49"/>
      <c r="AL780" s="49"/>
      <c r="AM780" s="49"/>
      <c r="AN780" s="49"/>
      <c r="AO780" s="49"/>
      <c r="AP780" s="49"/>
      <c r="AQ780" s="49"/>
      <c r="AR780" s="49"/>
      <c r="AS780" s="49"/>
      <c r="AT780" s="49"/>
      <c r="AU780" s="49"/>
    </row>
    <row r="781" spans="1:47" ht="15">
      <c r="A781" s="49"/>
      <c r="B781" s="49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  <c r="AA781" s="49"/>
      <c r="AB781" s="49"/>
      <c r="AC781" s="49"/>
      <c r="AD781" s="49"/>
      <c r="AE781" s="49"/>
      <c r="AF781" s="49"/>
      <c r="AG781" s="49"/>
      <c r="AH781" s="49"/>
      <c r="AI781" s="49"/>
      <c r="AJ781" s="49"/>
      <c r="AK781" s="49"/>
      <c r="AL781" s="49"/>
      <c r="AM781" s="49"/>
      <c r="AN781" s="49"/>
      <c r="AO781" s="49"/>
      <c r="AP781" s="49"/>
      <c r="AQ781" s="49"/>
      <c r="AR781" s="49"/>
      <c r="AS781" s="49"/>
      <c r="AT781" s="49"/>
      <c r="AU781" s="49"/>
    </row>
    <row r="782" spans="1:47" ht="15">
      <c r="A782" s="49"/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  <c r="AA782" s="49"/>
      <c r="AB782" s="49"/>
      <c r="AC782" s="49"/>
      <c r="AD782" s="49"/>
      <c r="AE782" s="49"/>
      <c r="AF782" s="49"/>
      <c r="AG782" s="49"/>
      <c r="AH782" s="49"/>
      <c r="AI782" s="49"/>
      <c r="AJ782" s="49"/>
      <c r="AK782" s="49"/>
      <c r="AL782" s="49"/>
      <c r="AM782" s="49"/>
      <c r="AN782" s="49"/>
      <c r="AO782" s="49"/>
      <c r="AP782" s="49"/>
      <c r="AQ782" s="49"/>
      <c r="AR782" s="49"/>
      <c r="AS782" s="49"/>
      <c r="AT782" s="49"/>
      <c r="AU782" s="49"/>
    </row>
    <row r="783" spans="1:47" ht="15">
      <c r="A783" s="49"/>
      <c r="B783" s="49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  <c r="AA783" s="49"/>
      <c r="AB783" s="49"/>
      <c r="AC783" s="49"/>
      <c r="AD783" s="49"/>
      <c r="AE783" s="49"/>
      <c r="AF783" s="49"/>
      <c r="AG783" s="49"/>
      <c r="AH783" s="49"/>
      <c r="AI783" s="49"/>
      <c r="AJ783" s="49"/>
      <c r="AK783" s="49"/>
      <c r="AL783" s="49"/>
      <c r="AM783" s="49"/>
      <c r="AN783" s="49"/>
      <c r="AO783" s="49"/>
      <c r="AP783" s="49"/>
      <c r="AQ783" s="49"/>
      <c r="AR783" s="49"/>
      <c r="AS783" s="49"/>
      <c r="AT783" s="49"/>
      <c r="AU783" s="49"/>
    </row>
    <row r="784" spans="1:47" ht="15">
      <c r="A784" s="49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  <c r="AA784" s="49"/>
      <c r="AB784" s="49"/>
      <c r="AC784" s="49"/>
      <c r="AD784" s="49"/>
      <c r="AE784" s="49"/>
      <c r="AF784" s="49"/>
      <c r="AG784" s="49"/>
      <c r="AH784" s="49"/>
      <c r="AI784" s="49"/>
      <c r="AJ784" s="49"/>
      <c r="AK784" s="49"/>
      <c r="AL784" s="49"/>
      <c r="AM784" s="49"/>
      <c r="AN784" s="49"/>
      <c r="AO784" s="49"/>
      <c r="AP784" s="49"/>
      <c r="AQ784" s="49"/>
      <c r="AR784" s="49"/>
      <c r="AS784" s="49"/>
      <c r="AT784" s="49"/>
      <c r="AU784" s="49"/>
    </row>
    <row r="785" spans="1:47" ht="15">
      <c r="A785" s="49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  <c r="AA785" s="49"/>
      <c r="AB785" s="49"/>
      <c r="AC785" s="49"/>
      <c r="AD785" s="49"/>
      <c r="AE785" s="49"/>
      <c r="AF785" s="49"/>
      <c r="AG785" s="49"/>
      <c r="AH785" s="49"/>
      <c r="AI785" s="49"/>
      <c r="AJ785" s="49"/>
      <c r="AK785" s="49"/>
      <c r="AL785" s="49"/>
      <c r="AM785" s="49"/>
      <c r="AN785" s="49"/>
      <c r="AO785" s="49"/>
      <c r="AP785" s="49"/>
      <c r="AQ785" s="49"/>
      <c r="AR785" s="49"/>
      <c r="AS785" s="49"/>
      <c r="AT785" s="49"/>
      <c r="AU785" s="49"/>
    </row>
    <row r="786" spans="1:47" ht="15">
      <c r="A786" s="49"/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  <c r="AA786" s="49"/>
      <c r="AB786" s="49"/>
      <c r="AC786" s="49"/>
      <c r="AD786" s="49"/>
      <c r="AE786" s="49"/>
      <c r="AF786" s="49"/>
      <c r="AG786" s="49"/>
      <c r="AH786" s="49"/>
      <c r="AI786" s="49"/>
      <c r="AJ786" s="49"/>
      <c r="AK786" s="49"/>
      <c r="AL786" s="49"/>
      <c r="AM786" s="49"/>
      <c r="AN786" s="49"/>
      <c r="AO786" s="49"/>
      <c r="AP786" s="49"/>
      <c r="AQ786" s="49"/>
      <c r="AR786" s="49"/>
      <c r="AS786" s="49"/>
      <c r="AT786" s="49"/>
      <c r="AU786" s="49"/>
    </row>
    <row r="787" spans="1:47" ht="15">
      <c r="A787" s="49"/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  <c r="AA787" s="49"/>
      <c r="AB787" s="49"/>
      <c r="AC787" s="49"/>
      <c r="AD787" s="49"/>
      <c r="AE787" s="49"/>
      <c r="AF787" s="49"/>
      <c r="AG787" s="49"/>
      <c r="AH787" s="49"/>
      <c r="AI787" s="49"/>
      <c r="AJ787" s="49"/>
      <c r="AK787" s="49"/>
      <c r="AL787" s="49"/>
      <c r="AM787" s="49"/>
      <c r="AN787" s="49"/>
      <c r="AO787" s="49"/>
      <c r="AP787" s="49"/>
      <c r="AQ787" s="49"/>
      <c r="AR787" s="49"/>
      <c r="AS787" s="49"/>
      <c r="AT787" s="49"/>
      <c r="AU787" s="49"/>
    </row>
    <row r="788" spans="1:47" ht="15">
      <c r="A788" s="49"/>
      <c r="B788" s="49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  <c r="AA788" s="49"/>
      <c r="AB788" s="49"/>
      <c r="AC788" s="49"/>
      <c r="AD788" s="49"/>
      <c r="AE788" s="49"/>
      <c r="AF788" s="49"/>
      <c r="AG788" s="49"/>
      <c r="AH788" s="49"/>
      <c r="AI788" s="49"/>
      <c r="AJ788" s="49"/>
      <c r="AK788" s="49"/>
      <c r="AL788" s="49"/>
      <c r="AM788" s="49"/>
      <c r="AN788" s="49"/>
      <c r="AO788" s="49"/>
      <c r="AP788" s="49"/>
      <c r="AQ788" s="49"/>
      <c r="AR788" s="49"/>
      <c r="AS788" s="49"/>
      <c r="AT788" s="49"/>
      <c r="AU788" s="49"/>
    </row>
    <row r="789" spans="1:47" ht="15">
      <c r="A789" s="49"/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  <c r="AA789" s="49"/>
      <c r="AB789" s="49"/>
      <c r="AC789" s="49"/>
      <c r="AD789" s="49"/>
      <c r="AE789" s="49"/>
      <c r="AF789" s="49"/>
      <c r="AG789" s="49"/>
      <c r="AH789" s="49"/>
      <c r="AI789" s="49"/>
      <c r="AJ789" s="49"/>
      <c r="AK789" s="49"/>
      <c r="AL789" s="49"/>
      <c r="AM789" s="49"/>
      <c r="AN789" s="49"/>
      <c r="AO789" s="49"/>
      <c r="AP789" s="49"/>
      <c r="AQ789" s="49"/>
      <c r="AR789" s="49"/>
      <c r="AS789" s="49"/>
      <c r="AT789" s="49"/>
      <c r="AU789" s="49"/>
    </row>
    <row r="790" spans="1:47" ht="15">
      <c r="A790" s="49"/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  <c r="AA790" s="49"/>
      <c r="AB790" s="49"/>
      <c r="AC790" s="49"/>
      <c r="AD790" s="49"/>
      <c r="AE790" s="49"/>
      <c r="AF790" s="49"/>
      <c r="AG790" s="49"/>
      <c r="AH790" s="49"/>
      <c r="AI790" s="49"/>
      <c r="AJ790" s="49"/>
      <c r="AK790" s="49"/>
      <c r="AL790" s="49"/>
      <c r="AM790" s="49"/>
      <c r="AN790" s="49"/>
      <c r="AO790" s="49"/>
      <c r="AP790" s="49"/>
      <c r="AQ790" s="49"/>
      <c r="AR790" s="49"/>
      <c r="AS790" s="49"/>
      <c r="AT790" s="49"/>
      <c r="AU790" s="49"/>
    </row>
    <row r="791" spans="1:47" ht="15">
      <c r="A791" s="49"/>
      <c r="B791" s="49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  <c r="AA791" s="49"/>
      <c r="AB791" s="49"/>
      <c r="AC791" s="49"/>
      <c r="AD791" s="49"/>
      <c r="AE791" s="49"/>
      <c r="AF791" s="49"/>
      <c r="AG791" s="49"/>
      <c r="AH791" s="49"/>
      <c r="AI791" s="49"/>
      <c r="AJ791" s="49"/>
      <c r="AK791" s="49"/>
      <c r="AL791" s="49"/>
      <c r="AM791" s="49"/>
      <c r="AN791" s="49"/>
      <c r="AO791" s="49"/>
      <c r="AP791" s="49"/>
      <c r="AQ791" s="49"/>
      <c r="AR791" s="49"/>
      <c r="AS791" s="49"/>
      <c r="AT791" s="49"/>
      <c r="AU791" s="49"/>
    </row>
    <row r="792" spans="1:47" ht="15">
      <c r="A792" s="49"/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  <c r="AA792" s="49"/>
      <c r="AB792" s="49"/>
      <c r="AC792" s="49"/>
      <c r="AD792" s="49"/>
      <c r="AE792" s="49"/>
      <c r="AF792" s="49"/>
      <c r="AG792" s="49"/>
      <c r="AH792" s="49"/>
      <c r="AI792" s="49"/>
      <c r="AJ792" s="49"/>
      <c r="AK792" s="49"/>
      <c r="AL792" s="49"/>
      <c r="AM792" s="49"/>
      <c r="AN792" s="49"/>
      <c r="AO792" s="49"/>
      <c r="AP792" s="49"/>
      <c r="AQ792" s="49"/>
      <c r="AR792" s="49"/>
      <c r="AS792" s="49"/>
      <c r="AT792" s="49"/>
      <c r="AU792" s="49"/>
    </row>
    <row r="793" spans="1:47" ht="15">
      <c r="A793" s="49"/>
      <c r="B793" s="49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  <c r="AA793" s="49"/>
      <c r="AB793" s="49"/>
      <c r="AC793" s="49"/>
      <c r="AD793" s="49"/>
      <c r="AE793" s="49"/>
      <c r="AF793" s="49"/>
      <c r="AG793" s="49"/>
      <c r="AH793" s="49"/>
      <c r="AI793" s="49"/>
      <c r="AJ793" s="49"/>
      <c r="AK793" s="49"/>
      <c r="AL793" s="49"/>
      <c r="AM793" s="49"/>
      <c r="AN793" s="49"/>
      <c r="AO793" s="49"/>
      <c r="AP793" s="49"/>
      <c r="AQ793" s="49"/>
      <c r="AR793" s="49"/>
      <c r="AS793" s="49"/>
      <c r="AT793" s="49"/>
      <c r="AU793" s="49"/>
    </row>
    <row r="794" spans="1:47" ht="15">
      <c r="A794" s="49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  <c r="AA794" s="49"/>
      <c r="AB794" s="49"/>
      <c r="AC794" s="49"/>
      <c r="AD794" s="49"/>
      <c r="AE794" s="49"/>
      <c r="AF794" s="49"/>
      <c r="AG794" s="49"/>
      <c r="AH794" s="49"/>
      <c r="AI794" s="49"/>
      <c r="AJ794" s="49"/>
      <c r="AK794" s="49"/>
      <c r="AL794" s="49"/>
      <c r="AM794" s="49"/>
      <c r="AN794" s="49"/>
      <c r="AO794" s="49"/>
      <c r="AP794" s="49"/>
      <c r="AQ794" s="49"/>
      <c r="AR794" s="49"/>
      <c r="AS794" s="49"/>
      <c r="AT794" s="49"/>
      <c r="AU794" s="49"/>
    </row>
    <row r="795" spans="27:30" ht="15">
      <c r="AA795" s="49"/>
      <c r="AB795" s="49"/>
      <c r="AC795" s="49"/>
      <c r="AD795" s="49"/>
    </row>
    <row r="796" ht="15">
      <c r="AC796" s="49"/>
    </row>
  </sheetData>
  <sheetProtection/>
  <mergeCells count="10">
    <mergeCell ref="R7:V7"/>
    <mergeCell ref="W7:Z7"/>
    <mergeCell ref="A7:A8"/>
    <mergeCell ref="C7:C8"/>
    <mergeCell ref="J7:M7"/>
    <mergeCell ref="N7:Q7"/>
    <mergeCell ref="D7:D8"/>
    <mergeCell ref="E7:E8"/>
    <mergeCell ref="F7:F8"/>
    <mergeCell ref="G7:G8"/>
  </mergeCells>
  <printOptions/>
  <pageMargins left="0.7480314960629921" right="0.28" top="0.55" bottom="0.24" header="0" footer="0"/>
  <pageSetup horizontalDpi="600" verticalDpi="600" orientation="landscape" scale="70" r:id="rId3"/>
  <colBreaks count="1" manualBreakCount="1">
    <brk id="44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V83"/>
  <sheetViews>
    <sheetView view="pageBreakPreview" zoomScale="60" zoomScaleNormal="75" zoomScalePageLayoutView="0" workbookViewId="0" topLeftCell="A1">
      <pane xSplit="1" ySplit="8" topLeftCell="B9" activePane="bottomRight" state="frozen"/>
      <selection pane="topLeft" activeCell="C28" sqref="C28:C29"/>
      <selection pane="topRight" activeCell="C28" sqref="C28:C29"/>
      <selection pane="bottomLeft" activeCell="C28" sqref="C28:C29"/>
      <selection pane="bottomRight" activeCell="C28" sqref="C28:C29"/>
    </sheetView>
  </sheetViews>
  <sheetFormatPr defaultColWidth="11.421875" defaultRowHeight="12.75" outlineLevelRow="1" outlineLevelCol="3"/>
  <cols>
    <col min="1" max="1" width="86.28125" style="3" bestFit="1" customWidth="1"/>
    <col min="2" max="2" width="18.7109375" style="3" bestFit="1" customWidth="1"/>
    <col min="3" max="3" width="24.7109375" style="3" bestFit="1" customWidth="1" outlineLevel="1"/>
    <col min="4" max="4" width="24.421875" style="3" bestFit="1" customWidth="1" outlineLevel="1"/>
    <col min="5" max="5" width="24.7109375" style="3" bestFit="1" customWidth="1" outlineLevel="1"/>
    <col min="6" max="6" width="25.140625" style="3" bestFit="1" customWidth="1" outlineLevel="1"/>
    <col min="7" max="7" width="25.421875" style="3" bestFit="1" customWidth="1" outlineLevel="1"/>
    <col min="8" max="8" width="20.421875" style="3" bestFit="1" customWidth="1" outlineLevel="1"/>
    <col min="9" max="9" width="20.421875" style="3" bestFit="1" customWidth="1"/>
    <col min="10" max="10" width="21.57421875" style="3" bestFit="1" customWidth="1" outlineLevel="2"/>
    <col min="11" max="11" width="22.00390625" style="3" bestFit="1" customWidth="1" outlineLevel="2"/>
    <col min="12" max="12" width="20.140625" style="3" bestFit="1" customWidth="1" outlineLevel="2"/>
    <col min="13" max="13" width="17.28125" style="3" bestFit="1" customWidth="1" outlineLevel="1"/>
    <col min="14" max="14" width="19.8515625" style="3" bestFit="1" customWidth="1" outlineLevel="2"/>
    <col min="15" max="15" width="21.140625" style="3" bestFit="1" customWidth="1" outlineLevel="2"/>
    <col min="16" max="16" width="20.140625" style="3" bestFit="1" customWidth="1" outlineLevel="2"/>
    <col min="17" max="17" width="17.28125" style="3" bestFit="1" customWidth="1" outlineLevel="1"/>
    <col min="18" max="19" width="25.57421875" style="3" bestFit="1" customWidth="1" outlineLevel="3"/>
    <col min="20" max="20" width="22.7109375" style="3" bestFit="1" customWidth="1" outlineLevel="3"/>
    <col min="21" max="21" width="24.8515625" style="3" bestFit="1" customWidth="1" outlineLevel="3"/>
    <col min="22" max="22" width="17.57421875" style="3" bestFit="1" customWidth="1" outlineLevel="1" collapsed="1"/>
    <col min="23" max="23" width="25.57421875" style="3" bestFit="1" customWidth="1" outlineLevel="2"/>
    <col min="24" max="24" width="25.421875" style="3" bestFit="1" customWidth="1" outlineLevel="2"/>
    <col min="25" max="26" width="4.421875" style="3" bestFit="1" customWidth="1" outlineLevel="2"/>
    <col min="27" max="27" width="17.28125" style="3" bestFit="1" customWidth="1" outlineLevel="1" collapsed="1"/>
    <col min="28" max="28" width="19.421875" style="3" bestFit="1" customWidth="1"/>
    <col min="29" max="30" width="17.28125" style="3" bestFit="1" customWidth="1" outlineLevel="1"/>
    <col min="31" max="31" width="17.57421875" style="3" bestFit="1" customWidth="1" outlineLevel="1"/>
    <col min="32" max="32" width="17.28125" style="3" bestFit="1" customWidth="1" outlineLevel="1"/>
    <col min="33" max="33" width="19.140625" style="3" bestFit="1" customWidth="1"/>
    <col min="34" max="37" width="17.57421875" style="3" bestFit="1" customWidth="1"/>
    <col min="38" max="38" width="19.00390625" style="3" bestFit="1" customWidth="1"/>
    <col min="39" max="39" width="21.28125" style="3" bestFit="1" customWidth="1"/>
    <col min="40" max="40" width="33.7109375" style="3" bestFit="1" customWidth="1"/>
    <col min="41" max="41" width="19.421875" style="3" bestFit="1" customWidth="1"/>
    <col min="42" max="42" width="14.8515625" style="3" hidden="1" customWidth="1"/>
    <col min="43" max="44" width="14.421875" style="3" hidden="1" customWidth="1"/>
    <col min="45" max="45" width="15.421875" style="3" hidden="1" customWidth="1"/>
    <col min="46" max="46" width="13.57421875" style="3" hidden="1" customWidth="1"/>
    <col min="47" max="47" width="12.8515625" style="3" customWidth="1"/>
    <col min="48" max="48" width="15.8515625" style="3" customWidth="1"/>
    <col min="49" max="49" width="11.421875" style="3" customWidth="1"/>
    <col min="50" max="51" width="15.57421875" style="3" customWidth="1"/>
    <col min="52" max="16384" width="11.421875" style="3" customWidth="1"/>
  </cols>
  <sheetData>
    <row r="1" ht="16.5">
      <c r="A1" s="2" t="s">
        <v>0</v>
      </c>
    </row>
    <row r="2" ht="16.5">
      <c r="A2" s="2" t="s">
        <v>133</v>
      </c>
    </row>
    <row r="3" ht="16.5">
      <c r="A3" s="2" t="s">
        <v>134</v>
      </c>
    </row>
    <row r="4" spans="1:31" ht="16.5">
      <c r="A4" s="2" t="s">
        <v>182</v>
      </c>
      <c r="AE4" s="83"/>
    </row>
    <row r="5" spans="1:43" ht="16.5">
      <c r="A5" s="2" t="s">
        <v>358</v>
      </c>
      <c r="AE5" s="83"/>
      <c r="AQ5" s="83"/>
    </row>
    <row r="6" spans="1:34" ht="17.25" thickBot="1">
      <c r="A6" s="100"/>
      <c r="I6" s="5"/>
      <c r="M6" s="6"/>
      <c r="AC6" s="6"/>
      <c r="AH6" s="6"/>
    </row>
    <row r="7" spans="1:46" s="343" customFormat="1" ht="18" customHeight="1" thickBot="1">
      <c r="A7" s="807" t="s">
        <v>2</v>
      </c>
      <c r="B7" s="403" t="s">
        <v>353</v>
      </c>
      <c r="C7" s="807" t="s">
        <v>232</v>
      </c>
      <c r="D7" s="807" t="s">
        <v>227</v>
      </c>
      <c r="E7" s="807" t="s">
        <v>269</v>
      </c>
      <c r="F7" s="807" t="s">
        <v>274</v>
      </c>
      <c r="G7" s="807" t="s">
        <v>290</v>
      </c>
      <c r="H7" s="365" t="s">
        <v>297</v>
      </c>
      <c r="I7" s="335" t="s">
        <v>3</v>
      </c>
      <c r="J7" s="806" t="s">
        <v>124</v>
      </c>
      <c r="K7" s="806"/>
      <c r="L7" s="806"/>
      <c r="M7" s="806"/>
      <c r="N7" s="803" t="s">
        <v>123</v>
      </c>
      <c r="O7" s="804"/>
      <c r="P7" s="804"/>
      <c r="Q7" s="805"/>
      <c r="R7" s="806" t="s">
        <v>129</v>
      </c>
      <c r="S7" s="806"/>
      <c r="T7" s="806"/>
      <c r="U7" s="806"/>
      <c r="V7" s="806"/>
      <c r="W7" s="806" t="s">
        <v>131</v>
      </c>
      <c r="X7" s="806"/>
      <c r="Y7" s="806"/>
      <c r="Z7" s="806"/>
      <c r="AA7" s="806"/>
      <c r="AB7" s="335" t="s">
        <v>77</v>
      </c>
      <c r="AC7" s="335" t="s">
        <v>6</v>
      </c>
      <c r="AD7" s="335" t="s">
        <v>6</v>
      </c>
      <c r="AE7" s="335" t="s">
        <v>6</v>
      </c>
      <c r="AF7" s="335" t="s">
        <v>6</v>
      </c>
      <c r="AG7" s="335" t="s">
        <v>7</v>
      </c>
      <c r="AH7" s="335" t="s">
        <v>10</v>
      </c>
      <c r="AI7" s="335" t="s">
        <v>10</v>
      </c>
      <c r="AJ7" s="335" t="s">
        <v>10</v>
      </c>
      <c r="AK7" s="335" t="s">
        <v>10</v>
      </c>
      <c r="AL7" s="335" t="s">
        <v>5</v>
      </c>
      <c r="AM7" s="335" t="s">
        <v>78</v>
      </c>
      <c r="AN7" s="335" t="s">
        <v>79</v>
      </c>
      <c r="AO7" s="335" t="s">
        <v>80</v>
      </c>
      <c r="AP7" s="335" t="s">
        <v>81</v>
      </c>
      <c r="AQ7" s="335" t="s">
        <v>81</v>
      </c>
      <c r="AR7" s="335" t="s">
        <v>81</v>
      </c>
      <c r="AS7" s="335" t="s">
        <v>81</v>
      </c>
      <c r="AT7" s="343" t="s">
        <v>130</v>
      </c>
    </row>
    <row r="8" spans="1:45" s="343" customFormat="1" ht="17.25" thickBot="1">
      <c r="A8" s="808"/>
      <c r="B8" s="404" t="s">
        <v>357</v>
      </c>
      <c r="C8" s="808"/>
      <c r="D8" s="808"/>
      <c r="E8" s="808"/>
      <c r="F8" s="808"/>
      <c r="G8" s="808"/>
      <c r="H8" s="366" t="s">
        <v>288</v>
      </c>
      <c r="I8" s="336" t="s">
        <v>83</v>
      </c>
      <c r="J8" s="342" t="s">
        <v>217</v>
      </c>
      <c r="K8" s="342" t="s">
        <v>229</v>
      </c>
      <c r="L8" s="342" t="s">
        <v>223</v>
      </c>
      <c r="M8" s="342" t="s">
        <v>83</v>
      </c>
      <c r="N8" s="336" t="s">
        <v>224</v>
      </c>
      <c r="O8" s="336" t="s">
        <v>271</v>
      </c>
      <c r="P8" s="336" t="s">
        <v>270</v>
      </c>
      <c r="Q8" s="336" t="s">
        <v>83</v>
      </c>
      <c r="R8" s="336" t="s">
        <v>272</v>
      </c>
      <c r="S8" s="336" t="s">
        <v>277</v>
      </c>
      <c r="T8" s="336" t="s">
        <v>287</v>
      </c>
      <c r="U8" s="336" t="s">
        <v>284</v>
      </c>
      <c r="V8" s="336" t="s">
        <v>83</v>
      </c>
      <c r="W8" s="336" t="s">
        <v>282</v>
      </c>
      <c r="X8" s="356" t="s">
        <v>290</v>
      </c>
      <c r="Y8" s="336"/>
      <c r="Z8" s="336"/>
      <c r="AA8" s="336" t="s">
        <v>83</v>
      </c>
      <c r="AB8" s="336" t="s">
        <v>5</v>
      </c>
      <c r="AC8" s="336" t="s">
        <v>12</v>
      </c>
      <c r="AD8" s="336" t="s">
        <v>13</v>
      </c>
      <c r="AE8" s="336" t="s">
        <v>14</v>
      </c>
      <c r="AF8" s="336" t="s">
        <v>15</v>
      </c>
      <c r="AG8" s="336" t="s">
        <v>6</v>
      </c>
      <c r="AH8" s="336" t="s">
        <v>12</v>
      </c>
      <c r="AI8" s="336" t="s">
        <v>13</v>
      </c>
      <c r="AJ8" s="336" t="s">
        <v>14</v>
      </c>
      <c r="AK8" s="336" t="s">
        <v>15</v>
      </c>
      <c r="AL8" s="336"/>
      <c r="AM8" s="336" t="s">
        <v>84</v>
      </c>
      <c r="AN8" s="336" t="s">
        <v>6</v>
      </c>
      <c r="AO8" s="336" t="s">
        <v>19</v>
      </c>
      <c r="AP8" s="336" t="s">
        <v>12</v>
      </c>
      <c r="AQ8" s="336" t="s">
        <v>13</v>
      </c>
      <c r="AR8" s="336" t="s">
        <v>14</v>
      </c>
      <c r="AS8" s="336" t="s">
        <v>15</v>
      </c>
    </row>
    <row r="9" spans="1:45" ht="15" customHeight="1">
      <c r="A9" s="143" t="s">
        <v>22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191"/>
    </row>
    <row r="10" spans="1:48" ht="15" customHeight="1">
      <c r="A10" s="102" t="s">
        <v>23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103"/>
      <c r="AU10" s="66"/>
      <c r="AV10" s="66"/>
    </row>
    <row r="11" spans="1:48" ht="15" customHeight="1">
      <c r="A11" s="102" t="s">
        <v>24</v>
      </c>
      <c r="B11" s="7">
        <v>186640823</v>
      </c>
      <c r="C11" s="7"/>
      <c r="D11" s="7"/>
      <c r="E11" s="7"/>
      <c r="F11" s="7"/>
      <c r="G11" s="7"/>
      <c r="H11" s="7"/>
      <c r="I11" s="7">
        <f>SUM(B11:H11)</f>
        <v>186640823</v>
      </c>
      <c r="J11" s="7">
        <v>43105181</v>
      </c>
      <c r="K11" s="7"/>
      <c r="L11" s="7">
        <v>-13880464</v>
      </c>
      <c r="M11" s="7">
        <f>SUM(J11:L11)</f>
        <v>29224717</v>
      </c>
      <c r="N11" s="7">
        <v>46530953</v>
      </c>
      <c r="O11" s="7">
        <v>844775</v>
      </c>
      <c r="P11" s="7">
        <f>+AD11-N11-O11</f>
        <v>0</v>
      </c>
      <c r="Q11" s="7">
        <f>SUM(N11:P11)</f>
        <v>47375728</v>
      </c>
      <c r="R11" s="7">
        <v>46530953.219100006</v>
      </c>
      <c r="S11" s="7"/>
      <c r="T11" s="7">
        <f>-R11+AE11</f>
        <v>-23253.219100005925</v>
      </c>
      <c r="U11" s="7">
        <f>-R11-S11-T11+AE11</f>
        <v>0</v>
      </c>
      <c r="V11" s="7">
        <f aca="true" t="shared" si="0" ref="V11:V20">+SUM(R11:U11)</f>
        <v>46507700</v>
      </c>
      <c r="W11" s="7">
        <v>63532678</v>
      </c>
      <c r="X11" s="7"/>
      <c r="Y11" s="7"/>
      <c r="Z11" s="7"/>
      <c r="AA11" s="7">
        <f aca="true" t="shared" si="1" ref="AA11:AA20">+SUM(W11:W11)</f>
        <v>63532678</v>
      </c>
      <c r="AB11" s="7">
        <f aca="true" t="shared" si="2" ref="AB11:AB20">+M11+Q11+V11+AA11</f>
        <v>186640823</v>
      </c>
      <c r="AC11" s="357">
        <f>+'[4]MER ENE-MAR-11'!$G$9</f>
        <v>29224717</v>
      </c>
      <c r="AD11" s="357">
        <f>+'[4]MER ABR-JUN-11'!$G$9</f>
        <v>47375728</v>
      </c>
      <c r="AE11" s="357">
        <f>+'[4]MER JUL-SEP-11'!$G$9</f>
        <v>46507700</v>
      </c>
      <c r="AF11" s="357">
        <f>+'[4]MER OCT-DIC-11'!$G$9</f>
        <v>44499798</v>
      </c>
      <c r="AG11" s="357">
        <f aca="true" t="shared" si="3" ref="AG11:AG20">SUM(AC11:AF11)</f>
        <v>167607943</v>
      </c>
      <c r="AH11" s="7">
        <f aca="true" t="shared" si="4" ref="AH11:AH20">+M11-AC11</f>
        <v>0</v>
      </c>
      <c r="AI11" s="7">
        <f aca="true" t="shared" si="5" ref="AI11:AI20">+Q11-AD11</f>
        <v>0</v>
      </c>
      <c r="AJ11" s="7">
        <f aca="true" t="shared" si="6" ref="AJ11:AJ20">+V11-AE11</f>
        <v>0</v>
      </c>
      <c r="AK11" s="7">
        <f>+AA11-AF11</f>
        <v>19032880</v>
      </c>
      <c r="AL11" s="7">
        <f>+AB11</f>
        <v>186640823</v>
      </c>
      <c r="AM11" s="7">
        <f>+I11-AB11</f>
        <v>0</v>
      </c>
      <c r="AN11" s="7">
        <f aca="true" t="shared" si="7" ref="AN11:AN20">+AL11-AG11</f>
        <v>19032880</v>
      </c>
      <c r="AO11" s="130">
        <f>+AG11/I11</f>
        <v>0.8980240244654301</v>
      </c>
      <c r="AP11" s="130">
        <f>+AC11/M11</f>
        <v>1</v>
      </c>
      <c r="AQ11" s="130">
        <f>+AD11/Q11</f>
        <v>1</v>
      </c>
      <c r="AR11" s="130">
        <f>+AE11/V11</f>
        <v>1</v>
      </c>
      <c r="AS11" s="135">
        <f>+AF11/AA11</f>
        <v>0.7004237724718608</v>
      </c>
      <c r="AT11" s="83"/>
      <c r="AV11" s="66"/>
    </row>
    <row r="12" spans="1:48" ht="15" customHeight="1">
      <c r="A12" s="102" t="s">
        <v>25</v>
      </c>
      <c r="B12" s="7">
        <v>8547518</v>
      </c>
      <c r="C12" s="7"/>
      <c r="D12" s="7"/>
      <c r="E12" s="7"/>
      <c r="F12" s="7"/>
      <c r="G12" s="7"/>
      <c r="H12" s="7"/>
      <c r="I12" s="7">
        <f aca="true" t="shared" si="8" ref="I12:I20">SUM(B12:H12)</f>
        <v>8547518</v>
      </c>
      <c r="J12" s="7">
        <v>2024658</v>
      </c>
      <c r="K12" s="7"/>
      <c r="L12" s="7">
        <v>-130816</v>
      </c>
      <c r="M12" s="7">
        <f aca="true" t="shared" si="9" ref="M12:M20">SUM(J12:L12)</f>
        <v>1893842</v>
      </c>
      <c r="N12" s="7">
        <v>2136024.68315103</v>
      </c>
      <c r="O12" s="7">
        <v>243891</v>
      </c>
      <c r="P12" s="7">
        <f aca="true" t="shared" si="10" ref="P12:P19">+AD12-N12-O12</f>
        <v>0.31684897001832724</v>
      </c>
      <c r="Q12" s="7">
        <f aca="true" t="shared" si="11" ref="Q12:Q20">SUM(N12:P12)</f>
        <v>2379916</v>
      </c>
      <c r="R12" s="7">
        <v>2136024.68315103</v>
      </c>
      <c r="S12" s="7"/>
      <c r="T12" s="7">
        <f aca="true" t="shared" si="12" ref="T12:T18">-R12+AE12</f>
        <v>853.3168489700183</v>
      </c>
      <c r="U12" s="7">
        <f aca="true" t="shared" si="13" ref="U12:U19">-R12-S12-T12+AE12</f>
        <v>0</v>
      </c>
      <c r="V12" s="7">
        <f t="shared" si="0"/>
        <v>2136878</v>
      </c>
      <c r="W12" s="7">
        <v>2136882</v>
      </c>
      <c r="X12" s="7"/>
      <c r="Y12" s="7"/>
      <c r="Z12" s="7"/>
      <c r="AA12" s="7">
        <f t="shared" si="1"/>
        <v>2136882</v>
      </c>
      <c r="AB12" s="7">
        <f t="shared" si="2"/>
        <v>8547518</v>
      </c>
      <c r="AC12" s="357">
        <f>+'[4]MER ENE-MAR-11'!$G$20</f>
        <v>1893842</v>
      </c>
      <c r="AD12" s="357">
        <f>+'[4]MER ABR-JUN-11'!$G$22</f>
        <v>2379916</v>
      </c>
      <c r="AE12" s="357">
        <f>+'[4]MER JUL-SEP-11'!$G$20</f>
        <v>2136878</v>
      </c>
      <c r="AF12" s="357">
        <f>+'[4]MER OCT-DIC-11'!$G$22</f>
        <v>2067479</v>
      </c>
      <c r="AG12" s="357">
        <f t="shared" si="3"/>
        <v>8478115</v>
      </c>
      <c r="AH12" s="7">
        <f t="shared" si="4"/>
        <v>0</v>
      </c>
      <c r="AI12" s="7">
        <f t="shared" si="5"/>
        <v>0</v>
      </c>
      <c r="AJ12" s="7">
        <f t="shared" si="6"/>
        <v>0</v>
      </c>
      <c r="AK12" s="7">
        <f aca="true" t="shared" si="14" ref="AK12:AK20">+AA12-AF12</f>
        <v>69403</v>
      </c>
      <c r="AL12" s="7">
        <f aca="true" t="shared" si="15" ref="AL12:AL20">+AB12</f>
        <v>8547518</v>
      </c>
      <c r="AM12" s="7">
        <f aca="true" t="shared" si="16" ref="AM12:AM20">+I12-AB12</f>
        <v>0</v>
      </c>
      <c r="AN12" s="7">
        <f t="shared" si="7"/>
        <v>69403</v>
      </c>
      <c r="AO12" s="130">
        <f>+AG12/I12</f>
        <v>0.9918803329808723</v>
      </c>
      <c r="AP12" s="130">
        <f aca="true" t="shared" si="17" ref="AP12:AP19">+AC12/M12</f>
        <v>1</v>
      </c>
      <c r="AQ12" s="130">
        <f aca="true" t="shared" si="18" ref="AQ12:AQ20">+AD12/Q12</f>
        <v>1</v>
      </c>
      <c r="AR12" s="130">
        <f>+AE12/V12</f>
        <v>1</v>
      </c>
      <c r="AS12" s="135">
        <f aca="true" t="shared" si="19" ref="AS12:AS20">+AF12/AA12</f>
        <v>0.9675213699212216</v>
      </c>
      <c r="AV12" s="66"/>
    </row>
    <row r="13" spans="1:48" ht="15" customHeight="1">
      <c r="A13" s="102" t="s">
        <v>26</v>
      </c>
      <c r="B13" s="7">
        <v>1025702</v>
      </c>
      <c r="C13" s="7"/>
      <c r="D13" s="7"/>
      <c r="E13" s="7"/>
      <c r="F13" s="7"/>
      <c r="G13" s="7"/>
      <c r="H13" s="7"/>
      <c r="I13" s="7">
        <f t="shared" si="8"/>
        <v>1025702</v>
      </c>
      <c r="J13" s="7">
        <v>242959</v>
      </c>
      <c r="K13" s="7"/>
      <c r="L13" s="7">
        <v>-15698</v>
      </c>
      <c r="M13" s="7">
        <f t="shared" si="9"/>
        <v>227261</v>
      </c>
      <c r="N13" s="7">
        <v>256322.96197812358</v>
      </c>
      <c r="O13" s="7"/>
      <c r="P13" s="7">
        <f t="shared" si="10"/>
        <v>-227158.96197812358</v>
      </c>
      <c r="Q13" s="7">
        <f t="shared" si="11"/>
        <v>29164</v>
      </c>
      <c r="R13" s="7">
        <v>256322.96197812358</v>
      </c>
      <c r="S13" s="7"/>
      <c r="T13" s="7">
        <f t="shared" si="12"/>
        <v>64209.03802187642</v>
      </c>
      <c r="U13" s="7">
        <f t="shared" si="13"/>
        <v>0</v>
      </c>
      <c r="V13" s="7">
        <f t="shared" si="0"/>
        <v>320532</v>
      </c>
      <c r="W13" s="7">
        <v>448745</v>
      </c>
      <c r="X13" s="7"/>
      <c r="Y13" s="7"/>
      <c r="Z13" s="7"/>
      <c r="AA13" s="7">
        <f t="shared" si="1"/>
        <v>448745</v>
      </c>
      <c r="AB13" s="7">
        <f t="shared" si="2"/>
        <v>1025702</v>
      </c>
      <c r="AC13" s="357">
        <f>+'[4]MER ENE-MAR-11'!$G$27</f>
        <v>227261</v>
      </c>
      <c r="AD13" s="357">
        <f>+'[4]MER ABR-JUN-11'!$G$30</f>
        <v>29164</v>
      </c>
      <c r="AE13" s="357">
        <f>+'[4]MER JUL-SEP-11'!$G$27</f>
        <v>320532</v>
      </c>
      <c r="AF13" s="357">
        <f>+'[4]MER OCT-DIC-11'!$G$29</f>
        <v>384121</v>
      </c>
      <c r="AG13" s="357">
        <f t="shared" si="3"/>
        <v>961078</v>
      </c>
      <c r="AH13" s="7">
        <f t="shared" si="4"/>
        <v>0</v>
      </c>
      <c r="AI13" s="7">
        <f t="shared" si="5"/>
        <v>0</v>
      </c>
      <c r="AJ13" s="7">
        <f t="shared" si="6"/>
        <v>0</v>
      </c>
      <c r="AK13" s="7">
        <f t="shared" si="14"/>
        <v>64624</v>
      </c>
      <c r="AL13" s="7">
        <f t="shared" si="15"/>
        <v>1025702</v>
      </c>
      <c r="AM13" s="7">
        <f t="shared" si="16"/>
        <v>0</v>
      </c>
      <c r="AN13" s="7">
        <f t="shared" si="7"/>
        <v>64624</v>
      </c>
      <c r="AO13" s="130">
        <f>+AG13/I13</f>
        <v>0.9369953456267025</v>
      </c>
      <c r="AP13" s="130">
        <f t="shared" si="17"/>
        <v>1</v>
      </c>
      <c r="AQ13" s="130">
        <f t="shared" si="18"/>
        <v>1</v>
      </c>
      <c r="AR13" s="130">
        <f>+AE13/V13</f>
        <v>1</v>
      </c>
      <c r="AS13" s="135">
        <f t="shared" si="19"/>
        <v>0.8559894817769558</v>
      </c>
      <c r="AV13" s="66"/>
    </row>
    <row r="14" spans="1:48" ht="15" customHeight="1">
      <c r="A14" s="102" t="s">
        <v>27</v>
      </c>
      <c r="B14" s="7">
        <v>8547518</v>
      </c>
      <c r="C14" s="7"/>
      <c r="D14" s="7"/>
      <c r="E14" s="7"/>
      <c r="F14" s="7"/>
      <c r="G14" s="7"/>
      <c r="H14" s="7"/>
      <c r="I14" s="7">
        <f t="shared" si="8"/>
        <v>8547518</v>
      </c>
      <c r="J14" s="7">
        <v>2024658</v>
      </c>
      <c r="K14" s="7"/>
      <c r="L14" s="7">
        <v>-130816</v>
      </c>
      <c r="M14" s="7">
        <f t="shared" si="9"/>
        <v>1893842</v>
      </c>
      <c r="N14" s="7">
        <v>2136024.68315103</v>
      </c>
      <c r="O14" s="7">
        <v>243891</v>
      </c>
      <c r="P14" s="7">
        <f t="shared" si="10"/>
        <v>0.31684897001832724</v>
      </c>
      <c r="Q14" s="7">
        <f t="shared" si="11"/>
        <v>2379916</v>
      </c>
      <c r="R14" s="7">
        <v>2136024.68315103</v>
      </c>
      <c r="S14" s="7"/>
      <c r="T14" s="7">
        <f t="shared" si="12"/>
        <v>853.3168489700183</v>
      </c>
      <c r="U14" s="7">
        <f t="shared" si="13"/>
        <v>0</v>
      </c>
      <c r="V14" s="7">
        <f t="shared" si="0"/>
        <v>2136878</v>
      </c>
      <c r="W14" s="7">
        <v>2136882</v>
      </c>
      <c r="X14" s="7"/>
      <c r="Y14" s="7"/>
      <c r="Z14" s="7"/>
      <c r="AA14" s="7">
        <f t="shared" si="1"/>
        <v>2136882</v>
      </c>
      <c r="AB14" s="7">
        <f t="shared" si="2"/>
        <v>8547518</v>
      </c>
      <c r="AC14" s="357">
        <f>+'[4]MER ENE-MAR-11'!$G$34</f>
        <v>1893842</v>
      </c>
      <c r="AD14" s="357">
        <f>+'[4]MER ABR-JUN-11'!$G$38</f>
        <v>2379916</v>
      </c>
      <c r="AE14" s="357">
        <f>+'[4]MER JUL-SEP-11'!$G$34</f>
        <v>2136878</v>
      </c>
      <c r="AF14" s="357">
        <f>+'[4]MER OCT-DIC-11'!$G$36</f>
        <v>2067481</v>
      </c>
      <c r="AG14" s="357">
        <f t="shared" si="3"/>
        <v>8478117</v>
      </c>
      <c r="AH14" s="7">
        <f t="shared" si="4"/>
        <v>0</v>
      </c>
      <c r="AI14" s="7">
        <f t="shared" si="5"/>
        <v>0</v>
      </c>
      <c r="AJ14" s="7">
        <f t="shared" si="6"/>
        <v>0</v>
      </c>
      <c r="AK14" s="7">
        <f t="shared" si="14"/>
        <v>69401</v>
      </c>
      <c r="AL14" s="7">
        <f t="shared" si="15"/>
        <v>8547518</v>
      </c>
      <c r="AM14" s="7">
        <f t="shared" si="16"/>
        <v>0</v>
      </c>
      <c r="AN14" s="7">
        <f t="shared" si="7"/>
        <v>69401</v>
      </c>
      <c r="AO14" s="130">
        <f>+AG14/I14</f>
        <v>0.9918805669669254</v>
      </c>
      <c r="AP14" s="130">
        <f t="shared" si="17"/>
        <v>1</v>
      </c>
      <c r="AQ14" s="130">
        <f t="shared" si="18"/>
        <v>1</v>
      </c>
      <c r="AR14" s="130">
        <f>+AE14/V14</f>
        <v>1</v>
      </c>
      <c r="AS14" s="135">
        <f t="shared" si="19"/>
        <v>0.9675223058643387</v>
      </c>
      <c r="AV14" s="66"/>
    </row>
    <row r="15" spans="1:48" ht="15" customHeight="1">
      <c r="A15" s="102" t="s">
        <v>28</v>
      </c>
      <c r="B15" s="7">
        <v>7755159</v>
      </c>
      <c r="C15" s="7"/>
      <c r="D15" s="7"/>
      <c r="E15" s="7"/>
      <c r="F15" s="7"/>
      <c r="G15" s="7"/>
      <c r="H15" s="7"/>
      <c r="I15" s="7">
        <f t="shared" si="8"/>
        <v>7755159</v>
      </c>
      <c r="J15" s="7">
        <v>1932384</v>
      </c>
      <c r="K15" s="7"/>
      <c r="L15" s="7">
        <v>-714686</v>
      </c>
      <c r="M15" s="7">
        <f t="shared" si="9"/>
        <v>1217698</v>
      </c>
      <c r="N15" s="7">
        <v>1932384.3892364702</v>
      </c>
      <c r="O15" s="7">
        <v>263311</v>
      </c>
      <c r="P15" s="7">
        <f t="shared" si="10"/>
        <v>-0.38923647021874785</v>
      </c>
      <c r="Q15" s="7">
        <f t="shared" si="11"/>
        <v>2195695</v>
      </c>
      <c r="R15" s="7">
        <v>1932384.3892364702</v>
      </c>
      <c r="S15" s="7"/>
      <c r="T15" s="7">
        <f t="shared" si="12"/>
        <v>-17444.38923647022</v>
      </c>
      <c r="U15" s="7">
        <f t="shared" si="13"/>
        <v>0</v>
      </c>
      <c r="V15" s="7">
        <f t="shared" si="0"/>
        <v>1914940</v>
      </c>
      <c r="W15" s="7">
        <v>2426826</v>
      </c>
      <c r="X15" s="7"/>
      <c r="Y15" s="7"/>
      <c r="Z15" s="7"/>
      <c r="AA15" s="7">
        <f t="shared" si="1"/>
        <v>2426826</v>
      </c>
      <c r="AB15" s="7">
        <f t="shared" si="2"/>
        <v>7755159</v>
      </c>
      <c r="AC15" s="357">
        <f>+'[4]MER ENE-MAR-11'!$G$41</f>
        <v>1217698</v>
      </c>
      <c r="AD15" s="357">
        <f>+'[4]MER ABR-JUN-11'!$G$46</f>
        <v>2195695</v>
      </c>
      <c r="AE15" s="357">
        <f>+'[4]MER JUL-SEP-11'!$G$41</f>
        <v>1914940</v>
      </c>
      <c r="AF15" s="357">
        <f>+'[4]MER OCT-DIC-11'!$G$43</f>
        <v>1939761</v>
      </c>
      <c r="AG15" s="357">
        <f t="shared" si="3"/>
        <v>7268094</v>
      </c>
      <c r="AH15" s="7">
        <f t="shared" si="4"/>
        <v>0</v>
      </c>
      <c r="AI15" s="7">
        <f t="shared" si="5"/>
        <v>0</v>
      </c>
      <c r="AJ15" s="7">
        <f t="shared" si="6"/>
        <v>0</v>
      </c>
      <c r="AK15" s="7">
        <f t="shared" si="14"/>
        <v>487065</v>
      </c>
      <c r="AL15" s="7">
        <f t="shared" si="15"/>
        <v>7755159</v>
      </c>
      <c r="AM15" s="7">
        <f t="shared" si="16"/>
        <v>0</v>
      </c>
      <c r="AN15" s="7">
        <f t="shared" si="7"/>
        <v>487065</v>
      </c>
      <c r="AO15" s="130">
        <f>+AG15/I15</f>
        <v>0.9371947112883179</v>
      </c>
      <c r="AP15" s="130">
        <f t="shared" si="17"/>
        <v>1</v>
      </c>
      <c r="AQ15" s="130">
        <f t="shared" si="18"/>
        <v>1</v>
      </c>
      <c r="AR15" s="130">
        <f>+AE15/V15</f>
        <v>1</v>
      </c>
      <c r="AS15" s="135">
        <f t="shared" si="19"/>
        <v>0.7992995789562168</v>
      </c>
      <c r="AV15" s="66"/>
    </row>
    <row r="16" spans="1:45" ht="15" customHeight="1">
      <c r="A16" s="102" t="s">
        <v>29</v>
      </c>
      <c r="B16" s="7"/>
      <c r="C16" s="7"/>
      <c r="D16" s="7"/>
      <c r="E16" s="7"/>
      <c r="F16" s="7"/>
      <c r="G16" s="7"/>
      <c r="H16" s="7"/>
      <c r="I16" s="7">
        <f t="shared" si="8"/>
        <v>0</v>
      </c>
      <c r="J16" s="7"/>
      <c r="K16" s="7"/>
      <c r="L16" s="7">
        <v>0</v>
      </c>
      <c r="M16" s="7">
        <f t="shared" si="9"/>
        <v>0</v>
      </c>
      <c r="N16" s="7"/>
      <c r="O16" s="7"/>
      <c r="P16" s="7">
        <f t="shared" si="10"/>
        <v>0</v>
      </c>
      <c r="Q16" s="7">
        <f t="shared" si="11"/>
        <v>0</v>
      </c>
      <c r="R16" s="7">
        <v>0</v>
      </c>
      <c r="S16" s="7"/>
      <c r="T16" s="7">
        <f t="shared" si="12"/>
        <v>0</v>
      </c>
      <c r="U16" s="7">
        <f t="shared" si="13"/>
        <v>0</v>
      </c>
      <c r="V16" s="7">
        <f t="shared" si="0"/>
        <v>0</v>
      </c>
      <c r="W16" s="7">
        <v>0</v>
      </c>
      <c r="X16" s="7"/>
      <c r="Y16" s="7"/>
      <c r="Z16" s="7"/>
      <c r="AA16" s="7">
        <f t="shared" si="1"/>
        <v>0</v>
      </c>
      <c r="AB16" s="7">
        <f t="shared" si="2"/>
        <v>0</v>
      </c>
      <c r="AC16" s="357">
        <v>0</v>
      </c>
      <c r="AD16" s="357">
        <v>0</v>
      </c>
      <c r="AE16" s="357">
        <v>0</v>
      </c>
      <c r="AF16" s="357">
        <v>0</v>
      </c>
      <c r="AG16" s="357">
        <f t="shared" si="3"/>
        <v>0</v>
      </c>
      <c r="AH16" s="7">
        <f t="shared" si="4"/>
        <v>0</v>
      </c>
      <c r="AI16" s="7">
        <f t="shared" si="5"/>
        <v>0</v>
      </c>
      <c r="AJ16" s="7">
        <f t="shared" si="6"/>
        <v>0</v>
      </c>
      <c r="AK16" s="7">
        <f t="shared" si="14"/>
        <v>0</v>
      </c>
      <c r="AL16" s="7">
        <f t="shared" si="15"/>
        <v>0</v>
      </c>
      <c r="AM16" s="7">
        <f t="shared" si="16"/>
        <v>0</v>
      </c>
      <c r="AN16" s="7">
        <f t="shared" si="7"/>
        <v>0</v>
      </c>
      <c r="AO16" s="130">
        <v>0</v>
      </c>
      <c r="AP16" s="130">
        <v>0</v>
      </c>
      <c r="AQ16" s="130">
        <v>0</v>
      </c>
      <c r="AR16" s="130">
        <v>0</v>
      </c>
      <c r="AS16" s="135" t="e">
        <f t="shared" si="19"/>
        <v>#DIV/0!</v>
      </c>
    </row>
    <row r="17" spans="1:45" ht="15" customHeight="1">
      <c r="A17" s="102" t="s">
        <v>30</v>
      </c>
      <c r="B17" s="7">
        <v>33790720</v>
      </c>
      <c r="C17" s="7"/>
      <c r="D17" s="7"/>
      <c r="E17" s="7"/>
      <c r="F17" s="7"/>
      <c r="G17" s="7"/>
      <c r="H17" s="7"/>
      <c r="I17" s="7">
        <f t="shared" si="8"/>
        <v>33790720</v>
      </c>
      <c r="J17" s="7">
        <v>7835403</v>
      </c>
      <c r="K17" s="7"/>
      <c r="L17" s="7">
        <v>-1074647</v>
      </c>
      <c r="M17" s="7">
        <f t="shared" si="9"/>
        <v>6760756</v>
      </c>
      <c r="N17" s="7">
        <v>8424279</v>
      </c>
      <c r="O17" s="7"/>
      <c r="P17" s="7">
        <f t="shared" si="10"/>
        <v>-1395</v>
      </c>
      <c r="Q17" s="7">
        <f t="shared" si="11"/>
        <v>8422884</v>
      </c>
      <c r="R17" s="7">
        <v>8424279.175319202</v>
      </c>
      <c r="S17" s="7"/>
      <c r="T17" s="7">
        <f t="shared" si="12"/>
        <v>-1895.1753192022443</v>
      </c>
      <c r="U17" s="7">
        <f t="shared" si="13"/>
        <v>0</v>
      </c>
      <c r="V17" s="7">
        <f t="shared" si="0"/>
        <v>8422384</v>
      </c>
      <c r="W17" s="7">
        <v>10184696</v>
      </c>
      <c r="X17" s="7"/>
      <c r="Y17" s="7"/>
      <c r="Z17" s="7"/>
      <c r="AA17" s="7">
        <f t="shared" si="1"/>
        <v>10184696</v>
      </c>
      <c r="AB17" s="7">
        <f t="shared" si="2"/>
        <v>33790720</v>
      </c>
      <c r="AC17" s="357">
        <f>+'[4]MER ENE-MAR-11'!$G$48</f>
        <v>6760756</v>
      </c>
      <c r="AD17" s="357">
        <f>+'[4]MER ABR-JUN-11'!$G$54</f>
        <v>8422884</v>
      </c>
      <c r="AE17" s="357">
        <f>+'[4]MER JUL-SEP-11'!$G$48</f>
        <v>8422384</v>
      </c>
      <c r="AF17" s="357">
        <f>+'[4]MER OCT-DIC-11'!$G$50</f>
        <v>8240296</v>
      </c>
      <c r="AG17" s="357">
        <f t="shared" si="3"/>
        <v>31846320</v>
      </c>
      <c r="AH17" s="7">
        <f t="shared" si="4"/>
        <v>0</v>
      </c>
      <c r="AI17" s="7">
        <f t="shared" si="5"/>
        <v>0</v>
      </c>
      <c r="AJ17" s="7">
        <f t="shared" si="6"/>
        <v>0</v>
      </c>
      <c r="AK17" s="7">
        <f t="shared" si="14"/>
        <v>1944400</v>
      </c>
      <c r="AL17" s="7">
        <f t="shared" si="15"/>
        <v>33790720</v>
      </c>
      <c r="AM17" s="7">
        <f t="shared" si="16"/>
        <v>0</v>
      </c>
      <c r="AN17" s="7">
        <f t="shared" si="7"/>
        <v>1944400</v>
      </c>
      <c r="AO17" s="130">
        <f>+AG17/I17</f>
        <v>0.942457574150536</v>
      </c>
      <c r="AP17" s="130">
        <f t="shared" si="17"/>
        <v>1</v>
      </c>
      <c r="AQ17" s="130">
        <f t="shared" si="18"/>
        <v>1</v>
      </c>
      <c r="AR17" s="130">
        <f>+AE17/V17</f>
        <v>1</v>
      </c>
      <c r="AS17" s="135">
        <f t="shared" si="19"/>
        <v>0.8090861033063727</v>
      </c>
    </row>
    <row r="18" spans="1:45" ht="15" customHeight="1">
      <c r="A18" s="102" t="s">
        <v>31</v>
      </c>
      <c r="B18" s="7">
        <v>6429592</v>
      </c>
      <c r="C18" s="7"/>
      <c r="D18" s="7"/>
      <c r="E18" s="7"/>
      <c r="F18" s="7"/>
      <c r="G18" s="7"/>
      <c r="H18" s="7"/>
      <c r="I18" s="7">
        <f t="shared" si="8"/>
        <v>6429592</v>
      </c>
      <c r="J18" s="7">
        <v>1490896</v>
      </c>
      <c r="K18" s="7"/>
      <c r="L18" s="7">
        <v>-199696</v>
      </c>
      <c r="M18" s="7">
        <f t="shared" si="9"/>
        <v>1291200</v>
      </c>
      <c r="N18" s="7">
        <v>1602945</v>
      </c>
      <c r="O18" s="7">
        <v>255</v>
      </c>
      <c r="P18" s="7">
        <f t="shared" si="10"/>
        <v>0</v>
      </c>
      <c r="Q18" s="7">
        <f t="shared" si="11"/>
        <v>1603200</v>
      </c>
      <c r="R18" s="7">
        <v>1602945.328764</v>
      </c>
      <c r="S18" s="7"/>
      <c r="T18" s="7">
        <f t="shared" si="12"/>
        <v>-10445.328763999976</v>
      </c>
      <c r="U18" s="7">
        <f t="shared" si="13"/>
        <v>0</v>
      </c>
      <c r="V18" s="7">
        <f t="shared" si="0"/>
        <v>1592500</v>
      </c>
      <c r="W18" s="7">
        <v>1942692</v>
      </c>
      <c r="X18" s="7"/>
      <c r="Y18" s="7"/>
      <c r="Z18" s="7"/>
      <c r="AA18" s="7">
        <f t="shared" si="1"/>
        <v>1942692</v>
      </c>
      <c r="AB18" s="7">
        <f t="shared" si="2"/>
        <v>6429592</v>
      </c>
      <c r="AC18" s="357">
        <f>+'[4]MER ENE-MAR-11'!$G$55</f>
        <v>1291200</v>
      </c>
      <c r="AD18" s="357">
        <f>+'[4]MER ABR-JUN-11'!$G$61</f>
        <v>1603200</v>
      </c>
      <c r="AE18" s="357">
        <f>+'[4]MER JUL-SEP-11'!$G$55</f>
        <v>1592500</v>
      </c>
      <c r="AF18" s="357">
        <f>+'[4]MER OCT-DIC-11'!$G$57</f>
        <v>1569800</v>
      </c>
      <c r="AG18" s="357">
        <f t="shared" si="3"/>
        <v>6056700</v>
      </c>
      <c r="AH18" s="7">
        <f t="shared" si="4"/>
        <v>0</v>
      </c>
      <c r="AI18" s="7">
        <f t="shared" si="5"/>
        <v>0</v>
      </c>
      <c r="AJ18" s="7">
        <f t="shared" si="6"/>
        <v>0</v>
      </c>
      <c r="AK18" s="7">
        <f t="shared" si="14"/>
        <v>372892</v>
      </c>
      <c r="AL18" s="7">
        <f t="shared" si="15"/>
        <v>6429592</v>
      </c>
      <c r="AM18" s="7">
        <f t="shared" si="16"/>
        <v>0</v>
      </c>
      <c r="AN18" s="7">
        <f t="shared" si="7"/>
        <v>372892</v>
      </c>
      <c r="AO18" s="130">
        <f>+AG18/I18</f>
        <v>0.9420037849991104</v>
      </c>
      <c r="AP18" s="130">
        <f t="shared" si="17"/>
        <v>1</v>
      </c>
      <c r="AQ18" s="130">
        <f t="shared" si="18"/>
        <v>1</v>
      </c>
      <c r="AR18" s="130">
        <f>+AE18/V18</f>
        <v>1</v>
      </c>
      <c r="AS18" s="135">
        <f t="shared" si="19"/>
        <v>0.8080539787058371</v>
      </c>
    </row>
    <row r="19" spans="1:45" ht="15" customHeight="1">
      <c r="A19" s="102" t="s">
        <v>32</v>
      </c>
      <c r="B19" s="7">
        <v>8036990</v>
      </c>
      <c r="C19" s="7"/>
      <c r="D19" s="7"/>
      <c r="E19" s="7"/>
      <c r="F19" s="7"/>
      <c r="G19" s="7"/>
      <c r="H19" s="7"/>
      <c r="I19" s="7">
        <f t="shared" si="8"/>
        <v>8036990</v>
      </c>
      <c r="J19" s="7">
        <v>1863620</v>
      </c>
      <c r="K19" s="7"/>
      <c r="L19" s="7">
        <v>-249520</v>
      </c>
      <c r="M19" s="7">
        <f t="shared" si="9"/>
        <v>1614100</v>
      </c>
      <c r="N19" s="7">
        <v>2003682</v>
      </c>
      <c r="O19" s="7">
        <v>118</v>
      </c>
      <c r="P19" s="7">
        <f t="shared" si="10"/>
        <v>0</v>
      </c>
      <c r="Q19" s="7">
        <f t="shared" si="11"/>
        <v>2003800</v>
      </c>
      <c r="R19" s="7">
        <v>2003681.6609550002</v>
      </c>
      <c r="S19" s="7"/>
      <c r="T19" s="7">
        <v>-12878</v>
      </c>
      <c r="U19" s="7">
        <f t="shared" si="13"/>
        <v>-203.6609550002031</v>
      </c>
      <c r="V19" s="7">
        <f t="shared" si="0"/>
        <v>1990600</v>
      </c>
      <c r="W19" s="7">
        <v>2428490</v>
      </c>
      <c r="X19" s="7"/>
      <c r="Y19" s="7"/>
      <c r="Z19" s="7"/>
      <c r="AA19" s="7">
        <f t="shared" si="1"/>
        <v>2428490</v>
      </c>
      <c r="AB19" s="7">
        <f t="shared" si="2"/>
        <v>8036990</v>
      </c>
      <c r="AC19" s="357">
        <f>+'[4]MER ENE-MAR-11'!$G$62</f>
        <v>1614100</v>
      </c>
      <c r="AD19" s="357">
        <f>+'[4]MER ABR-JUN-11'!$G$68</f>
        <v>2003800</v>
      </c>
      <c r="AE19" s="357">
        <f>+'[4]MER JUL-SEP-11'!$G$62</f>
        <v>1990600</v>
      </c>
      <c r="AF19" s="357">
        <f>+'[4]MER OCT-DIC-11'!$G$64</f>
        <v>1962300</v>
      </c>
      <c r="AG19" s="357">
        <f t="shared" si="3"/>
        <v>7570800</v>
      </c>
      <c r="AH19" s="7">
        <f t="shared" si="4"/>
        <v>0</v>
      </c>
      <c r="AI19" s="7">
        <f t="shared" si="5"/>
        <v>0</v>
      </c>
      <c r="AJ19" s="7">
        <f t="shared" si="6"/>
        <v>0</v>
      </c>
      <c r="AK19" s="7">
        <f t="shared" si="14"/>
        <v>466190</v>
      </c>
      <c r="AL19" s="7">
        <f t="shared" si="15"/>
        <v>8036990</v>
      </c>
      <c r="AM19" s="7">
        <f t="shared" si="16"/>
        <v>0</v>
      </c>
      <c r="AN19" s="7">
        <f t="shared" si="7"/>
        <v>466190</v>
      </c>
      <c r="AO19" s="130">
        <f>+AG19/I19</f>
        <v>0.9419944531472604</v>
      </c>
      <c r="AP19" s="130">
        <f t="shared" si="17"/>
        <v>1</v>
      </c>
      <c r="AQ19" s="130">
        <f t="shared" si="18"/>
        <v>1</v>
      </c>
      <c r="AR19" s="130">
        <f>+AE19/V19</f>
        <v>1</v>
      </c>
      <c r="AS19" s="135">
        <f t="shared" si="19"/>
        <v>0.8080329752232869</v>
      </c>
    </row>
    <row r="20" spans="1:45" ht="15" customHeight="1" thickBot="1">
      <c r="A20" s="104" t="s">
        <v>33</v>
      </c>
      <c r="B20" s="7">
        <v>300000</v>
      </c>
      <c r="C20" s="11"/>
      <c r="D20" s="11"/>
      <c r="E20" s="11"/>
      <c r="F20" s="11"/>
      <c r="G20" s="11"/>
      <c r="H20" s="11"/>
      <c r="I20" s="7">
        <f t="shared" si="8"/>
        <v>300000</v>
      </c>
      <c r="J20" s="11">
        <v>0</v>
      </c>
      <c r="K20" s="11"/>
      <c r="L20" s="7">
        <v>0</v>
      </c>
      <c r="M20" s="7">
        <f t="shared" si="9"/>
        <v>0</v>
      </c>
      <c r="N20" s="11">
        <v>300000</v>
      </c>
      <c r="O20" s="11"/>
      <c r="P20" s="7">
        <f>+AD20-N20-O20</f>
        <v>0</v>
      </c>
      <c r="Q20" s="7">
        <f t="shared" si="11"/>
        <v>300000</v>
      </c>
      <c r="R20" s="11"/>
      <c r="S20" s="11"/>
      <c r="T20" s="11"/>
      <c r="U20" s="11"/>
      <c r="V20" s="11">
        <f t="shared" si="0"/>
        <v>0</v>
      </c>
      <c r="W20" s="11">
        <f>+I20-M20-Q20-V20</f>
        <v>0</v>
      </c>
      <c r="X20" s="11">
        <v>0</v>
      </c>
      <c r="Y20" s="11">
        <v>0</v>
      </c>
      <c r="Z20" s="11">
        <v>0</v>
      </c>
      <c r="AA20" s="11">
        <f t="shared" si="1"/>
        <v>0</v>
      </c>
      <c r="AB20" s="7">
        <f t="shared" si="2"/>
        <v>300000</v>
      </c>
      <c r="AC20" s="357">
        <f>+'[4]MER ENE-MAR-11'!$G$69</f>
        <v>0</v>
      </c>
      <c r="AD20" s="357">
        <f>+'[4]MER ABR-JUN-11'!$G$75</f>
        <v>300000</v>
      </c>
      <c r="AE20" s="357">
        <f>+'[4]MER JUL-SEP-11'!$G$69</f>
        <v>0</v>
      </c>
      <c r="AF20" s="357">
        <f>+'[4]MER OCT-DIC-11'!$G$71</f>
        <v>0</v>
      </c>
      <c r="AG20" s="357">
        <f t="shared" si="3"/>
        <v>300000</v>
      </c>
      <c r="AH20" s="11">
        <f t="shared" si="4"/>
        <v>0</v>
      </c>
      <c r="AI20" s="7">
        <f t="shared" si="5"/>
        <v>0</v>
      </c>
      <c r="AJ20" s="11">
        <f t="shared" si="6"/>
        <v>0</v>
      </c>
      <c r="AK20" s="11">
        <f t="shared" si="14"/>
        <v>0</v>
      </c>
      <c r="AL20" s="11">
        <f t="shared" si="15"/>
        <v>300000</v>
      </c>
      <c r="AM20" s="11">
        <f t="shared" si="16"/>
        <v>0</v>
      </c>
      <c r="AN20" s="11">
        <f t="shared" si="7"/>
        <v>0</v>
      </c>
      <c r="AO20" s="146">
        <f>+AG20/I20</f>
        <v>1</v>
      </c>
      <c r="AP20" s="130">
        <v>0</v>
      </c>
      <c r="AQ20" s="130">
        <f t="shared" si="18"/>
        <v>1</v>
      </c>
      <c r="AR20" s="146">
        <v>0</v>
      </c>
      <c r="AS20" s="180" t="e">
        <f t="shared" si="19"/>
        <v>#DIV/0!</v>
      </c>
    </row>
    <row r="21" spans="1:45" ht="15" customHeight="1" thickBot="1">
      <c r="A21" s="105" t="s">
        <v>35</v>
      </c>
      <c r="B21" s="50">
        <f>SUM(B11:B20)</f>
        <v>261074022</v>
      </c>
      <c r="C21" s="50">
        <f aca="true" t="shared" si="20" ref="C21:AN21">SUM(C11:C20)</f>
        <v>0</v>
      </c>
      <c r="D21" s="50">
        <f>SUM(D11:D20)</f>
        <v>0</v>
      </c>
      <c r="E21" s="50">
        <f>SUM(E11:E20)</f>
        <v>0</v>
      </c>
      <c r="F21" s="50">
        <f>SUM(F11:F20)</f>
        <v>0</v>
      </c>
      <c r="G21" s="50"/>
      <c r="H21" s="50">
        <f>SUM(H11:H20)</f>
        <v>0</v>
      </c>
      <c r="I21" s="50">
        <f t="shared" si="20"/>
        <v>261074022</v>
      </c>
      <c r="J21" s="50">
        <f t="shared" si="20"/>
        <v>60519759</v>
      </c>
      <c r="K21" s="50">
        <f>SUM(K11:K20)</f>
        <v>0</v>
      </c>
      <c r="L21" s="50">
        <f>SUM(L11:L20)</f>
        <v>-16396343</v>
      </c>
      <c r="M21" s="50">
        <f t="shared" si="20"/>
        <v>44123416</v>
      </c>
      <c r="N21" s="50">
        <f>SUM(N11:N20)</f>
        <v>65322615.71751665</v>
      </c>
      <c r="O21" s="50">
        <f>SUM(O11:O20)</f>
        <v>1596241</v>
      </c>
      <c r="P21" s="50">
        <f t="shared" si="20"/>
        <v>-228553.71751665376</v>
      </c>
      <c r="Q21" s="50">
        <f t="shared" si="20"/>
        <v>66690303</v>
      </c>
      <c r="R21" s="50">
        <f t="shared" si="20"/>
        <v>65022616.10165486</v>
      </c>
      <c r="S21" s="50">
        <f>SUM(S11:S20)</f>
        <v>0</v>
      </c>
      <c r="T21" s="50">
        <f>SUM(T11:T20)</f>
        <v>-0.4406998619087972</v>
      </c>
      <c r="U21" s="50">
        <f>SUM(U11:U20)</f>
        <v>-203.6609550002031</v>
      </c>
      <c r="V21" s="50">
        <f t="shared" si="20"/>
        <v>65022412</v>
      </c>
      <c r="W21" s="50">
        <f t="shared" si="20"/>
        <v>85237891</v>
      </c>
      <c r="X21" s="50">
        <f>SUM(X11:X20)</f>
        <v>0</v>
      </c>
      <c r="Y21" s="50">
        <f>SUM(Y11:Y20)</f>
        <v>0</v>
      </c>
      <c r="Z21" s="50">
        <f>SUM(Z11:Z20)</f>
        <v>0</v>
      </c>
      <c r="AA21" s="50">
        <f t="shared" si="20"/>
        <v>85237891</v>
      </c>
      <c r="AB21" s="50">
        <f t="shared" si="20"/>
        <v>261074022</v>
      </c>
      <c r="AC21" s="50">
        <f t="shared" si="20"/>
        <v>44123416</v>
      </c>
      <c r="AD21" s="50">
        <f t="shared" si="20"/>
        <v>66690303</v>
      </c>
      <c r="AE21" s="50">
        <f t="shared" si="20"/>
        <v>65022412</v>
      </c>
      <c r="AF21" s="50">
        <f>SUM(AF11:AF20)</f>
        <v>62731036</v>
      </c>
      <c r="AG21" s="50">
        <f>SUM(AG11:AG20)</f>
        <v>238567167</v>
      </c>
      <c r="AH21" s="50">
        <f t="shared" si="20"/>
        <v>0</v>
      </c>
      <c r="AI21" s="50">
        <f t="shared" si="20"/>
        <v>0</v>
      </c>
      <c r="AJ21" s="50">
        <f t="shared" si="20"/>
        <v>0</v>
      </c>
      <c r="AK21" s="50">
        <f t="shared" si="20"/>
        <v>22506855</v>
      </c>
      <c r="AL21" s="50">
        <f t="shared" si="20"/>
        <v>261074022</v>
      </c>
      <c r="AM21" s="50">
        <f t="shared" si="20"/>
        <v>0</v>
      </c>
      <c r="AN21" s="50">
        <f t="shared" si="20"/>
        <v>22506855</v>
      </c>
      <c r="AO21" s="148">
        <f>+AG21/I21</f>
        <v>0.9137912886637185</v>
      </c>
      <c r="AP21" s="148">
        <f>+AC21/J21</f>
        <v>0.729074549024559</v>
      </c>
      <c r="AQ21" s="148">
        <f>+AD21/N21</f>
        <v>1.0209374237002053</v>
      </c>
      <c r="AR21" s="148">
        <f>+AE21/V21</f>
        <v>1</v>
      </c>
      <c r="AS21" s="148">
        <f>+AF21/AA21</f>
        <v>0.7359524650838675</v>
      </c>
    </row>
    <row r="22" spans="1:45" ht="15" customHeight="1">
      <c r="A22" s="106"/>
      <c r="B22" s="55"/>
      <c r="C22" s="101"/>
      <c r="D22" s="101"/>
      <c r="E22" s="101"/>
      <c r="F22" s="101"/>
      <c r="G22" s="101"/>
      <c r="H22" s="101"/>
      <c r="I22" s="101"/>
      <c r="J22" s="55"/>
      <c r="K22" s="55"/>
      <c r="L22" s="55"/>
      <c r="M22" s="55"/>
      <c r="N22" s="55"/>
      <c r="O22" s="101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101"/>
      <c r="AC22" s="55"/>
      <c r="AD22" s="55"/>
      <c r="AE22" s="55"/>
      <c r="AF22" s="101"/>
      <c r="AG22" s="55"/>
      <c r="AH22" s="55"/>
      <c r="AI22" s="101"/>
      <c r="AJ22" s="55"/>
      <c r="AK22" s="101"/>
      <c r="AL22" s="101"/>
      <c r="AM22" s="55"/>
      <c r="AN22" s="101"/>
      <c r="AO22" s="107"/>
      <c r="AP22" s="107"/>
      <c r="AQ22" s="107"/>
      <c r="AR22" s="107"/>
      <c r="AS22" s="108"/>
    </row>
    <row r="23" spans="1:45" ht="15" customHeight="1">
      <c r="A23" s="109" t="s">
        <v>36</v>
      </c>
      <c r="B23" s="36"/>
      <c r="C23" s="7"/>
      <c r="D23" s="7"/>
      <c r="E23" s="7"/>
      <c r="F23" s="7"/>
      <c r="G23" s="7"/>
      <c r="H23" s="7"/>
      <c r="I23" s="7"/>
      <c r="J23" s="36"/>
      <c r="K23" s="36"/>
      <c r="L23" s="36"/>
      <c r="M23" s="36"/>
      <c r="N23" s="36"/>
      <c r="O23" s="7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7"/>
      <c r="AC23" s="36"/>
      <c r="AD23" s="36"/>
      <c r="AE23" s="36"/>
      <c r="AF23" s="36"/>
      <c r="AG23" s="36"/>
      <c r="AH23" s="7"/>
      <c r="AI23" s="7"/>
      <c r="AJ23" s="36"/>
      <c r="AK23" s="7"/>
      <c r="AL23" s="7"/>
      <c r="AM23" s="36"/>
      <c r="AN23" s="7"/>
      <c r="AO23" s="74"/>
      <c r="AP23" s="74"/>
      <c r="AQ23" s="74"/>
      <c r="AR23" s="74"/>
      <c r="AS23" s="110"/>
    </row>
    <row r="24" spans="1:45" ht="15" customHeight="1">
      <c r="A24" s="52" t="s">
        <v>105</v>
      </c>
      <c r="B24" s="7">
        <v>1500000</v>
      </c>
      <c r="C24" s="7"/>
      <c r="D24" s="7"/>
      <c r="E24" s="7"/>
      <c r="F24" s="7"/>
      <c r="G24" s="7"/>
      <c r="H24" s="7"/>
      <c r="I24" s="7">
        <f>SUM(B24:H24)</f>
        <v>1500000</v>
      </c>
      <c r="J24" s="7">
        <v>1500000</v>
      </c>
      <c r="K24" s="36"/>
      <c r="L24" s="7">
        <v>-1500000</v>
      </c>
      <c r="M24" s="7">
        <f>SUM(J24:L24)</f>
        <v>0</v>
      </c>
      <c r="N24" s="7">
        <v>1500000</v>
      </c>
      <c r="O24" s="7"/>
      <c r="P24" s="7">
        <f>+AD24-N24-O24</f>
        <v>0</v>
      </c>
      <c r="Q24" s="7">
        <f>SUM(N24:P24)</f>
        <v>1500000</v>
      </c>
      <c r="R24" s="36"/>
      <c r="S24" s="7"/>
      <c r="T24" s="7"/>
      <c r="U24" s="7">
        <f>-R24-S24-T24+AE24</f>
        <v>0</v>
      </c>
      <c r="V24" s="11">
        <f>+SUM(R24:U24)</f>
        <v>0</v>
      </c>
      <c r="W24" s="11">
        <f>+I24-M24-Q24-V24</f>
        <v>0</v>
      </c>
      <c r="X24" s="7"/>
      <c r="Y24" s="7"/>
      <c r="Z24" s="7"/>
      <c r="AA24" s="11">
        <f>+SUM(W24:W24)</f>
        <v>0</v>
      </c>
      <c r="AB24" s="7">
        <f>+M24+Q24+V24+AA24</f>
        <v>1500000</v>
      </c>
      <c r="AC24" s="357">
        <v>0</v>
      </c>
      <c r="AD24" s="357">
        <f>+'[4]MER ABR-JUN-11'!$G$81</f>
        <v>1500000</v>
      </c>
      <c r="AE24" s="357">
        <f>+'[4]MER JUL-SEP-11'!$G$74</f>
        <v>0</v>
      </c>
      <c r="AF24" s="357">
        <f>+'[4]MER OCT-DIC-11'!$G$77</f>
        <v>0</v>
      </c>
      <c r="AG24" s="357">
        <f>SUM(AC24:AF24)</f>
        <v>1500000</v>
      </c>
      <c r="AH24" s="7"/>
      <c r="AI24" s="7">
        <f>+N24-AD24</f>
        <v>0</v>
      </c>
      <c r="AJ24" s="36"/>
      <c r="AK24" s="7">
        <f>+AA24-AF24</f>
        <v>0</v>
      </c>
      <c r="AL24" s="7">
        <f>+AB24</f>
        <v>1500000</v>
      </c>
      <c r="AM24" s="7">
        <f>+I24-AB24</f>
        <v>0</v>
      </c>
      <c r="AN24" s="7"/>
      <c r="AO24" s="74"/>
      <c r="AP24" s="74"/>
      <c r="AQ24" s="74"/>
      <c r="AR24" s="74"/>
      <c r="AS24" s="110"/>
    </row>
    <row r="25" spans="1:45" ht="15" customHeight="1">
      <c r="A25" s="102" t="s">
        <v>40</v>
      </c>
      <c r="B25" s="7">
        <v>6190200</v>
      </c>
      <c r="C25" s="7"/>
      <c r="D25" s="7"/>
      <c r="E25" s="7"/>
      <c r="F25" s="7"/>
      <c r="G25" s="7"/>
      <c r="H25" s="7"/>
      <c r="I25" s="7">
        <f>SUM(B25:H25)</f>
        <v>6190200</v>
      </c>
      <c r="J25" s="7">
        <v>1545000</v>
      </c>
      <c r="K25" s="7"/>
      <c r="L25" s="7">
        <v>0</v>
      </c>
      <c r="M25" s="7">
        <f>SUM(J25:L25)</f>
        <v>1545000</v>
      </c>
      <c r="N25" s="7">
        <v>1545000</v>
      </c>
      <c r="O25" s="7"/>
      <c r="P25" s="7">
        <f>+AD25-N25-O25</f>
        <v>0</v>
      </c>
      <c r="Q25" s="7">
        <f>SUM(N25:P25)</f>
        <v>1545000</v>
      </c>
      <c r="R25" s="7">
        <v>1545000</v>
      </c>
      <c r="S25" s="7"/>
      <c r="T25" s="7"/>
      <c r="U25" s="7">
        <f>-R25-S25-T25+AE25</f>
        <v>0</v>
      </c>
      <c r="V25" s="11">
        <f>+SUM(R25:U25)</f>
        <v>1545000</v>
      </c>
      <c r="W25" s="11">
        <v>1555200</v>
      </c>
      <c r="X25" s="7"/>
      <c r="Y25" s="7"/>
      <c r="Z25" s="7"/>
      <c r="AA25" s="11">
        <f>+SUM(W25:W25)</f>
        <v>1555200</v>
      </c>
      <c r="AB25" s="7">
        <f>+M25+Q25+V25+AA25</f>
        <v>6190200</v>
      </c>
      <c r="AC25" s="357">
        <f>+'[4]MER ENE-MAR-11'!$G$75</f>
        <v>1545000</v>
      </c>
      <c r="AD25" s="357">
        <f>+'[4]MER ABR-JUN-11'!$G$87</f>
        <v>1545000</v>
      </c>
      <c r="AE25" s="357">
        <f>+'[4]MER JUL-SEP-11'!$G$78</f>
        <v>1545000</v>
      </c>
      <c r="AF25" s="357">
        <f>+'[4]MER OCT-DIC-11'!$G$82</f>
        <v>1545000</v>
      </c>
      <c r="AG25" s="357">
        <f>SUM(AC25:AF25)</f>
        <v>6180000</v>
      </c>
      <c r="AH25" s="7">
        <f>+M25-AC25</f>
        <v>0</v>
      </c>
      <c r="AI25" s="7">
        <f>+Q25-AD25</f>
        <v>0</v>
      </c>
      <c r="AJ25" s="7">
        <f>+V25-AE25</f>
        <v>0</v>
      </c>
      <c r="AK25" s="7">
        <f>+AA25-AF25</f>
        <v>10200</v>
      </c>
      <c r="AL25" s="7">
        <f>+AB25</f>
        <v>6190200</v>
      </c>
      <c r="AM25" s="7">
        <f>+I25-AB25</f>
        <v>0</v>
      </c>
      <c r="AN25" s="7">
        <f>+AL25-AG25</f>
        <v>10200</v>
      </c>
      <c r="AO25" s="130">
        <f>+AG25/I25</f>
        <v>0.9983522341766017</v>
      </c>
      <c r="AP25" s="130">
        <f>+AC25/M25</f>
        <v>1</v>
      </c>
      <c r="AQ25" s="130">
        <f>+AD25/Q25</f>
        <v>1</v>
      </c>
      <c r="AR25" s="130">
        <f>+AE25/V25</f>
        <v>1</v>
      </c>
      <c r="AS25" s="135">
        <f>+AF25/AA25</f>
        <v>0.9934413580246914</v>
      </c>
    </row>
    <row r="26" spans="1:45" ht="15" customHeight="1">
      <c r="A26" s="102" t="s">
        <v>41</v>
      </c>
      <c r="B26" s="7">
        <v>8852015.919300001</v>
      </c>
      <c r="C26" s="7"/>
      <c r="D26" s="7"/>
      <c r="E26" s="7"/>
      <c r="F26" s="7"/>
      <c r="G26" s="7"/>
      <c r="H26" s="7"/>
      <c r="I26" s="7">
        <f>SUM(B26:H26)</f>
        <v>8852015.919300001</v>
      </c>
      <c r="J26" s="7">
        <v>2209357.4675000003</v>
      </c>
      <c r="K26" s="7"/>
      <c r="L26" s="7">
        <v>-1227336.4675000003</v>
      </c>
      <c r="M26" s="7">
        <f>SUM(J26:L26)</f>
        <v>982021</v>
      </c>
      <c r="N26" s="7">
        <v>2213003.9798250003</v>
      </c>
      <c r="O26" s="7"/>
      <c r="P26" s="7">
        <f>+AD26-N26-O26</f>
        <v>-1101963.9798250003</v>
      </c>
      <c r="Q26" s="7">
        <f>SUM(N26:P26)</f>
        <v>1111040</v>
      </c>
      <c r="R26" s="7">
        <v>2213003.9798250003</v>
      </c>
      <c r="S26" s="7"/>
      <c r="T26" s="7"/>
      <c r="U26" s="7">
        <f>-R26-S26-T26+AE26</f>
        <v>-0.579825000371784</v>
      </c>
      <c r="V26" s="11">
        <f>+SUM(R26:U26)</f>
        <v>2213003.4</v>
      </c>
      <c r="W26" s="11">
        <v>4545951.519300001</v>
      </c>
      <c r="X26" s="7"/>
      <c r="Y26" s="7"/>
      <c r="Z26" s="7"/>
      <c r="AA26" s="11">
        <f>+SUM(W26:W26)</f>
        <v>4545951.519300001</v>
      </c>
      <c r="AB26" s="7">
        <f>+M26+Q26+V26+AA26</f>
        <v>8852015.919300001</v>
      </c>
      <c r="AC26" s="357">
        <f>+'[4]MER ENE-MAR-11'!$G$83</f>
        <v>982021</v>
      </c>
      <c r="AD26" s="357">
        <f>+'[4]MER ABR-JUN-11'!$G$95</f>
        <v>1111040</v>
      </c>
      <c r="AE26" s="357">
        <f>+'[4]MER JUL-SEP-11'!$G$85</f>
        <v>2213003.4</v>
      </c>
      <c r="AF26" s="357">
        <f>+'[4]MER OCT-DIC-11'!$G$90</f>
        <v>2196777</v>
      </c>
      <c r="AG26" s="357">
        <f>SUM(AC26:AF26)</f>
        <v>6502841.4</v>
      </c>
      <c r="AH26" s="7">
        <f>+M26-AC26</f>
        <v>0</v>
      </c>
      <c r="AI26" s="7">
        <f>+Q26-AD26</f>
        <v>0</v>
      </c>
      <c r="AJ26" s="7">
        <f>+V26-AE26</f>
        <v>0</v>
      </c>
      <c r="AK26" s="7">
        <f>+AA26-AF26</f>
        <v>2349174.5193000007</v>
      </c>
      <c r="AL26" s="7">
        <f>+AB26</f>
        <v>8852015.919300001</v>
      </c>
      <c r="AM26" s="7">
        <f>+I26-AB26</f>
        <v>0</v>
      </c>
      <c r="AN26" s="7">
        <f>+AL26-AG26</f>
        <v>2349174.5193000007</v>
      </c>
      <c r="AO26" s="130">
        <f>+AG26/I26</f>
        <v>0.7346170024188379</v>
      </c>
      <c r="AP26" s="130">
        <f>+AC26/M26</f>
        <v>1</v>
      </c>
      <c r="AQ26" s="130">
        <f>+AD26/Q26</f>
        <v>1</v>
      </c>
      <c r="AR26" s="130">
        <f>+AE26/V26</f>
        <v>1</v>
      </c>
      <c r="AS26" s="135">
        <f>+AF26/AA26</f>
        <v>0.48323810552609375</v>
      </c>
    </row>
    <row r="27" spans="1:45" ht="15" customHeight="1">
      <c r="A27" s="102" t="s">
        <v>43</v>
      </c>
      <c r="B27" s="7">
        <v>15000000</v>
      </c>
      <c r="C27" s="7"/>
      <c r="D27" s="7"/>
      <c r="E27" s="7"/>
      <c r="F27" s="7"/>
      <c r="G27" s="7"/>
      <c r="H27" s="7"/>
      <c r="I27" s="7">
        <f>SUM(B27:H27)</f>
        <v>15000000</v>
      </c>
      <c r="J27" s="7">
        <v>2727273</v>
      </c>
      <c r="K27" s="7"/>
      <c r="L27" s="7">
        <v>-42811</v>
      </c>
      <c r="M27" s="7">
        <f>SUM(J27:L27)</f>
        <v>2684462</v>
      </c>
      <c r="N27" s="7">
        <v>9090909</v>
      </c>
      <c r="O27" s="7">
        <v>-1596241</v>
      </c>
      <c r="P27" s="7">
        <f>+AD27-N27-O27</f>
        <v>-358918</v>
      </c>
      <c r="Q27" s="7">
        <f>SUM(N27:P27)</f>
        <v>7135750</v>
      </c>
      <c r="R27" s="7">
        <v>3000000</v>
      </c>
      <c r="S27" s="7"/>
      <c r="T27" s="7"/>
      <c r="U27" s="7">
        <f>-R27-S27-T27+AE27</f>
        <v>-368960</v>
      </c>
      <c r="V27" s="11">
        <f>+SUM(R27:U27)</f>
        <v>2631040</v>
      </c>
      <c r="W27" s="11">
        <v>2548748</v>
      </c>
      <c r="X27" s="7"/>
      <c r="Y27" s="7"/>
      <c r="Z27" s="7"/>
      <c r="AA27" s="11">
        <f>+SUM(W27:W27)</f>
        <v>2548748</v>
      </c>
      <c r="AB27" s="7">
        <f>+M27+Q27+V27+AA27</f>
        <v>15000000</v>
      </c>
      <c r="AC27" s="357">
        <f>+'[4]MER ENE-MAR-11'!$G$98</f>
        <v>2684462</v>
      </c>
      <c r="AD27" s="357">
        <f>+'[4]MER ABR-JUN-11'!$G$112</f>
        <v>7135750</v>
      </c>
      <c r="AE27" s="357">
        <f>+'[4]MER JUL-SEP-11'!$G$105</f>
        <v>2631040</v>
      </c>
      <c r="AF27" s="357">
        <f>+'[4]MER OCT-DIC-11'!$G$115</f>
        <v>2548748</v>
      </c>
      <c r="AG27" s="357">
        <f>SUM(AC27:AF27)</f>
        <v>15000000</v>
      </c>
      <c r="AH27" s="7">
        <f>+M27-AC27</f>
        <v>0</v>
      </c>
      <c r="AI27" s="7">
        <f>+Q27-AD27</f>
        <v>0</v>
      </c>
      <c r="AJ27" s="7">
        <f>+V27-AE27</f>
        <v>0</v>
      </c>
      <c r="AK27" s="7">
        <f>+AA27-AF27</f>
        <v>0</v>
      </c>
      <c r="AL27" s="7">
        <f>+AB27</f>
        <v>15000000</v>
      </c>
      <c r="AM27" s="7">
        <f>+I27-AB27</f>
        <v>0</v>
      </c>
      <c r="AN27" s="7">
        <f>+AL27-AG27</f>
        <v>0</v>
      </c>
      <c r="AO27" s="130">
        <f>+AG27/I27</f>
        <v>1</v>
      </c>
      <c r="AP27" s="130">
        <f>+AC27/M27</f>
        <v>1</v>
      </c>
      <c r="AQ27" s="130">
        <f>+AD27/Q27</f>
        <v>1</v>
      </c>
      <c r="AR27" s="130">
        <f>+AE27/V27</f>
        <v>1</v>
      </c>
      <c r="AS27" s="135">
        <f>+AF27/AA27</f>
        <v>1</v>
      </c>
    </row>
    <row r="28" spans="1:45" ht="15" customHeight="1">
      <c r="A28" s="111" t="s">
        <v>45</v>
      </c>
      <c r="B28" s="11">
        <v>10000000</v>
      </c>
      <c r="C28" s="11"/>
      <c r="D28" s="11"/>
      <c r="E28" s="11"/>
      <c r="F28" s="11"/>
      <c r="G28" s="11"/>
      <c r="H28" s="11"/>
      <c r="I28" s="7">
        <f>SUM(B28:H28)</f>
        <v>10000000</v>
      </c>
      <c r="J28" s="11">
        <v>3600000</v>
      </c>
      <c r="K28" s="11"/>
      <c r="L28" s="7">
        <v>-3558095</v>
      </c>
      <c r="M28" s="7">
        <f>SUM(J28:L28)</f>
        <v>41905</v>
      </c>
      <c r="N28" s="7">
        <v>5000000</v>
      </c>
      <c r="O28" s="11"/>
      <c r="P28" s="7">
        <f>+AD28-N28-O28</f>
        <v>-2272460</v>
      </c>
      <c r="Q28" s="7">
        <f>SUM(N28:P28)</f>
        <v>2727540</v>
      </c>
      <c r="R28" s="11">
        <v>2500000</v>
      </c>
      <c r="S28" s="11"/>
      <c r="T28" s="7"/>
      <c r="U28" s="7">
        <f>-R28-S28-T28+AE28</f>
        <v>0</v>
      </c>
      <c r="V28" s="11">
        <f>+SUM(R28:U28)</f>
        <v>2500000</v>
      </c>
      <c r="W28" s="11">
        <v>4730555</v>
      </c>
      <c r="X28" s="11"/>
      <c r="Y28" s="7"/>
      <c r="Z28" s="7"/>
      <c r="AA28" s="11">
        <f>+SUM(W28:W28)</f>
        <v>4730555</v>
      </c>
      <c r="AB28" s="7">
        <f>+M28+Q28+V28+AA28</f>
        <v>10000000</v>
      </c>
      <c r="AC28" s="357">
        <f>+'[4]MER ENE-MAR-11'!$G$110</f>
        <v>41905</v>
      </c>
      <c r="AD28" s="357">
        <f>+'[4]MER ABR-JUN-11'!$G$141</f>
        <v>2727540</v>
      </c>
      <c r="AE28" s="357">
        <f>+'[4]MER JUL-SEP-11'!$G$121</f>
        <v>2500000</v>
      </c>
      <c r="AF28" s="357">
        <f>+'[4]MER OCT-DIC-11'!$G$131</f>
        <v>3204670</v>
      </c>
      <c r="AG28" s="357">
        <f>SUM(AC28:AF28)</f>
        <v>8474115</v>
      </c>
      <c r="AH28" s="7">
        <f>+M28-AC28</f>
        <v>0</v>
      </c>
      <c r="AI28" s="7">
        <f>+Q28-AD28</f>
        <v>0</v>
      </c>
      <c r="AJ28" s="7">
        <f>+V28-AE28</f>
        <v>0</v>
      </c>
      <c r="AK28" s="7">
        <f>+AA28-AF28</f>
        <v>1525885</v>
      </c>
      <c r="AL28" s="7">
        <f>+AB28</f>
        <v>10000000</v>
      </c>
      <c r="AM28" s="7">
        <f>+I28-AB28</f>
        <v>0</v>
      </c>
      <c r="AN28" s="7">
        <f>+AL28-AG28</f>
        <v>1525885</v>
      </c>
      <c r="AO28" s="130">
        <f>+AG28/I28</f>
        <v>0.8474115</v>
      </c>
      <c r="AP28" s="130">
        <f>+AC28/M28</f>
        <v>1</v>
      </c>
      <c r="AQ28" s="130">
        <f>+AD28/Q28</f>
        <v>1</v>
      </c>
      <c r="AR28" s="130">
        <f>+AE28/V28</f>
        <v>1</v>
      </c>
      <c r="AS28" s="135">
        <f>+AF28/AA28</f>
        <v>0.6774405962936696</v>
      </c>
    </row>
    <row r="29" spans="1:45" ht="15" customHeight="1" thickBot="1">
      <c r="A29" s="104"/>
      <c r="B29" s="97"/>
      <c r="C29" s="11"/>
      <c r="D29" s="11"/>
      <c r="E29" s="11"/>
      <c r="F29" s="11"/>
      <c r="G29" s="11"/>
      <c r="H29" s="11"/>
      <c r="I29" s="11"/>
      <c r="J29" s="97"/>
      <c r="K29" s="97"/>
      <c r="L29" s="97"/>
      <c r="M29" s="97"/>
      <c r="N29" s="11"/>
      <c r="O29" s="11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11"/>
      <c r="AC29" s="357"/>
      <c r="AD29" s="357"/>
      <c r="AE29" s="357"/>
      <c r="AF29" s="357"/>
      <c r="AG29" s="357"/>
      <c r="AH29" s="97"/>
      <c r="AI29" s="11"/>
      <c r="AJ29" s="97"/>
      <c r="AK29" s="11"/>
      <c r="AL29" s="11"/>
      <c r="AM29" s="97"/>
      <c r="AN29" s="11"/>
      <c r="AO29" s="192"/>
      <c r="AP29" s="192"/>
      <c r="AQ29" s="192"/>
      <c r="AR29" s="192"/>
      <c r="AS29" s="193"/>
    </row>
    <row r="30" spans="1:45" ht="15" customHeight="1" thickBot="1">
      <c r="A30" s="50" t="s">
        <v>51</v>
      </c>
      <c r="B30" s="50">
        <f>SUM(B24:B29)</f>
        <v>41542215.919300005</v>
      </c>
      <c r="C30" s="50">
        <f aca="true" t="shared" si="21" ref="C30:AN30">SUM(C24:C29)</f>
        <v>0</v>
      </c>
      <c r="D30" s="50">
        <f>SUM(D24:D29)</f>
        <v>0</v>
      </c>
      <c r="E30" s="50">
        <f>SUM(E24:E29)</f>
        <v>0</v>
      </c>
      <c r="F30" s="50">
        <f>SUM(F24:F29)</f>
        <v>0</v>
      </c>
      <c r="G30" s="50"/>
      <c r="H30" s="50">
        <f>SUM(H24:H29)</f>
        <v>0</v>
      </c>
      <c r="I30" s="50">
        <f t="shared" si="21"/>
        <v>41542215.919300005</v>
      </c>
      <c r="J30" s="50">
        <f t="shared" si="21"/>
        <v>11581630.467500001</v>
      </c>
      <c r="K30" s="50">
        <f>SUM(K24:K28)</f>
        <v>0</v>
      </c>
      <c r="L30" s="50">
        <f>SUM(L24:L28)</f>
        <v>-6328242.4675</v>
      </c>
      <c r="M30" s="50">
        <f t="shared" si="21"/>
        <v>5253388</v>
      </c>
      <c r="N30" s="50">
        <f>SUM(N24:N29)</f>
        <v>19348912.979825</v>
      </c>
      <c r="O30" s="50">
        <f>SUM(O24:O29)</f>
        <v>-1596241</v>
      </c>
      <c r="P30" s="50">
        <f t="shared" si="21"/>
        <v>-3733341.9798250003</v>
      </c>
      <c r="Q30" s="50">
        <f t="shared" si="21"/>
        <v>14019330</v>
      </c>
      <c r="R30" s="50">
        <f t="shared" si="21"/>
        <v>9258003.979825001</v>
      </c>
      <c r="S30" s="50">
        <f>SUM(S24:S29)</f>
        <v>0</v>
      </c>
      <c r="T30" s="50"/>
      <c r="U30" s="50">
        <f>SUM(U24:U29)</f>
        <v>-368960.5798250004</v>
      </c>
      <c r="V30" s="50">
        <f t="shared" si="21"/>
        <v>8889043.4</v>
      </c>
      <c r="W30" s="50">
        <f t="shared" si="21"/>
        <v>13380454.5193</v>
      </c>
      <c r="X30" s="50">
        <f>SUM(X24:X29)</f>
        <v>0</v>
      </c>
      <c r="Y30" s="50">
        <f>SUM(Y24:Y29)</f>
        <v>0</v>
      </c>
      <c r="Z30" s="50">
        <f>SUM(Z24:Z29)</f>
        <v>0</v>
      </c>
      <c r="AA30" s="50">
        <f t="shared" si="21"/>
        <v>13380454.5193</v>
      </c>
      <c r="AB30" s="50">
        <f t="shared" si="21"/>
        <v>41542215.919300005</v>
      </c>
      <c r="AC30" s="50">
        <f t="shared" si="21"/>
        <v>5253388</v>
      </c>
      <c r="AD30" s="50">
        <f t="shared" si="21"/>
        <v>14019330</v>
      </c>
      <c r="AE30" s="50">
        <f t="shared" si="21"/>
        <v>8889043.4</v>
      </c>
      <c r="AF30" s="50">
        <f>SUM(AF24:AF29)</f>
        <v>9495195</v>
      </c>
      <c r="AG30" s="50">
        <f>SUM(AG24:AG29)</f>
        <v>37656956.4</v>
      </c>
      <c r="AH30" s="50">
        <f t="shared" si="21"/>
        <v>0</v>
      </c>
      <c r="AI30" s="50">
        <f t="shared" si="21"/>
        <v>0</v>
      </c>
      <c r="AJ30" s="50">
        <f t="shared" si="21"/>
        <v>0</v>
      </c>
      <c r="AK30" s="50">
        <f>SUM(AK24:AK29)</f>
        <v>3885259.5193000007</v>
      </c>
      <c r="AL30" s="50">
        <f t="shared" si="21"/>
        <v>41542215.919300005</v>
      </c>
      <c r="AM30" s="50">
        <f t="shared" si="21"/>
        <v>0</v>
      </c>
      <c r="AN30" s="50">
        <f t="shared" si="21"/>
        <v>3885259.5193000007</v>
      </c>
      <c r="AO30" s="148">
        <f>+AG30/I30</f>
        <v>0.9064744276798445</v>
      </c>
      <c r="AP30" s="148">
        <f>+AC30/J30</f>
        <v>0.4535965825141709</v>
      </c>
      <c r="AQ30" s="148">
        <f>+AD30/N30</f>
        <v>0.7245538813791697</v>
      </c>
      <c r="AR30" s="148">
        <f>+AE30/V30</f>
        <v>1</v>
      </c>
      <c r="AS30" s="148">
        <f>+AF30/AA30</f>
        <v>0.709631723369644</v>
      </c>
    </row>
    <row r="31" spans="1:45" ht="15" customHeight="1">
      <c r="A31" s="112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13"/>
      <c r="AP31" s="113"/>
      <c r="AQ31" s="113"/>
      <c r="AR31" s="113"/>
      <c r="AS31" s="114"/>
    </row>
    <row r="32" spans="1:45" ht="15" customHeight="1" thickBot="1">
      <c r="A32" s="115" t="s">
        <v>52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28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68"/>
      <c r="AP32" s="68"/>
      <c r="AQ32" s="68"/>
      <c r="AR32" s="68"/>
      <c r="AS32" s="116"/>
    </row>
    <row r="33" spans="1:45" ht="15" customHeight="1" thickBot="1">
      <c r="A33" s="50" t="s">
        <v>106</v>
      </c>
      <c r="B33" s="50">
        <f>+B35+B41+B47+B54+B64+B68</f>
        <v>2419905480.5964</v>
      </c>
      <c r="C33" s="50">
        <f aca="true" t="shared" si="22" ref="C33:AR33">+C35+C41+C47+C54+C64+C68</f>
        <v>-154458505</v>
      </c>
      <c r="D33" s="50">
        <f>+D35+D41+D47+D54+D64+D68+D70</f>
        <v>309629945</v>
      </c>
      <c r="E33" s="50">
        <f t="shared" si="22"/>
        <v>0</v>
      </c>
      <c r="F33" s="50">
        <f>+F35+F41+F47+F54+F64+F68+F70</f>
        <v>-65898781</v>
      </c>
      <c r="G33" s="50"/>
      <c r="H33" s="50">
        <f t="shared" si="22"/>
        <v>0</v>
      </c>
      <c r="I33" s="50">
        <f>+I35+I41+I47+I54+I64+I68+I70</f>
        <v>2509178139.5964</v>
      </c>
      <c r="J33" s="50">
        <f t="shared" si="22"/>
        <v>287688037</v>
      </c>
      <c r="K33" s="50">
        <f t="shared" si="22"/>
        <v>0</v>
      </c>
      <c r="L33" s="50">
        <f>+L35+L41+L47+L54+L64+L68</f>
        <v>-10091444</v>
      </c>
      <c r="M33" s="50">
        <f t="shared" si="22"/>
        <v>277596593</v>
      </c>
      <c r="N33" s="50">
        <f>+N35+N41+N47+N54+N64+N68+N70</f>
        <v>957324863</v>
      </c>
      <c r="O33" s="50">
        <f t="shared" si="22"/>
        <v>0</v>
      </c>
      <c r="P33" s="50">
        <f t="shared" si="22"/>
        <v>-237838150</v>
      </c>
      <c r="Q33" s="50">
        <f>+Q35+Q41+Q47+Q54+Q64+Q68+Q70</f>
        <v>634398313</v>
      </c>
      <c r="R33" s="50">
        <f>+R35+R41+R47+R54+R64+R68+R70</f>
        <v>885826722</v>
      </c>
      <c r="S33" s="50">
        <f>+S35+S41+S47+S54+S64+S68+S70</f>
        <v>21128573</v>
      </c>
      <c r="T33" s="50"/>
      <c r="U33" s="50">
        <f t="shared" si="22"/>
        <v>-57849576.199999996</v>
      </c>
      <c r="V33" s="50">
        <f>+V35+V41+V47+V54+V64+V68+V70</f>
        <v>849105718.8000001</v>
      </c>
      <c r="W33" s="50">
        <f t="shared" si="22"/>
        <v>743734437.4083999</v>
      </c>
      <c r="X33" s="50">
        <f t="shared" si="22"/>
        <v>0</v>
      </c>
      <c r="Y33" s="50">
        <f t="shared" si="22"/>
        <v>0</v>
      </c>
      <c r="Z33" s="50">
        <f t="shared" si="22"/>
        <v>0</v>
      </c>
      <c r="AA33" s="50">
        <f t="shared" si="22"/>
        <v>743734437.4083999</v>
      </c>
      <c r="AB33" s="50">
        <f t="shared" si="22"/>
        <v>2504835062.2084</v>
      </c>
      <c r="AC33" s="50">
        <f t="shared" si="22"/>
        <v>277596593</v>
      </c>
      <c r="AD33" s="50">
        <f t="shared" si="22"/>
        <v>634398313</v>
      </c>
      <c r="AE33" s="50">
        <f>+AE35+AE41+AE47+AE54+AE64+AE68</f>
        <v>849105718.8000001</v>
      </c>
      <c r="AF33" s="50">
        <f t="shared" si="22"/>
        <v>679948897</v>
      </c>
      <c r="AG33" s="50">
        <f>+AG35+AG41+AG47+AG54+AG64+AG68</f>
        <v>2441049521.7999997</v>
      </c>
      <c r="AH33" s="50">
        <f t="shared" si="22"/>
        <v>0</v>
      </c>
      <c r="AI33" s="50">
        <f t="shared" si="22"/>
        <v>0</v>
      </c>
      <c r="AJ33" s="50">
        <f t="shared" si="22"/>
        <v>0</v>
      </c>
      <c r="AK33" s="50">
        <f>+AK35+AK41+AK47+AK54+AK64+AK68</f>
        <v>63785540.408399984</v>
      </c>
      <c r="AL33" s="50">
        <f t="shared" si="22"/>
        <v>2438993311.2084</v>
      </c>
      <c r="AM33" s="50">
        <f t="shared" si="22"/>
        <v>4343077.387999997</v>
      </c>
      <c r="AN33" s="50">
        <f t="shared" si="22"/>
        <v>63101822.00839999</v>
      </c>
      <c r="AO33" s="341">
        <f>+AG33/I33</f>
        <v>0.9728482339610377</v>
      </c>
      <c r="AP33" s="50">
        <f t="shared" si="22"/>
        <v>6</v>
      </c>
      <c r="AQ33" s="50">
        <f t="shared" si="22"/>
        <v>6</v>
      </c>
      <c r="AR33" s="50">
        <f t="shared" si="22"/>
        <v>5</v>
      </c>
      <c r="AS33" s="148">
        <f>+AF33/AA33</f>
        <v>0.9142361342972559</v>
      </c>
    </row>
    <row r="34" spans="1:47" s="2" customFormat="1" ht="15" customHeight="1">
      <c r="A34" s="117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4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107"/>
      <c r="AP34" s="107"/>
      <c r="AQ34" s="107"/>
      <c r="AR34" s="107"/>
      <c r="AS34" s="108"/>
      <c r="AU34" s="3"/>
    </row>
    <row r="35" spans="1:47" s="2" customFormat="1" ht="15" customHeight="1">
      <c r="A35" s="118" t="s">
        <v>107</v>
      </c>
      <c r="B35" s="36">
        <f>SUM(B36:B40)</f>
        <v>102018368.388</v>
      </c>
      <c r="C35" s="36">
        <f aca="true" t="shared" si="23" ref="C35:AN35">SUM(C36:C40)</f>
        <v>0</v>
      </c>
      <c r="D35" s="36">
        <f>SUM(D36:D40)</f>
        <v>0</v>
      </c>
      <c r="E35" s="36">
        <f>SUM(E36:E40)</f>
        <v>0</v>
      </c>
      <c r="F35" s="36">
        <f>SUM(F36:F40)</f>
        <v>33000000</v>
      </c>
      <c r="G35" s="36"/>
      <c r="H35" s="36">
        <f>SUM(H36:H40)</f>
        <v>0</v>
      </c>
      <c r="I35" s="36">
        <f t="shared" si="23"/>
        <v>135018368.388</v>
      </c>
      <c r="J35" s="36">
        <f t="shared" si="23"/>
        <v>2150640</v>
      </c>
      <c r="K35" s="36">
        <f t="shared" si="23"/>
        <v>0</v>
      </c>
      <c r="L35" s="36">
        <f>SUM(L36:L40)</f>
        <v>0</v>
      </c>
      <c r="M35" s="36">
        <f t="shared" si="23"/>
        <v>2150640</v>
      </c>
      <c r="N35" s="36">
        <f>SUM(N36:N40)</f>
        <v>3225960</v>
      </c>
      <c r="O35" s="36">
        <f>SUM(O36:O40)</f>
        <v>0</v>
      </c>
      <c r="P35" s="36">
        <f>SUM(P36:P40)</f>
        <v>0</v>
      </c>
      <c r="Q35" s="36">
        <f>SUM(Q36:Q40)</f>
        <v>3225960</v>
      </c>
      <c r="R35" s="36">
        <f t="shared" si="23"/>
        <v>3225960</v>
      </c>
      <c r="S35" s="36">
        <f>SUM(S36:S40)</f>
        <v>0</v>
      </c>
      <c r="T35" s="36"/>
      <c r="U35" s="36">
        <f>SUM(U36:U40)</f>
        <v>0</v>
      </c>
      <c r="V35" s="36">
        <f>SUM(V36:V40)</f>
        <v>3225960</v>
      </c>
      <c r="W35" s="36">
        <f t="shared" si="23"/>
        <v>122074769</v>
      </c>
      <c r="X35" s="36">
        <f>SUM(X36:X40)</f>
        <v>0</v>
      </c>
      <c r="Y35" s="36">
        <f>SUM(Y36:Y40)</f>
        <v>0</v>
      </c>
      <c r="Z35" s="36">
        <f>SUM(Z36:Z40)</f>
        <v>0</v>
      </c>
      <c r="AA35" s="36">
        <f t="shared" si="23"/>
        <v>122074769</v>
      </c>
      <c r="AB35" s="36">
        <f t="shared" si="23"/>
        <v>130677329</v>
      </c>
      <c r="AC35" s="373">
        <f t="shared" si="23"/>
        <v>2150640</v>
      </c>
      <c r="AD35" s="373">
        <f t="shared" si="23"/>
        <v>3225960</v>
      </c>
      <c r="AE35" s="373">
        <f t="shared" si="23"/>
        <v>3225960</v>
      </c>
      <c r="AF35" s="373">
        <f>SUM(AF36:AF40)</f>
        <v>122074766</v>
      </c>
      <c r="AG35" s="373">
        <f t="shared" si="23"/>
        <v>130677326</v>
      </c>
      <c r="AH35" s="36">
        <f t="shared" si="23"/>
        <v>0</v>
      </c>
      <c r="AI35" s="36">
        <f t="shared" si="23"/>
        <v>0</v>
      </c>
      <c r="AJ35" s="36">
        <f t="shared" si="23"/>
        <v>0</v>
      </c>
      <c r="AK35" s="36">
        <f>SUM(AK36:AK40)</f>
        <v>3</v>
      </c>
      <c r="AL35" s="36">
        <f t="shared" si="23"/>
        <v>130677329</v>
      </c>
      <c r="AM35" s="36">
        <f t="shared" si="23"/>
        <v>4341039.387999997</v>
      </c>
      <c r="AN35" s="36">
        <f t="shared" si="23"/>
        <v>3</v>
      </c>
      <c r="AO35" s="133">
        <f>+AG35/I35</f>
        <v>0.9678485050602506</v>
      </c>
      <c r="AP35" s="130">
        <f aca="true" t="shared" si="24" ref="AP35:AP54">+AC35/M35</f>
        <v>1</v>
      </c>
      <c r="AQ35" s="130">
        <f aca="true" t="shared" si="25" ref="AQ35:AQ69">+AD35/Q35</f>
        <v>1</v>
      </c>
      <c r="AR35" s="133">
        <v>0</v>
      </c>
      <c r="AS35" s="136">
        <f aca="true" t="shared" si="26" ref="AS35:AS47">+AF35/AA35</f>
        <v>0.9999999754248972</v>
      </c>
      <c r="AT35" s="83"/>
      <c r="AU35" s="3"/>
    </row>
    <row r="36" spans="1:47" s="2" customFormat="1" ht="15" customHeight="1" hidden="1" outlineLevel="1">
      <c r="A36" s="234" t="s">
        <v>195</v>
      </c>
      <c r="B36" s="7">
        <v>34507018.800000004</v>
      </c>
      <c r="C36" s="36"/>
      <c r="D36" s="36"/>
      <c r="E36" s="36"/>
      <c r="F36" s="36"/>
      <c r="G36" s="36"/>
      <c r="H36" s="36"/>
      <c r="I36" s="7">
        <f aca="true" t="shared" si="27" ref="I36:I71">SUM(B36:H36)</f>
        <v>34507018.800000004</v>
      </c>
      <c r="J36" s="7">
        <v>0</v>
      </c>
      <c r="K36" s="36"/>
      <c r="L36" s="7">
        <v>0</v>
      </c>
      <c r="M36" s="7">
        <f>SUM(J36:L36)</f>
        <v>0</v>
      </c>
      <c r="N36" s="7"/>
      <c r="O36" s="36"/>
      <c r="P36" s="7">
        <f>+AD36-N36-O36</f>
        <v>0</v>
      </c>
      <c r="Q36" s="7">
        <f>SUM(N36:P36)</f>
        <v>0</v>
      </c>
      <c r="R36" s="7">
        <v>0</v>
      </c>
      <c r="S36" s="7"/>
      <c r="T36" s="7"/>
      <c r="U36" s="7">
        <f aca="true" t="shared" si="28" ref="U36:U71">-R36-S36-T36+AE36</f>
        <v>0</v>
      </c>
      <c r="V36" s="7">
        <f>+SUM(R36:U36)</f>
        <v>0</v>
      </c>
      <c r="W36" s="7">
        <v>34507019</v>
      </c>
      <c r="X36" s="7"/>
      <c r="Y36" s="7"/>
      <c r="Z36" s="7"/>
      <c r="AA36" s="7">
        <f>+SUM(W36:W36)</f>
        <v>34507019</v>
      </c>
      <c r="AB36" s="7">
        <f>+M36+Q36+V36+AA36</f>
        <v>34507019</v>
      </c>
      <c r="AC36" s="357">
        <f>+'[4]MER ENE-MAR-11'!$G$120</f>
        <v>0</v>
      </c>
      <c r="AD36" s="357">
        <f>+'[4]MER ABR-JUN-11'!$G$152</f>
        <v>0</v>
      </c>
      <c r="AE36" s="357">
        <f>+'[4]MER JUL-SEP-11'!$G$133</f>
        <v>0</v>
      </c>
      <c r="AF36" s="357">
        <f>+'[4]MER OCT-DIC-11'!$G$148</f>
        <v>34507019</v>
      </c>
      <c r="AG36" s="357">
        <f>SUM(AC36:AF36)</f>
        <v>34507019</v>
      </c>
      <c r="AH36" s="7">
        <f>+M36-AC36</f>
        <v>0</v>
      </c>
      <c r="AI36" s="7">
        <f aca="true" t="shared" si="29" ref="AI36:AI69">+Q36-AD36</f>
        <v>0</v>
      </c>
      <c r="AJ36" s="7">
        <f>+V36-AE36</f>
        <v>0</v>
      </c>
      <c r="AK36" s="7">
        <f>+AA36-AF36</f>
        <v>0</v>
      </c>
      <c r="AL36" s="7">
        <f>+AB36</f>
        <v>34507019</v>
      </c>
      <c r="AM36" s="7">
        <f>+I36-AB36</f>
        <v>-0.19999999552965164</v>
      </c>
      <c r="AN36" s="7">
        <f>+AL36-AG36</f>
        <v>0</v>
      </c>
      <c r="AO36" s="130">
        <f>+AG36/I36</f>
        <v>1.0000000057959222</v>
      </c>
      <c r="AP36" s="130">
        <v>0</v>
      </c>
      <c r="AQ36" s="130">
        <v>0</v>
      </c>
      <c r="AR36" s="130">
        <v>0</v>
      </c>
      <c r="AS36" s="135">
        <f t="shared" si="26"/>
        <v>1</v>
      </c>
      <c r="AU36" s="3"/>
    </row>
    <row r="37" spans="1:45" ht="15" customHeight="1" hidden="1" outlineLevel="1">
      <c r="A37" s="234" t="s">
        <v>196</v>
      </c>
      <c r="B37" s="7">
        <v>56758149.58799999</v>
      </c>
      <c r="C37" s="34"/>
      <c r="D37" s="34"/>
      <c r="E37" s="34"/>
      <c r="F37" s="34"/>
      <c r="G37" s="34"/>
      <c r="H37" s="34"/>
      <c r="I37" s="7">
        <f t="shared" si="27"/>
        <v>56758149.58799999</v>
      </c>
      <c r="J37" s="7">
        <v>0</v>
      </c>
      <c r="K37" s="7"/>
      <c r="L37" s="7">
        <v>0</v>
      </c>
      <c r="M37" s="7">
        <f>SUM(J37:L37)</f>
        <v>0</v>
      </c>
      <c r="N37" s="7"/>
      <c r="O37" s="34"/>
      <c r="P37" s="7">
        <f>+AD37-N37-O37</f>
        <v>0</v>
      </c>
      <c r="Q37" s="7">
        <f>SUM(N37:P37)</f>
        <v>0</v>
      </c>
      <c r="R37" s="7">
        <v>0</v>
      </c>
      <c r="S37" s="7"/>
      <c r="T37" s="7"/>
      <c r="U37" s="7">
        <f t="shared" si="28"/>
        <v>0</v>
      </c>
      <c r="V37" s="7">
        <f>+SUM(R37:U37)</f>
        <v>0</v>
      </c>
      <c r="W37" s="7">
        <f>56758150</f>
        <v>56758150</v>
      </c>
      <c r="X37" s="7"/>
      <c r="Y37" s="7"/>
      <c r="Z37" s="7"/>
      <c r="AA37" s="7">
        <f>+SUM(W37:W37)</f>
        <v>56758150</v>
      </c>
      <c r="AB37" s="7">
        <f>+M37+Q37+V37+AA37</f>
        <v>56758150</v>
      </c>
      <c r="AC37" s="357">
        <f>+'[4]MER ENE-MAR-11'!$G$126</f>
        <v>0</v>
      </c>
      <c r="AD37" s="357">
        <f>+'[4]MER ABR-JUN-11'!$G$158</f>
        <v>0</v>
      </c>
      <c r="AE37" s="357">
        <f>+'[4]MER JUL-SEP-11'!$G$137</f>
        <v>0</v>
      </c>
      <c r="AF37" s="357">
        <f>+'[4]MER OCT-DIC-11'!$G$154</f>
        <v>56758150</v>
      </c>
      <c r="AG37" s="357">
        <f>SUM(AC37:AF37)</f>
        <v>56758150</v>
      </c>
      <c r="AH37" s="7">
        <f>+M37-AC37</f>
        <v>0</v>
      </c>
      <c r="AI37" s="7">
        <f t="shared" si="29"/>
        <v>0</v>
      </c>
      <c r="AJ37" s="7">
        <f>+V37-AE37</f>
        <v>0</v>
      </c>
      <c r="AK37" s="7">
        <f>+AA37-AF37</f>
        <v>0</v>
      </c>
      <c r="AL37" s="7">
        <f>+AB37</f>
        <v>56758150</v>
      </c>
      <c r="AM37" s="7">
        <f>+I37-AB37</f>
        <v>-0.41200000792741776</v>
      </c>
      <c r="AN37" s="7">
        <f>+AL37-AG37</f>
        <v>0</v>
      </c>
      <c r="AO37" s="130">
        <f>+AG37/I37</f>
        <v>1.0000000072588697</v>
      </c>
      <c r="AP37" s="130">
        <v>0</v>
      </c>
      <c r="AQ37" s="130">
        <v>0</v>
      </c>
      <c r="AR37" s="130">
        <v>0</v>
      </c>
      <c r="AS37" s="135">
        <f t="shared" si="26"/>
        <v>1</v>
      </c>
    </row>
    <row r="38" spans="1:45" ht="15" customHeight="1" hidden="1" outlineLevel="1">
      <c r="A38" s="234" t="s">
        <v>197</v>
      </c>
      <c r="B38" s="7">
        <v>0</v>
      </c>
      <c r="C38" s="36"/>
      <c r="D38" s="36"/>
      <c r="E38" s="36"/>
      <c r="F38" s="36"/>
      <c r="G38" s="36"/>
      <c r="H38" s="36"/>
      <c r="I38" s="7">
        <f t="shared" si="27"/>
        <v>0</v>
      </c>
      <c r="J38" s="7">
        <v>0</v>
      </c>
      <c r="K38" s="7"/>
      <c r="L38" s="7">
        <v>0</v>
      </c>
      <c r="M38" s="7">
        <f>SUM(J38:L38)</f>
        <v>0</v>
      </c>
      <c r="N38" s="7"/>
      <c r="O38" s="36"/>
      <c r="P38" s="7">
        <f>+AD38-N38-O38</f>
        <v>0</v>
      </c>
      <c r="Q38" s="7">
        <f>SUM(N38:P38)</f>
        <v>0</v>
      </c>
      <c r="R38" s="7">
        <v>0</v>
      </c>
      <c r="S38" s="7"/>
      <c r="T38" s="7"/>
      <c r="U38" s="7">
        <f t="shared" si="28"/>
        <v>0</v>
      </c>
      <c r="V38" s="7">
        <f>+SUM(R38:U38)</f>
        <v>0</v>
      </c>
      <c r="W38" s="7">
        <v>0</v>
      </c>
      <c r="X38" s="7"/>
      <c r="Y38" s="7"/>
      <c r="Z38" s="7"/>
      <c r="AA38" s="7">
        <f>+SUM(W38:W38)</f>
        <v>0</v>
      </c>
      <c r="AB38" s="7">
        <f>+M38+Q38+V38+AA38</f>
        <v>0</v>
      </c>
      <c r="AC38" s="357">
        <f>+'[4]MER ENE-MAR-11'!$G$132</f>
        <v>0</v>
      </c>
      <c r="AD38" s="357">
        <f>+'[4]MER ABR-JUN-11'!$G$164</f>
        <v>0</v>
      </c>
      <c r="AE38" s="357">
        <f>+'[4]MER JUL-SEP-11'!$G$141</f>
        <v>0</v>
      </c>
      <c r="AF38" s="357">
        <f>+'[4]MER OCT-DIC-11'!$G$160</f>
        <v>0</v>
      </c>
      <c r="AG38" s="357">
        <f>SUM(AC38:AF38)</f>
        <v>0</v>
      </c>
      <c r="AH38" s="7">
        <f>+M38-AC38</f>
        <v>0</v>
      </c>
      <c r="AI38" s="7">
        <f t="shared" si="29"/>
        <v>0</v>
      </c>
      <c r="AJ38" s="7">
        <f>+V38-AE38</f>
        <v>0</v>
      </c>
      <c r="AK38" s="7">
        <f>+AA38-AF38</f>
        <v>0</v>
      </c>
      <c r="AL38" s="7">
        <f>+AB38</f>
        <v>0</v>
      </c>
      <c r="AM38" s="7">
        <f>+I38-AB38</f>
        <v>0</v>
      </c>
      <c r="AN38" s="7">
        <f>+AL38-AG38</f>
        <v>0</v>
      </c>
      <c r="AO38" s="130">
        <v>0</v>
      </c>
      <c r="AP38" s="130">
        <v>0</v>
      </c>
      <c r="AQ38" s="130">
        <v>0</v>
      </c>
      <c r="AR38" s="130">
        <v>0</v>
      </c>
      <c r="AS38" s="135" t="e">
        <f t="shared" si="26"/>
        <v>#DIV/0!</v>
      </c>
    </row>
    <row r="39" spans="1:45" ht="15" customHeight="1" hidden="1" outlineLevel="1">
      <c r="A39" s="234" t="s">
        <v>198</v>
      </c>
      <c r="B39" s="7">
        <v>10753200</v>
      </c>
      <c r="C39" s="34"/>
      <c r="D39" s="34"/>
      <c r="E39" s="34"/>
      <c r="F39" s="34"/>
      <c r="G39" s="34"/>
      <c r="H39" s="34"/>
      <c r="I39" s="7">
        <f t="shared" si="27"/>
        <v>10753200</v>
      </c>
      <c r="J39" s="7">
        <v>2150640</v>
      </c>
      <c r="K39" s="7"/>
      <c r="L39" s="7">
        <v>0</v>
      </c>
      <c r="M39" s="7">
        <f>SUM(J39:L39)</f>
        <v>2150640</v>
      </c>
      <c r="N39" s="7">
        <v>3225960</v>
      </c>
      <c r="O39" s="34"/>
      <c r="P39" s="7">
        <f>+AD39-N39-O39</f>
        <v>0</v>
      </c>
      <c r="Q39" s="7">
        <f>SUM(N39:P39)</f>
        <v>3225960</v>
      </c>
      <c r="R39" s="7">
        <v>3225960</v>
      </c>
      <c r="S39" s="7"/>
      <c r="T39" s="7"/>
      <c r="U39" s="7">
        <f t="shared" si="28"/>
        <v>0</v>
      </c>
      <c r="V39" s="7">
        <f>+SUM(R39:U39)</f>
        <v>3225960</v>
      </c>
      <c r="W39" s="7">
        <v>2150640</v>
      </c>
      <c r="X39" s="7"/>
      <c r="Y39" s="7"/>
      <c r="Z39" s="7"/>
      <c r="AA39" s="7">
        <f>+SUM(W39:W39)</f>
        <v>2150640</v>
      </c>
      <c r="AB39" s="7">
        <f>+M39+Q39+V39+AA39</f>
        <v>10753200</v>
      </c>
      <c r="AC39" s="357">
        <f>+'[4]MER ENE-MAR-11'!$G$139</f>
        <v>2150640</v>
      </c>
      <c r="AD39" s="357">
        <f>+'[4]MER ABR-JUN-11'!$G$171</f>
        <v>3225960</v>
      </c>
      <c r="AE39" s="357">
        <f>+'[4]MER JUL-SEP-11'!$G$145</f>
        <v>3225960</v>
      </c>
      <c r="AF39" s="357">
        <f>+'[4]MER OCT-DIC-11'!$G$167</f>
        <v>2150640</v>
      </c>
      <c r="AG39" s="357">
        <f>SUM(AC39:AF39)</f>
        <v>10753200</v>
      </c>
      <c r="AH39" s="7">
        <f>+M39-AC39</f>
        <v>0</v>
      </c>
      <c r="AI39" s="7">
        <f t="shared" si="29"/>
        <v>0</v>
      </c>
      <c r="AJ39" s="7">
        <f>+V39-AE39</f>
        <v>0</v>
      </c>
      <c r="AK39" s="7">
        <f>+AA39-AF39</f>
        <v>0</v>
      </c>
      <c r="AL39" s="7">
        <f>+AB39</f>
        <v>10753200</v>
      </c>
      <c r="AM39" s="7">
        <f>+I39-AB39</f>
        <v>0</v>
      </c>
      <c r="AN39" s="7">
        <f>+AL39-AG39</f>
        <v>0</v>
      </c>
      <c r="AO39" s="130">
        <v>0</v>
      </c>
      <c r="AP39" s="130">
        <f t="shared" si="24"/>
        <v>1</v>
      </c>
      <c r="AQ39" s="130">
        <f t="shared" si="25"/>
        <v>1</v>
      </c>
      <c r="AR39" s="130">
        <v>0</v>
      </c>
      <c r="AS39" s="135">
        <f t="shared" si="26"/>
        <v>1</v>
      </c>
    </row>
    <row r="40" spans="1:45" ht="15" customHeight="1" hidden="1" outlineLevel="1">
      <c r="A40" s="234" t="s">
        <v>273</v>
      </c>
      <c r="B40" s="7">
        <v>0</v>
      </c>
      <c r="C40" s="34"/>
      <c r="D40" s="34"/>
      <c r="E40" s="34"/>
      <c r="F40" s="34">
        <v>33000000</v>
      </c>
      <c r="G40" s="34"/>
      <c r="H40" s="34"/>
      <c r="I40" s="7">
        <f t="shared" si="27"/>
        <v>33000000</v>
      </c>
      <c r="J40" s="7">
        <v>0</v>
      </c>
      <c r="K40" s="7"/>
      <c r="L40" s="7">
        <v>0</v>
      </c>
      <c r="M40" s="7">
        <f>SUM(J40:L40)</f>
        <v>0</v>
      </c>
      <c r="N40" s="7"/>
      <c r="O40" s="34"/>
      <c r="P40" s="7">
        <f>+AD40-N40-O40</f>
        <v>0</v>
      </c>
      <c r="Q40" s="7">
        <f>+N40+P40</f>
        <v>0</v>
      </c>
      <c r="R40" s="7">
        <v>0</v>
      </c>
      <c r="S40" s="7"/>
      <c r="T40" s="7"/>
      <c r="U40" s="7">
        <f t="shared" si="28"/>
        <v>0</v>
      </c>
      <c r="V40" s="7">
        <f>+SUM(R40:U40)</f>
        <v>0</v>
      </c>
      <c r="W40" s="7">
        <v>28658960</v>
      </c>
      <c r="X40" s="7"/>
      <c r="Y40" s="7"/>
      <c r="Z40" s="7"/>
      <c r="AA40" s="7">
        <f>+SUM(W40:W40)</f>
        <v>28658960</v>
      </c>
      <c r="AB40" s="7">
        <f>+M40+Q40+V40+AA40</f>
        <v>28658960</v>
      </c>
      <c r="AC40" s="357">
        <f>+'[4]MER ENE-MAR-11'!$G$146</f>
        <v>0</v>
      </c>
      <c r="AD40" s="357">
        <f>+'[4]MER ABR-JUN-11'!$G$179</f>
        <v>0</v>
      </c>
      <c r="AE40" s="357">
        <f>+'[4]MER JUL-SEP-11'!$G$153</f>
        <v>0</v>
      </c>
      <c r="AF40" s="357">
        <f>+'[4]MER OCT-DIC-11'!$G$175</f>
        <v>28658957</v>
      </c>
      <c r="AG40" s="357">
        <f>SUM(AC40:AF40)</f>
        <v>28658957</v>
      </c>
      <c r="AH40" s="7">
        <f>+M40-AC40</f>
        <v>0</v>
      </c>
      <c r="AI40" s="7">
        <f t="shared" si="29"/>
        <v>0</v>
      </c>
      <c r="AJ40" s="7">
        <f>+V40-AE40</f>
        <v>0</v>
      </c>
      <c r="AK40" s="7">
        <f>+AA40-AF40</f>
        <v>3</v>
      </c>
      <c r="AL40" s="7">
        <f>+AB40</f>
        <v>28658960</v>
      </c>
      <c r="AM40" s="7">
        <f>+I40-AB40</f>
        <v>4341040</v>
      </c>
      <c r="AN40" s="7">
        <f>+AL40-AG40</f>
        <v>3</v>
      </c>
      <c r="AO40" s="130">
        <v>0</v>
      </c>
      <c r="AP40" s="130">
        <v>0</v>
      </c>
      <c r="AQ40" s="130">
        <v>0</v>
      </c>
      <c r="AR40" s="130">
        <v>0</v>
      </c>
      <c r="AS40" s="135">
        <f t="shared" si="26"/>
        <v>0.9999998953206956</v>
      </c>
    </row>
    <row r="41" spans="1:46" ht="15" customHeight="1" collapsed="1">
      <c r="A41" s="118" t="s">
        <v>199</v>
      </c>
      <c r="B41" s="36">
        <f aca="true" t="shared" si="30" ref="B41:AH41">SUM(B42:B46)</f>
        <v>273410413</v>
      </c>
      <c r="C41" s="1">
        <f t="shared" si="30"/>
        <v>0</v>
      </c>
      <c r="D41" s="1">
        <f t="shared" si="30"/>
        <v>0</v>
      </c>
      <c r="E41" s="1">
        <f t="shared" si="30"/>
        <v>0</v>
      </c>
      <c r="F41" s="1">
        <f t="shared" si="30"/>
        <v>0</v>
      </c>
      <c r="G41" s="1"/>
      <c r="H41" s="1">
        <f t="shared" si="30"/>
        <v>0</v>
      </c>
      <c r="I41" s="36">
        <f t="shared" si="30"/>
        <v>273410413</v>
      </c>
      <c r="J41" s="36">
        <f t="shared" si="30"/>
        <v>66808323</v>
      </c>
      <c r="K41" s="36">
        <f t="shared" si="30"/>
        <v>0</v>
      </c>
      <c r="L41" s="36">
        <f>SUM(L42:L46)</f>
        <v>-2968954</v>
      </c>
      <c r="M41" s="36">
        <f t="shared" si="30"/>
        <v>63839369</v>
      </c>
      <c r="N41" s="36">
        <f t="shared" si="30"/>
        <v>86158284</v>
      </c>
      <c r="O41" s="1">
        <f t="shared" si="30"/>
        <v>0</v>
      </c>
      <c r="P41" s="36">
        <f t="shared" si="30"/>
        <v>-380651</v>
      </c>
      <c r="Q41" s="36">
        <f t="shared" si="30"/>
        <v>85777633</v>
      </c>
      <c r="R41" s="36">
        <f t="shared" si="30"/>
        <v>74301222</v>
      </c>
      <c r="S41" s="36">
        <f t="shared" si="30"/>
        <v>0</v>
      </c>
      <c r="T41" s="36"/>
      <c r="U41" s="36">
        <f t="shared" si="30"/>
        <v>-1643284</v>
      </c>
      <c r="V41" s="36">
        <f t="shared" si="30"/>
        <v>72657938</v>
      </c>
      <c r="W41" s="36">
        <v>51133435</v>
      </c>
      <c r="X41" s="36">
        <f t="shared" si="30"/>
        <v>0</v>
      </c>
      <c r="Y41" s="36">
        <f t="shared" si="30"/>
        <v>0</v>
      </c>
      <c r="Z41" s="36">
        <f t="shared" si="30"/>
        <v>0</v>
      </c>
      <c r="AA41" s="36">
        <f t="shared" si="30"/>
        <v>51133435</v>
      </c>
      <c r="AB41" s="36">
        <f t="shared" si="30"/>
        <v>273408375</v>
      </c>
      <c r="AC41" s="373">
        <f t="shared" si="30"/>
        <v>63839369</v>
      </c>
      <c r="AD41" s="373">
        <f t="shared" si="30"/>
        <v>85777633</v>
      </c>
      <c r="AE41" s="373">
        <f t="shared" si="30"/>
        <v>72657938</v>
      </c>
      <c r="AF41" s="373">
        <f>SUM(AF42:AF46)</f>
        <v>50862112</v>
      </c>
      <c r="AG41" s="373">
        <f>SUM(AG42:AG46)</f>
        <v>273137052</v>
      </c>
      <c r="AH41" s="36">
        <f t="shared" si="30"/>
        <v>0</v>
      </c>
      <c r="AI41" s="7">
        <f t="shared" si="29"/>
        <v>0</v>
      </c>
      <c r="AJ41" s="36">
        <f>SUM(AJ42:AJ46)</f>
        <v>0</v>
      </c>
      <c r="AK41" s="36">
        <f>SUM(AK42:AK46)</f>
        <v>271323</v>
      </c>
      <c r="AL41" s="36">
        <f>SUM(AL42:AL46)</f>
        <v>273408375</v>
      </c>
      <c r="AM41" s="36">
        <f>SUM(AM42:AM46)</f>
        <v>2038</v>
      </c>
      <c r="AN41" s="36">
        <f>SUM(AN42:AN46)</f>
        <v>271323</v>
      </c>
      <c r="AO41" s="133">
        <f>+AG41/I41</f>
        <v>0.9990001807283031</v>
      </c>
      <c r="AP41" s="130">
        <f t="shared" si="24"/>
        <v>1</v>
      </c>
      <c r="AQ41" s="130">
        <f t="shared" si="25"/>
        <v>1</v>
      </c>
      <c r="AR41" s="133">
        <f>+AE41/V41</f>
        <v>1</v>
      </c>
      <c r="AS41" s="136">
        <f t="shared" si="26"/>
        <v>0.994693824109411</v>
      </c>
      <c r="AT41" s="83"/>
    </row>
    <row r="42" spans="1:46" ht="15" customHeight="1" hidden="1" outlineLevel="1">
      <c r="A42" s="234" t="s">
        <v>200</v>
      </c>
      <c r="B42" s="7">
        <v>65836620</v>
      </c>
      <c r="C42" s="34"/>
      <c r="D42" s="34"/>
      <c r="E42" s="34"/>
      <c r="F42" s="34"/>
      <c r="G42" s="34"/>
      <c r="H42" s="34"/>
      <c r="I42" s="7">
        <f t="shared" si="27"/>
        <v>65836620</v>
      </c>
      <c r="J42" s="7">
        <v>13167324</v>
      </c>
      <c r="K42" s="7"/>
      <c r="L42" s="7">
        <v>-33176</v>
      </c>
      <c r="M42" s="7">
        <f>SUM(J42:L42)</f>
        <v>13134148</v>
      </c>
      <c r="N42" s="7">
        <f>19750986</f>
        <v>19750986</v>
      </c>
      <c r="O42" s="34"/>
      <c r="P42" s="7">
        <f>+AD42-N42-O42</f>
        <v>-44872</v>
      </c>
      <c r="Q42" s="7">
        <f>SUM(N42:P42)</f>
        <v>19706114</v>
      </c>
      <c r="R42" s="7">
        <v>19701222</v>
      </c>
      <c r="S42" s="7"/>
      <c r="T42" s="7"/>
      <c r="U42" s="7">
        <f t="shared" si="28"/>
        <v>0</v>
      </c>
      <c r="V42" s="7">
        <f>+SUM(R42:U42)</f>
        <v>19701222</v>
      </c>
      <c r="W42" s="7">
        <v>13295136</v>
      </c>
      <c r="X42" s="7"/>
      <c r="Y42" s="7"/>
      <c r="Z42" s="7"/>
      <c r="AA42" s="7">
        <f>+SUM(W42:W42)</f>
        <v>13295136</v>
      </c>
      <c r="AB42" s="7">
        <f>+M42+Q42+V42+AA42</f>
        <v>65836620</v>
      </c>
      <c r="AC42" s="357">
        <f>+'[4]MER ENE-MAR-11'!$G$153</f>
        <v>13134148</v>
      </c>
      <c r="AD42" s="357">
        <f>+'[4]MER ABR-JUN-11'!$G$186</f>
        <v>19706114</v>
      </c>
      <c r="AE42" s="357">
        <f>+'[4]MER JUL-SEP-11'!$G$159</f>
        <v>19701222</v>
      </c>
      <c r="AF42" s="357">
        <f>+'[4]MER OCT-DIC-11'!$G$183</f>
        <v>13134148</v>
      </c>
      <c r="AG42" s="357">
        <f>SUM(AC42:AF42)</f>
        <v>65675632</v>
      </c>
      <c r="AH42" s="7">
        <f>+M42-AC42</f>
        <v>0</v>
      </c>
      <c r="AI42" s="7">
        <f t="shared" si="29"/>
        <v>0</v>
      </c>
      <c r="AJ42" s="7">
        <f>+V42-AE42</f>
        <v>0</v>
      </c>
      <c r="AK42" s="7">
        <f>+AA42-AF42</f>
        <v>160988</v>
      </c>
      <c r="AL42" s="7">
        <f>+AB42</f>
        <v>65836620</v>
      </c>
      <c r="AM42" s="7">
        <f>+I42-AB42</f>
        <v>0</v>
      </c>
      <c r="AN42" s="7">
        <f>+AL42-AG42</f>
        <v>160988</v>
      </c>
      <c r="AO42" s="130">
        <f>+AG42/I42</f>
        <v>0.9975547347357747</v>
      </c>
      <c r="AP42" s="130">
        <f t="shared" si="24"/>
        <v>1</v>
      </c>
      <c r="AQ42" s="130">
        <f t="shared" si="25"/>
        <v>1</v>
      </c>
      <c r="AR42" s="130">
        <f>+AE42/V42</f>
        <v>1</v>
      </c>
      <c r="AS42" s="135">
        <f t="shared" si="26"/>
        <v>0.9878912107405294</v>
      </c>
      <c r="AT42" s="83"/>
    </row>
    <row r="43" spans="1:46" ht="15" customHeight="1" hidden="1" outlineLevel="1">
      <c r="A43" s="234" t="s">
        <v>148</v>
      </c>
      <c r="B43" s="7">
        <v>10000000</v>
      </c>
      <c r="C43" s="36"/>
      <c r="D43" s="36"/>
      <c r="E43" s="36"/>
      <c r="F43" s="36"/>
      <c r="G43" s="36"/>
      <c r="H43" s="373"/>
      <c r="I43" s="7">
        <f t="shared" si="27"/>
        <v>10000000</v>
      </c>
      <c r="J43" s="7">
        <v>2000000</v>
      </c>
      <c r="K43" s="7"/>
      <c r="L43" s="7">
        <v>-37037</v>
      </c>
      <c r="M43" s="7">
        <f>SUM(J43:L43)</f>
        <v>1962963</v>
      </c>
      <c r="N43" s="7">
        <v>3000000</v>
      </c>
      <c r="O43" s="36"/>
      <c r="P43" s="7">
        <f>+AD43-N43-O43</f>
        <v>-20574</v>
      </c>
      <c r="Q43" s="7">
        <f>SUM(N43:P43)</f>
        <v>2979426</v>
      </c>
      <c r="R43" s="7">
        <v>3000000</v>
      </c>
      <c r="S43" s="7"/>
      <c r="T43" s="7"/>
      <c r="U43" s="7">
        <f t="shared" si="28"/>
        <v>-434814</v>
      </c>
      <c r="V43" s="7">
        <f>+SUM(R43:U43)</f>
        <v>2565186</v>
      </c>
      <c r="W43" s="7">
        <v>2492425</v>
      </c>
      <c r="X43" s="7"/>
      <c r="Y43" s="7"/>
      <c r="Z43" s="7"/>
      <c r="AA43" s="7">
        <f>+SUM(W43:W43)</f>
        <v>2492425</v>
      </c>
      <c r="AB43" s="7">
        <f>+M43+Q43+V43+AA43</f>
        <v>10000000</v>
      </c>
      <c r="AC43" s="357">
        <f>+'[4]MER ENE-MAR-11'!$G$172</f>
        <v>1962963</v>
      </c>
      <c r="AD43" s="357">
        <f>+'[4]MER ABR-JUN-11'!$G$212</f>
        <v>2979426</v>
      </c>
      <c r="AE43" s="357">
        <f>+'[4]MER JUL-SEP-11'!$G$181</f>
        <v>2565186</v>
      </c>
      <c r="AF43" s="357">
        <f>+'[4]MER OCT-DIC-11'!$G$203</f>
        <v>2432853</v>
      </c>
      <c r="AG43" s="357">
        <f>SUM(AC43:AF43)</f>
        <v>9940428</v>
      </c>
      <c r="AH43" s="7">
        <f>+M43-AC43</f>
        <v>0</v>
      </c>
      <c r="AI43" s="7">
        <f t="shared" si="29"/>
        <v>0</v>
      </c>
      <c r="AJ43" s="7">
        <f>+V43-AE43</f>
        <v>0</v>
      </c>
      <c r="AK43" s="7">
        <f>+AA43-AF43</f>
        <v>59572</v>
      </c>
      <c r="AL43" s="7">
        <f>+AB43</f>
        <v>10000000</v>
      </c>
      <c r="AM43" s="7">
        <f>+I43-AB43</f>
        <v>0</v>
      </c>
      <c r="AN43" s="7">
        <f>+AL43-AG43</f>
        <v>59572</v>
      </c>
      <c r="AO43" s="130">
        <f>+AG43/I43</f>
        <v>0.9940428</v>
      </c>
      <c r="AP43" s="130">
        <f t="shared" si="24"/>
        <v>1</v>
      </c>
      <c r="AQ43" s="130">
        <f t="shared" si="25"/>
        <v>1</v>
      </c>
      <c r="AR43" s="130">
        <f>+AE43/V43</f>
        <v>1</v>
      </c>
      <c r="AS43" s="135">
        <f t="shared" si="26"/>
        <v>0.9760987793012829</v>
      </c>
      <c r="AT43" s="83"/>
    </row>
    <row r="44" spans="1:46" ht="15" customHeight="1" hidden="1" outlineLevel="1">
      <c r="A44" s="234" t="s">
        <v>149</v>
      </c>
      <c r="B44" s="7">
        <f>10500000</f>
        <v>10500000</v>
      </c>
      <c r="C44" s="36"/>
      <c r="D44" s="36"/>
      <c r="E44" s="36"/>
      <c r="F44" s="36"/>
      <c r="G44" s="36"/>
      <c r="H44" s="357">
        <f>-228800-7325307</f>
        <v>-7554107</v>
      </c>
      <c r="I44" s="7">
        <f t="shared" si="27"/>
        <v>2945893</v>
      </c>
      <c r="J44" s="7">
        <v>2600000</v>
      </c>
      <c r="K44" s="7"/>
      <c r="L44" s="7">
        <v>-2600000</v>
      </c>
      <c r="M44" s="7">
        <f>SUM(J44:L44)</f>
        <v>0</v>
      </c>
      <c r="N44" s="7">
        <v>2600000</v>
      </c>
      <c r="O44" s="36"/>
      <c r="P44" s="7">
        <f>+AD44-N44-O44</f>
        <v>-25307</v>
      </c>
      <c r="Q44" s="7">
        <f>SUM(N44:P44)</f>
        <v>2574693</v>
      </c>
      <c r="R44" s="7">
        <f>2600000-2000000</f>
        <v>600000</v>
      </c>
      <c r="S44" s="7"/>
      <c r="T44" s="7"/>
      <c r="U44" s="7">
        <f t="shared" si="28"/>
        <v>-228800</v>
      </c>
      <c r="V44" s="7">
        <f>+SUM(R44:U44)</f>
        <v>371200</v>
      </c>
      <c r="W44" s="7">
        <f>228800-228800</f>
        <v>0</v>
      </c>
      <c r="X44" s="7"/>
      <c r="Y44" s="7"/>
      <c r="Z44" s="7"/>
      <c r="AA44" s="7">
        <f>+SUM(W44:W44)</f>
        <v>0</v>
      </c>
      <c r="AB44" s="7">
        <f>+M44+Q44+V44+AA44</f>
        <v>2945893</v>
      </c>
      <c r="AC44" s="357">
        <f>+'[4]MER ENE-MAR-11'!$G$184</f>
        <v>0</v>
      </c>
      <c r="AD44" s="357">
        <f>+'[4]MER ABR-JUN-11'!$G$227</f>
        <v>2574693</v>
      </c>
      <c r="AE44" s="357">
        <f>+'[4]MER JUL-SEP-11'!$G$193</f>
        <v>371200</v>
      </c>
      <c r="AF44" s="357">
        <f>+'[4]MER OCT-DIC-11'!$G$218</f>
        <v>0</v>
      </c>
      <c r="AG44" s="357">
        <f>SUM(AC44:AF44)</f>
        <v>2945893</v>
      </c>
      <c r="AH44" s="7">
        <f>+M44-AC44</f>
        <v>0</v>
      </c>
      <c r="AI44" s="7">
        <f t="shared" si="29"/>
        <v>0</v>
      </c>
      <c r="AJ44" s="7">
        <f>+V44-AE44</f>
        <v>0</v>
      </c>
      <c r="AK44" s="7">
        <f>+AA44-AF44</f>
        <v>0</v>
      </c>
      <c r="AL44" s="7">
        <f>+AB44</f>
        <v>2945893</v>
      </c>
      <c r="AM44" s="7">
        <f>+I44-AB44</f>
        <v>0</v>
      </c>
      <c r="AN44" s="7">
        <f>+AL44-AG44</f>
        <v>0</v>
      </c>
      <c r="AO44" s="130">
        <f>+AG44/I44</f>
        <v>1</v>
      </c>
      <c r="AP44" s="130">
        <v>0</v>
      </c>
      <c r="AQ44" s="130">
        <f t="shared" si="25"/>
        <v>1</v>
      </c>
      <c r="AR44" s="130">
        <v>0</v>
      </c>
      <c r="AS44" s="135" t="e">
        <f t="shared" si="26"/>
        <v>#DIV/0!</v>
      </c>
      <c r="AT44" s="83"/>
    </row>
    <row r="45" spans="1:46" ht="15" customHeight="1" hidden="1" outlineLevel="1">
      <c r="A45" s="234" t="s">
        <v>201</v>
      </c>
      <c r="B45" s="7">
        <v>15000000</v>
      </c>
      <c r="C45" s="36"/>
      <c r="D45" s="36"/>
      <c r="E45" s="36"/>
      <c r="F45" s="36"/>
      <c r="G45" s="36"/>
      <c r="H45" s="373"/>
      <c r="I45" s="7">
        <f t="shared" si="27"/>
        <v>15000000</v>
      </c>
      <c r="J45" s="7">
        <v>8000000</v>
      </c>
      <c r="K45" s="7"/>
      <c r="L45" s="7">
        <v>-2038</v>
      </c>
      <c r="M45" s="7">
        <f>SUM(J45:L45)</f>
        <v>7997962</v>
      </c>
      <c r="N45" s="7">
        <v>7000000</v>
      </c>
      <c r="O45" s="36"/>
      <c r="P45" s="7">
        <f>+AD45-N45-O45</f>
        <v>0</v>
      </c>
      <c r="Q45" s="7">
        <f>SUM(N45:P45)</f>
        <v>7000000</v>
      </c>
      <c r="R45" s="7"/>
      <c r="S45" s="7"/>
      <c r="T45" s="7"/>
      <c r="U45" s="7">
        <f t="shared" si="28"/>
        <v>0</v>
      </c>
      <c r="V45" s="7">
        <f>+SUM(R45:U45)</f>
        <v>0</v>
      </c>
      <c r="W45" s="7">
        <v>0</v>
      </c>
      <c r="X45" s="7"/>
      <c r="Y45" s="7"/>
      <c r="Z45" s="7"/>
      <c r="AA45" s="7">
        <f>+SUM(W45:W45)</f>
        <v>0</v>
      </c>
      <c r="AB45" s="7">
        <f>+M45+Q45+V45+AA45</f>
        <v>14997962</v>
      </c>
      <c r="AC45" s="357">
        <f>+'[4]MER ENE-MAR-11'!$G$189</f>
        <v>7997962</v>
      </c>
      <c r="AD45" s="357">
        <f>+'[4]MER ABR-JUN-11'!$G$238</f>
        <v>7000000</v>
      </c>
      <c r="AE45" s="357">
        <f>+'[4]MER JUL-SEP-11'!$G$199</f>
        <v>0</v>
      </c>
      <c r="AF45" s="357">
        <f>+'[4]MER OCT-DIC-11'!$G$223</f>
        <v>0</v>
      </c>
      <c r="AG45" s="357">
        <f>SUM(AC45:AF45)</f>
        <v>14997962</v>
      </c>
      <c r="AH45" s="7">
        <f>+M45-AC45</f>
        <v>0</v>
      </c>
      <c r="AI45" s="7">
        <f t="shared" si="29"/>
        <v>0</v>
      </c>
      <c r="AJ45" s="7">
        <f>+V45-AE45</f>
        <v>0</v>
      </c>
      <c r="AK45" s="7">
        <f>+AA45-AF45</f>
        <v>0</v>
      </c>
      <c r="AL45" s="7">
        <f>+AB45</f>
        <v>14997962</v>
      </c>
      <c r="AM45" s="7">
        <f>+I45-AB45</f>
        <v>2038</v>
      </c>
      <c r="AN45" s="7">
        <f>+AL45-AG45</f>
        <v>0</v>
      </c>
      <c r="AO45" s="130">
        <v>0</v>
      </c>
      <c r="AP45" s="130">
        <f t="shared" si="24"/>
        <v>1</v>
      </c>
      <c r="AQ45" s="130">
        <f t="shared" si="25"/>
        <v>1</v>
      </c>
      <c r="AR45" s="130">
        <v>0</v>
      </c>
      <c r="AS45" s="135" t="e">
        <f t="shared" si="26"/>
        <v>#DIV/0!</v>
      </c>
      <c r="AT45" s="83"/>
    </row>
    <row r="46" spans="1:46" ht="15" customHeight="1" hidden="1" outlineLevel="1">
      <c r="A46" s="234" t="s">
        <v>202</v>
      </c>
      <c r="B46" s="7">
        <f>172073793</f>
        <v>172073793</v>
      </c>
      <c r="C46" s="36"/>
      <c r="D46" s="36"/>
      <c r="E46" s="36"/>
      <c r="F46" s="36"/>
      <c r="G46" s="36"/>
      <c r="H46" s="357">
        <f>228800+7325307</f>
        <v>7554107</v>
      </c>
      <c r="I46" s="7">
        <f t="shared" si="27"/>
        <v>179627900</v>
      </c>
      <c r="J46" s="7">
        <v>41040999</v>
      </c>
      <c r="K46" s="7"/>
      <c r="L46" s="7">
        <v>-296703</v>
      </c>
      <c r="M46" s="7">
        <f>SUM(J46:L46)</f>
        <v>40744296</v>
      </c>
      <c r="N46" s="7">
        <f>53807298</f>
        <v>53807298</v>
      </c>
      <c r="O46" s="36"/>
      <c r="P46" s="7">
        <f>+AD46-N46-O46</f>
        <v>-289898</v>
      </c>
      <c r="Q46" s="7">
        <f>SUM(N46:P46)</f>
        <v>53517400</v>
      </c>
      <c r="R46" s="7">
        <f>49000000+2000000</f>
        <v>51000000</v>
      </c>
      <c r="S46" s="7"/>
      <c r="T46" s="7"/>
      <c r="U46" s="7">
        <f t="shared" si="28"/>
        <v>-979670</v>
      </c>
      <c r="V46" s="7">
        <f>+SUM(R46:U46)</f>
        <v>50020330</v>
      </c>
      <c r="W46" s="7">
        <f>35117074+228800</f>
        <v>35345874</v>
      </c>
      <c r="X46" s="7"/>
      <c r="Y46" s="7"/>
      <c r="Z46" s="7"/>
      <c r="AA46" s="7">
        <f>+SUM(W46:W46)</f>
        <v>35345874</v>
      </c>
      <c r="AB46" s="7">
        <f>+M46+Q46+V46+AA46</f>
        <v>179627900</v>
      </c>
      <c r="AC46" s="357">
        <f>+'[4]MER ENE-MAR-11'!$G$195</f>
        <v>40744296</v>
      </c>
      <c r="AD46" s="357">
        <f>+'[4]MER ABR-JUN-11'!$G$246</f>
        <v>53517400</v>
      </c>
      <c r="AE46" s="357">
        <f>+'[4]MER JUL-SEP-11'!$G$203</f>
        <v>50020330</v>
      </c>
      <c r="AF46" s="357">
        <f>+'[4]MER OCT-DIC-11'!$G$228</f>
        <v>35295111</v>
      </c>
      <c r="AG46" s="357">
        <f>SUM(AC46:AF46)</f>
        <v>179577137</v>
      </c>
      <c r="AH46" s="7">
        <f>+M46-AC46</f>
        <v>0</v>
      </c>
      <c r="AI46" s="7">
        <f t="shared" si="29"/>
        <v>0</v>
      </c>
      <c r="AJ46" s="127">
        <f>+V46-AE46</f>
        <v>0</v>
      </c>
      <c r="AK46" s="7">
        <f>+AA46-AF46</f>
        <v>50763</v>
      </c>
      <c r="AL46" s="7">
        <f>+AB46</f>
        <v>179627900</v>
      </c>
      <c r="AM46" s="7">
        <f>+I46-AB46</f>
        <v>0</v>
      </c>
      <c r="AN46" s="7">
        <f>+AL46-AG46</f>
        <v>50763</v>
      </c>
      <c r="AO46" s="130">
        <f aca="true" t="shared" si="31" ref="AO46:AO52">+AG46/I46</f>
        <v>0.9997173991345443</v>
      </c>
      <c r="AP46" s="130">
        <f t="shared" si="24"/>
        <v>1</v>
      </c>
      <c r="AQ46" s="130">
        <f t="shared" si="25"/>
        <v>1</v>
      </c>
      <c r="AR46" s="130">
        <f>+AE46/V46</f>
        <v>1</v>
      </c>
      <c r="AS46" s="135">
        <f t="shared" si="26"/>
        <v>0.998563821055889</v>
      </c>
      <c r="AT46" s="83"/>
    </row>
    <row r="47" spans="1:46" ht="16.5" collapsed="1">
      <c r="A47" s="118" t="s">
        <v>203</v>
      </c>
      <c r="B47" s="36">
        <f aca="true" t="shared" si="32" ref="B47:AH47">SUM(B48:B53)</f>
        <v>422560367.85</v>
      </c>
      <c r="C47" s="1">
        <f t="shared" si="32"/>
        <v>0</v>
      </c>
      <c r="D47" s="1">
        <f t="shared" si="32"/>
        <v>0</v>
      </c>
      <c r="E47" s="1">
        <f t="shared" si="32"/>
        <v>0</v>
      </c>
      <c r="F47" s="1">
        <f t="shared" si="32"/>
        <v>0</v>
      </c>
      <c r="G47" s="1"/>
      <c r="H47" s="435">
        <f t="shared" si="32"/>
        <v>0</v>
      </c>
      <c r="I47" s="36">
        <f t="shared" si="32"/>
        <v>422560367.85</v>
      </c>
      <c r="J47" s="36">
        <f t="shared" si="32"/>
        <v>107949403</v>
      </c>
      <c r="K47" s="36">
        <f t="shared" si="32"/>
        <v>0</v>
      </c>
      <c r="L47" s="36">
        <f>SUM(L48:L53)</f>
        <v>-3314494</v>
      </c>
      <c r="M47" s="36">
        <f t="shared" si="32"/>
        <v>104634909</v>
      </c>
      <c r="N47" s="36">
        <f t="shared" si="32"/>
        <v>129414105</v>
      </c>
      <c r="O47" s="1">
        <f t="shared" si="32"/>
        <v>0</v>
      </c>
      <c r="P47" s="36">
        <f t="shared" si="32"/>
        <v>-15994935</v>
      </c>
      <c r="Q47" s="36">
        <f t="shared" si="32"/>
        <v>113419170</v>
      </c>
      <c r="R47" s="36">
        <f t="shared" si="32"/>
        <v>121614105</v>
      </c>
      <c r="S47" s="36">
        <f t="shared" si="32"/>
        <v>0</v>
      </c>
      <c r="T47" s="36"/>
      <c r="U47" s="36">
        <f t="shared" si="32"/>
        <v>-17983293</v>
      </c>
      <c r="V47" s="36">
        <f t="shared" si="32"/>
        <v>103630812</v>
      </c>
      <c r="W47" s="36">
        <f t="shared" si="32"/>
        <v>100875476.85</v>
      </c>
      <c r="X47" s="36">
        <f t="shared" si="32"/>
        <v>0</v>
      </c>
      <c r="Y47" s="36">
        <f t="shared" si="32"/>
        <v>0</v>
      </c>
      <c r="Z47" s="36">
        <f t="shared" si="32"/>
        <v>0</v>
      </c>
      <c r="AA47" s="36">
        <f t="shared" si="32"/>
        <v>100875476.85</v>
      </c>
      <c r="AB47" s="36">
        <f t="shared" si="32"/>
        <v>422560367.85</v>
      </c>
      <c r="AC47" s="373">
        <f t="shared" si="32"/>
        <v>104634909</v>
      </c>
      <c r="AD47" s="373">
        <f t="shared" si="32"/>
        <v>113419170</v>
      </c>
      <c r="AE47" s="373">
        <f t="shared" si="32"/>
        <v>103630812</v>
      </c>
      <c r="AF47" s="373">
        <f>SUM(AF48:AF53)</f>
        <v>98714633</v>
      </c>
      <c r="AG47" s="373">
        <f>SUM(AG48:AG53)</f>
        <v>420399524</v>
      </c>
      <c r="AH47" s="36">
        <f t="shared" si="32"/>
        <v>0</v>
      </c>
      <c r="AI47" s="7">
        <f t="shared" si="29"/>
        <v>0</v>
      </c>
      <c r="AJ47" s="36">
        <f>SUM(AJ48:AJ53)</f>
        <v>0</v>
      </c>
      <c r="AK47" s="36">
        <f>SUM(AK48:AK53)</f>
        <v>2160843.849999994</v>
      </c>
      <c r="AL47" s="36">
        <f>SUM(AL48:AL53)</f>
        <v>422560367.85</v>
      </c>
      <c r="AM47" s="36">
        <f>SUM(AM48:AM53)</f>
        <v>0</v>
      </c>
      <c r="AN47" s="36">
        <f>SUM(AN48:AN53)</f>
        <v>2160843.849999994</v>
      </c>
      <c r="AO47" s="133">
        <f t="shared" si="31"/>
        <v>0.9948863073435058</v>
      </c>
      <c r="AP47" s="130">
        <f t="shared" si="24"/>
        <v>1</v>
      </c>
      <c r="AQ47" s="130">
        <f t="shared" si="25"/>
        <v>1</v>
      </c>
      <c r="AR47" s="133">
        <f>+AE47/V47</f>
        <v>1</v>
      </c>
      <c r="AS47" s="136">
        <f t="shared" si="26"/>
        <v>0.978579096550759</v>
      </c>
      <c r="AT47" s="83"/>
    </row>
    <row r="48" spans="1:46" ht="15" customHeight="1" hidden="1" outlineLevel="1">
      <c r="A48" s="234" t="s">
        <v>151</v>
      </c>
      <c r="B48" s="7">
        <v>162766578</v>
      </c>
      <c r="C48" s="36"/>
      <c r="D48" s="36"/>
      <c r="E48" s="36"/>
      <c r="F48" s="36"/>
      <c r="G48" s="36"/>
      <c r="H48" s="373"/>
      <c r="I48" s="7">
        <f t="shared" si="27"/>
        <v>162766578</v>
      </c>
      <c r="J48" s="7">
        <f>31088872+315000</f>
        <v>31403872</v>
      </c>
      <c r="K48" s="7"/>
      <c r="L48" s="7">
        <v>-101714</v>
      </c>
      <c r="M48" s="7">
        <f aca="true" t="shared" si="33" ref="M48:M53">SUM(J48:L48)</f>
        <v>31302158</v>
      </c>
      <c r="N48" s="7">
        <v>46633308</v>
      </c>
      <c r="O48" s="36"/>
      <c r="P48" s="7">
        <f aca="true" t="shared" si="34" ref="P48:P53">+AD48-N48-O48</f>
        <v>-1675238</v>
      </c>
      <c r="Q48" s="7">
        <f aca="true" t="shared" si="35" ref="Q48:Q53">SUM(N48:P48)</f>
        <v>44958070</v>
      </c>
      <c r="R48" s="7">
        <v>52833308</v>
      </c>
      <c r="S48" s="7"/>
      <c r="T48" s="7"/>
      <c r="U48" s="7">
        <f t="shared" si="28"/>
        <v>-6174000</v>
      </c>
      <c r="V48" s="7">
        <f aca="true" t="shared" si="36" ref="V48:V53">+SUM(R48:U48)</f>
        <v>46659308</v>
      </c>
      <c r="W48" s="7">
        <v>39847042</v>
      </c>
      <c r="X48" s="7"/>
      <c r="Y48" s="7"/>
      <c r="Z48" s="7"/>
      <c r="AA48" s="7">
        <f>SUM(W48:Z48)</f>
        <v>39847042</v>
      </c>
      <c r="AB48" s="7">
        <f aca="true" t="shared" si="37" ref="AB48:AB53">+M48+Q48+V48+AA48</f>
        <v>162766578</v>
      </c>
      <c r="AC48" s="357">
        <f>+'[4]MER ENE-MAR-11'!$G$250</f>
        <v>31302158</v>
      </c>
      <c r="AD48" s="357">
        <f>+'[4]MER ABR-JUN-11'!$G$299</f>
        <v>44958070</v>
      </c>
      <c r="AE48" s="357">
        <f>+'[4]MER JUL-SEP-11'!$G$248</f>
        <v>46659308</v>
      </c>
      <c r="AF48" s="357">
        <f>+'[4]MER OCT-DIC-11'!$G$268</f>
        <v>39817328</v>
      </c>
      <c r="AG48" s="357">
        <f aca="true" t="shared" si="38" ref="AG48:AG53">SUM(AC48:AF48)</f>
        <v>162736864</v>
      </c>
      <c r="AH48" s="7">
        <f aca="true" t="shared" si="39" ref="AH48:AH53">+M48-AC48</f>
        <v>0</v>
      </c>
      <c r="AI48" s="7">
        <f t="shared" si="29"/>
        <v>0</v>
      </c>
      <c r="AJ48" s="7">
        <f>+V48-AE48</f>
        <v>0</v>
      </c>
      <c r="AK48" s="7">
        <f aca="true" t="shared" si="40" ref="AK48:AK53">+AA48-AF48</f>
        <v>29714</v>
      </c>
      <c r="AL48" s="7">
        <f aca="true" t="shared" si="41" ref="AL48:AL53">+AB48</f>
        <v>162766578</v>
      </c>
      <c r="AM48" s="7">
        <f aca="true" t="shared" si="42" ref="AM48:AM53">+I48-AB48</f>
        <v>0</v>
      </c>
      <c r="AN48" s="7">
        <f aca="true" t="shared" si="43" ref="AN48:AN53">+AL48-AG48</f>
        <v>29714</v>
      </c>
      <c r="AO48" s="130">
        <f t="shared" si="31"/>
        <v>0.9998174440946962</v>
      </c>
      <c r="AP48" s="130">
        <f t="shared" si="24"/>
        <v>1</v>
      </c>
      <c r="AQ48" s="130">
        <f t="shared" si="25"/>
        <v>1</v>
      </c>
      <c r="AR48" s="130">
        <v>0</v>
      </c>
      <c r="AS48" s="135">
        <f aca="true" t="shared" si="44" ref="AS48:AS54">+AF48/AA48</f>
        <v>0.9992542984746522</v>
      </c>
      <c r="AT48" s="83"/>
    </row>
    <row r="49" spans="1:46" ht="15" customHeight="1" hidden="1" outlineLevel="1">
      <c r="A49" s="234" t="s">
        <v>152</v>
      </c>
      <c r="B49" s="7">
        <v>111062789.85</v>
      </c>
      <c r="C49" s="36"/>
      <c r="D49" s="36"/>
      <c r="E49" s="36"/>
      <c r="F49" s="36"/>
      <c r="G49" s="36"/>
      <c r="H49" s="373"/>
      <c r="I49" s="7">
        <f t="shared" si="27"/>
        <v>111062789.85</v>
      </c>
      <c r="J49" s="7">
        <f>21240531-315000</f>
        <v>20925531</v>
      </c>
      <c r="K49" s="7"/>
      <c r="L49" s="7">
        <v>-513270</v>
      </c>
      <c r="M49" s="7">
        <f t="shared" si="33"/>
        <v>20412261</v>
      </c>
      <c r="N49" s="7">
        <v>31860797</v>
      </c>
      <c r="O49" s="36"/>
      <c r="P49" s="7">
        <f t="shared" si="34"/>
        <v>-1881396</v>
      </c>
      <c r="Q49" s="7">
        <f t="shared" si="35"/>
        <v>29979401</v>
      </c>
      <c r="R49" s="7">
        <f>31860797-103890</f>
        <v>31756907</v>
      </c>
      <c r="S49" s="7"/>
      <c r="T49" s="7"/>
      <c r="U49" s="7">
        <f t="shared" si="28"/>
        <v>-210143</v>
      </c>
      <c r="V49" s="7">
        <f t="shared" si="36"/>
        <v>31546764</v>
      </c>
      <c r="W49" s="7">
        <v>29124363.849999994</v>
      </c>
      <c r="X49" s="7"/>
      <c r="Y49" s="7"/>
      <c r="Z49" s="7"/>
      <c r="AA49" s="7">
        <f aca="true" t="shared" si="45" ref="AA49:AA63">SUM(W49:Z49)</f>
        <v>29124363.849999994</v>
      </c>
      <c r="AB49" s="7">
        <f t="shared" si="37"/>
        <v>111062789.85</v>
      </c>
      <c r="AC49" s="357">
        <f>+'[4]MER ENE-MAR-11'!$G$285</f>
        <v>20412261</v>
      </c>
      <c r="AD49" s="357">
        <f>+'[4]MER ABR-JUN-11'!$G$349</f>
        <v>29979401</v>
      </c>
      <c r="AE49" s="357">
        <f>+'[4]MER JUL-SEP-11'!$G$295</f>
        <v>31546764</v>
      </c>
      <c r="AF49" s="357">
        <f>+'[4]MER OCT-DIC-11'!$G$315</f>
        <v>27403995</v>
      </c>
      <c r="AG49" s="357">
        <f t="shared" si="38"/>
        <v>109342421</v>
      </c>
      <c r="AH49" s="7">
        <f t="shared" si="39"/>
        <v>0</v>
      </c>
      <c r="AI49" s="7">
        <f t="shared" si="29"/>
        <v>0</v>
      </c>
      <c r="AJ49" s="7">
        <f>+V49-AE49</f>
        <v>0</v>
      </c>
      <c r="AK49" s="7">
        <f t="shared" si="40"/>
        <v>1720368.849999994</v>
      </c>
      <c r="AL49" s="7">
        <f t="shared" si="41"/>
        <v>111062789.85</v>
      </c>
      <c r="AM49" s="7">
        <f t="shared" si="42"/>
        <v>0</v>
      </c>
      <c r="AN49" s="7">
        <f t="shared" si="43"/>
        <v>1720368.849999994</v>
      </c>
      <c r="AO49" s="130">
        <f t="shared" si="31"/>
        <v>0.9845099438585732</v>
      </c>
      <c r="AP49" s="130">
        <f t="shared" si="24"/>
        <v>1</v>
      </c>
      <c r="AQ49" s="130">
        <f t="shared" si="25"/>
        <v>1</v>
      </c>
      <c r="AR49" s="130">
        <f>+AE49/V49</f>
        <v>1</v>
      </c>
      <c r="AS49" s="135">
        <f t="shared" si="44"/>
        <v>0.9409302514259039</v>
      </c>
      <c r="AT49" s="83"/>
    </row>
    <row r="50" spans="1:46" ht="15" customHeight="1" hidden="1" outlineLevel="1">
      <c r="A50" s="234" t="s">
        <v>204</v>
      </c>
      <c r="B50" s="7">
        <v>92481000</v>
      </c>
      <c r="C50" s="36"/>
      <c r="D50" s="36"/>
      <c r="E50" s="36"/>
      <c r="F50" s="36"/>
      <c r="G50" s="36"/>
      <c r="H50" s="357">
        <v>-1535555</v>
      </c>
      <c r="I50" s="7">
        <f t="shared" si="27"/>
        <v>90945445</v>
      </c>
      <c r="J50" s="7">
        <v>50620000</v>
      </c>
      <c r="K50" s="7"/>
      <c r="L50" s="7">
        <v>-2581196</v>
      </c>
      <c r="M50" s="7">
        <f t="shared" si="33"/>
        <v>48038804</v>
      </c>
      <c r="N50" s="7">
        <v>10920000</v>
      </c>
      <c r="O50" s="36"/>
      <c r="P50" s="7">
        <f t="shared" si="34"/>
        <v>-1721991</v>
      </c>
      <c r="Q50" s="7">
        <f t="shared" si="35"/>
        <v>9198009</v>
      </c>
      <c r="R50" s="7">
        <f>14920000+1433496+103890</f>
        <v>16457386</v>
      </c>
      <c r="S50" s="7"/>
      <c r="T50" s="7"/>
      <c r="U50" s="7">
        <f t="shared" si="28"/>
        <v>-3480000</v>
      </c>
      <c r="V50" s="7">
        <f t="shared" si="36"/>
        <v>12977386</v>
      </c>
      <c r="W50" s="7">
        <f>22266801-1535555</f>
        <v>20731246</v>
      </c>
      <c r="X50" s="7"/>
      <c r="Y50" s="7"/>
      <c r="Z50" s="7"/>
      <c r="AA50" s="7">
        <f t="shared" si="45"/>
        <v>20731246</v>
      </c>
      <c r="AB50" s="7">
        <f t="shared" si="37"/>
        <v>90945445</v>
      </c>
      <c r="AC50" s="357">
        <f>+'[4]MER ENE-MAR-11'!$G$319</f>
        <v>48038804</v>
      </c>
      <c r="AD50" s="357">
        <f>+'[4]MER ABR-JUN-11'!$G$392</f>
        <v>9198009</v>
      </c>
      <c r="AE50" s="357">
        <f>+'[4]MER JUL-SEP-11'!$G$342</f>
        <v>12977386</v>
      </c>
      <c r="AF50" s="357">
        <f>+'[4]MER OCT-DIC-11'!$G$367</f>
        <v>20330470</v>
      </c>
      <c r="AG50" s="357">
        <f t="shared" si="38"/>
        <v>90544669</v>
      </c>
      <c r="AH50" s="7">
        <f t="shared" si="39"/>
        <v>0</v>
      </c>
      <c r="AI50" s="7">
        <f t="shared" si="29"/>
        <v>0</v>
      </c>
      <c r="AJ50" s="7">
        <f>+V50-AE50</f>
        <v>0</v>
      </c>
      <c r="AK50" s="7">
        <f t="shared" si="40"/>
        <v>400776</v>
      </c>
      <c r="AL50" s="7">
        <f t="shared" si="41"/>
        <v>90945445</v>
      </c>
      <c r="AM50" s="7">
        <f t="shared" si="42"/>
        <v>0</v>
      </c>
      <c r="AN50" s="7">
        <f t="shared" si="43"/>
        <v>400776</v>
      </c>
      <c r="AO50" s="130">
        <f t="shared" si="31"/>
        <v>0.99559322624679</v>
      </c>
      <c r="AP50" s="130">
        <f t="shared" si="24"/>
        <v>1</v>
      </c>
      <c r="AQ50" s="130">
        <f t="shared" si="25"/>
        <v>1</v>
      </c>
      <c r="AR50" s="130">
        <f>+AE50/V50</f>
        <v>1</v>
      </c>
      <c r="AS50" s="135">
        <f t="shared" si="44"/>
        <v>0.9806680215940711</v>
      </c>
      <c r="AT50" s="83"/>
    </row>
    <row r="51" spans="1:46" ht="15" customHeight="1" hidden="1" outlineLevel="1">
      <c r="A51" s="234" t="s">
        <v>221</v>
      </c>
      <c r="B51" s="7">
        <v>31000000</v>
      </c>
      <c r="C51" s="36"/>
      <c r="D51" s="36"/>
      <c r="E51" s="36"/>
      <c r="F51" s="36"/>
      <c r="G51" s="36"/>
      <c r="H51" s="357">
        <v>-3330000</v>
      </c>
      <c r="I51" s="7">
        <f t="shared" si="27"/>
        <v>27670000</v>
      </c>
      <c r="J51" s="7">
        <v>0</v>
      </c>
      <c r="K51" s="7"/>
      <c r="L51" s="7">
        <v>0</v>
      </c>
      <c r="M51" s="7">
        <f t="shared" si="33"/>
        <v>0</v>
      </c>
      <c r="N51" s="7">
        <f>31000000-7200000</f>
        <v>23800000</v>
      </c>
      <c r="O51" s="36"/>
      <c r="P51" s="7">
        <f t="shared" si="34"/>
        <v>-10135640</v>
      </c>
      <c r="Q51" s="7">
        <f t="shared" si="35"/>
        <v>13664360</v>
      </c>
      <c r="R51" s="7">
        <f>12000000+5335640</f>
        <v>17335640</v>
      </c>
      <c r="S51" s="7"/>
      <c r="T51" s="7"/>
      <c r="U51" s="7">
        <f t="shared" si="28"/>
        <v>-6583686</v>
      </c>
      <c r="V51" s="7">
        <f t="shared" si="36"/>
        <v>10751954</v>
      </c>
      <c r="W51" s="7">
        <f>6583686-3330000</f>
        <v>3253686</v>
      </c>
      <c r="X51" s="7"/>
      <c r="Y51" s="7"/>
      <c r="Z51" s="7"/>
      <c r="AA51" s="7">
        <f t="shared" si="45"/>
        <v>3253686</v>
      </c>
      <c r="AB51" s="7">
        <f t="shared" si="37"/>
        <v>27670000</v>
      </c>
      <c r="AC51" s="357">
        <f>+'[4]MER ENE-MAR-11'!$G$347</f>
        <v>0</v>
      </c>
      <c r="AD51" s="357">
        <f>+'[4]MER ABR-JUN-11'!$G$427</f>
        <v>13664360</v>
      </c>
      <c r="AE51" s="357">
        <f>+'[4]MER JUL-SEP-11'!$G$371</f>
        <v>10751954</v>
      </c>
      <c r="AF51" s="357">
        <f>+'[4]MER OCT-DIC-11'!$G$408</f>
        <v>3244054</v>
      </c>
      <c r="AG51" s="357">
        <f t="shared" si="38"/>
        <v>27660368</v>
      </c>
      <c r="AH51" s="7">
        <f t="shared" si="39"/>
        <v>0</v>
      </c>
      <c r="AI51" s="7"/>
      <c r="AJ51" s="7"/>
      <c r="AK51" s="7">
        <f t="shared" si="40"/>
        <v>9632</v>
      </c>
      <c r="AL51" s="7">
        <f t="shared" si="41"/>
        <v>27670000</v>
      </c>
      <c r="AM51" s="7">
        <f t="shared" si="42"/>
        <v>0</v>
      </c>
      <c r="AN51" s="7">
        <f t="shared" si="43"/>
        <v>9632</v>
      </c>
      <c r="AO51" s="130">
        <f>+AG51/I51</f>
        <v>0.9996518973617636</v>
      </c>
      <c r="AP51" s="130">
        <v>0</v>
      </c>
      <c r="AQ51" s="130">
        <f t="shared" si="25"/>
        <v>1</v>
      </c>
      <c r="AR51" s="130">
        <f>+AE51/V51</f>
        <v>1</v>
      </c>
      <c r="AS51" s="135">
        <f>+AF51/AA51</f>
        <v>0.9970396651674439</v>
      </c>
      <c r="AT51" s="83"/>
    </row>
    <row r="52" spans="1:46" ht="15" customHeight="1" hidden="1" outlineLevel="1">
      <c r="A52" s="234" t="s">
        <v>150</v>
      </c>
      <c r="B52" s="7">
        <v>5250000</v>
      </c>
      <c r="C52" s="36"/>
      <c r="D52" s="36"/>
      <c r="E52" s="36"/>
      <c r="F52" s="36"/>
      <c r="G52" s="36"/>
      <c r="H52" s="357">
        <f>1535555+3330000</f>
        <v>4865555</v>
      </c>
      <c r="I52" s="7">
        <f t="shared" si="27"/>
        <v>10115555</v>
      </c>
      <c r="J52" s="7">
        <v>1000000</v>
      </c>
      <c r="K52" s="7"/>
      <c r="L52" s="7">
        <v>-9360</v>
      </c>
      <c r="M52" s="7">
        <f t="shared" si="33"/>
        <v>990640</v>
      </c>
      <c r="N52" s="7">
        <v>1000000</v>
      </c>
      <c r="O52" s="36"/>
      <c r="P52" s="7">
        <f t="shared" si="34"/>
        <v>-258760</v>
      </c>
      <c r="Q52" s="7">
        <f t="shared" si="35"/>
        <v>741240</v>
      </c>
      <c r="R52" s="7">
        <v>2000000</v>
      </c>
      <c r="S52" s="7"/>
      <c r="T52" s="7"/>
      <c r="U52" s="7">
        <f t="shared" si="28"/>
        <v>-304600</v>
      </c>
      <c r="V52" s="7">
        <f t="shared" si="36"/>
        <v>1695400</v>
      </c>
      <c r="W52" s="7">
        <f>1822720+1535555+3330000</f>
        <v>6688275</v>
      </c>
      <c r="X52" s="7"/>
      <c r="Y52" s="7"/>
      <c r="Z52" s="7"/>
      <c r="AA52" s="7">
        <f t="shared" si="45"/>
        <v>6688275</v>
      </c>
      <c r="AB52" s="7">
        <f t="shared" si="37"/>
        <v>10115555</v>
      </c>
      <c r="AC52" s="357">
        <f>+'[4]MER ENE-MAR-11'!$G$353</f>
        <v>990640</v>
      </c>
      <c r="AD52" s="357">
        <f>+'[4]MER ABR-JUN-11'!$G$433</f>
        <v>741240</v>
      </c>
      <c r="AE52" s="357">
        <f>+'[4]MER JUL-SEP-11'!$G$382</f>
        <v>1695400</v>
      </c>
      <c r="AF52" s="357">
        <f>+'[4]MER OCT-DIC-11'!$G$418</f>
        <v>6687922</v>
      </c>
      <c r="AG52" s="357">
        <f t="shared" si="38"/>
        <v>10115202</v>
      </c>
      <c r="AH52" s="7">
        <f t="shared" si="39"/>
        <v>0</v>
      </c>
      <c r="AI52" s="7">
        <f t="shared" si="29"/>
        <v>0</v>
      </c>
      <c r="AJ52" s="7">
        <f>+V52-AE52</f>
        <v>0</v>
      </c>
      <c r="AK52" s="7">
        <f t="shared" si="40"/>
        <v>353</v>
      </c>
      <c r="AL52" s="7">
        <f t="shared" si="41"/>
        <v>10115555</v>
      </c>
      <c r="AM52" s="7">
        <f t="shared" si="42"/>
        <v>0</v>
      </c>
      <c r="AN52" s="7">
        <f t="shared" si="43"/>
        <v>353</v>
      </c>
      <c r="AO52" s="130">
        <f t="shared" si="31"/>
        <v>0.9999651032494016</v>
      </c>
      <c r="AP52" s="130">
        <f t="shared" si="24"/>
        <v>1</v>
      </c>
      <c r="AQ52" s="130">
        <f t="shared" si="25"/>
        <v>1</v>
      </c>
      <c r="AR52" s="130">
        <f>+AE52/V52</f>
        <v>1</v>
      </c>
      <c r="AS52" s="135">
        <f t="shared" si="44"/>
        <v>0.9999472210697078</v>
      </c>
      <c r="AT52" s="83"/>
    </row>
    <row r="53" spans="1:46" ht="15" customHeight="1" hidden="1" outlineLevel="1">
      <c r="A53" s="234" t="s">
        <v>153</v>
      </c>
      <c r="B53" s="7">
        <v>20000000</v>
      </c>
      <c r="C53" s="36"/>
      <c r="D53" s="36"/>
      <c r="E53" s="36"/>
      <c r="F53" s="36"/>
      <c r="G53" s="36"/>
      <c r="H53" s="373"/>
      <c r="I53" s="7">
        <f t="shared" si="27"/>
        <v>20000000</v>
      </c>
      <c r="J53" s="7">
        <v>4000000</v>
      </c>
      <c r="K53" s="7"/>
      <c r="L53" s="7">
        <v>-108954</v>
      </c>
      <c r="M53" s="7">
        <f t="shared" si="33"/>
        <v>3891046</v>
      </c>
      <c r="N53" s="7">
        <f>8000000+7200000</f>
        <v>15200000</v>
      </c>
      <c r="O53" s="36"/>
      <c r="P53" s="7">
        <f t="shared" si="34"/>
        <v>-321910</v>
      </c>
      <c r="Q53" s="7">
        <f t="shared" si="35"/>
        <v>14878090</v>
      </c>
      <c r="R53" s="7">
        <f>8000000-6769136</f>
        <v>1230864</v>
      </c>
      <c r="S53" s="7"/>
      <c r="T53" s="7"/>
      <c r="U53" s="7">
        <f t="shared" si="28"/>
        <v>-1230864</v>
      </c>
      <c r="V53" s="7">
        <f t="shared" si="36"/>
        <v>0</v>
      </c>
      <c r="W53" s="7">
        <v>1230864</v>
      </c>
      <c r="X53" s="7"/>
      <c r="Y53" s="7"/>
      <c r="Z53" s="7"/>
      <c r="AA53" s="7">
        <f t="shared" si="45"/>
        <v>1230864</v>
      </c>
      <c r="AB53" s="7">
        <f t="shared" si="37"/>
        <v>20000000</v>
      </c>
      <c r="AC53" s="357">
        <f>+'[4]MER ENE-MAR-11'!$G$359</f>
        <v>3891046</v>
      </c>
      <c r="AD53" s="357">
        <f>+'[4]MER ABR-JUN-11'!$G$439</f>
        <v>14878090</v>
      </c>
      <c r="AE53" s="357">
        <f>+'[4]MER JUL-SEP-11'!$G$389</f>
        <v>0</v>
      </c>
      <c r="AF53" s="357">
        <f>+'[4]MER OCT-DIC-11'!$G$430</f>
        <v>1230864</v>
      </c>
      <c r="AG53" s="357">
        <f t="shared" si="38"/>
        <v>20000000</v>
      </c>
      <c r="AH53" s="7">
        <f t="shared" si="39"/>
        <v>0</v>
      </c>
      <c r="AI53" s="7">
        <f t="shared" si="29"/>
        <v>0</v>
      </c>
      <c r="AJ53" s="7">
        <f>+V53-AE53</f>
        <v>0</v>
      </c>
      <c r="AK53" s="7">
        <f t="shared" si="40"/>
        <v>0</v>
      </c>
      <c r="AL53" s="7">
        <f t="shared" si="41"/>
        <v>20000000</v>
      </c>
      <c r="AM53" s="7">
        <f t="shared" si="42"/>
        <v>0</v>
      </c>
      <c r="AN53" s="7">
        <f t="shared" si="43"/>
        <v>0</v>
      </c>
      <c r="AO53" s="130">
        <v>0</v>
      </c>
      <c r="AP53" s="130">
        <f t="shared" si="24"/>
        <v>1</v>
      </c>
      <c r="AQ53" s="130">
        <f t="shared" si="25"/>
        <v>1</v>
      </c>
      <c r="AR53" s="130">
        <v>0</v>
      </c>
      <c r="AS53" s="135">
        <f t="shared" si="44"/>
        <v>1</v>
      </c>
      <c r="AT53" s="83"/>
    </row>
    <row r="54" spans="1:47" s="2" customFormat="1" ht="15" customHeight="1" collapsed="1">
      <c r="A54" s="118" t="s">
        <v>119</v>
      </c>
      <c r="B54" s="36">
        <f aca="true" t="shared" si="46" ref="B54:AH54">SUM(B55:B63)</f>
        <v>1170049200</v>
      </c>
      <c r="C54" s="1">
        <f t="shared" si="46"/>
        <v>-154458505</v>
      </c>
      <c r="D54" s="1">
        <f t="shared" si="46"/>
        <v>-25326493</v>
      </c>
      <c r="E54" s="1">
        <f t="shared" si="46"/>
        <v>0</v>
      </c>
      <c r="F54" s="1">
        <f t="shared" si="46"/>
        <v>196057657</v>
      </c>
      <c r="G54" s="1"/>
      <c r="H54" s="435">
        <f t="shared" si="46"/>
        <v>0</v>
      </c>
      <c r="I54" s="36">
        <f t="shared" si="46"/>
        <v>1186321859</v>
      </c>
      <c r="J54" s="36">
        <f t="shared" si="46"/>
        <v>82179840</v>
      </c>
      <c r="K54" s="36">
        <f t="shared" si="46"/>
        <v>0</v>
      </c>
      <c r="L54" s="36">
        <f>SUM(L55:L63)</f>
        <v>-3020121</v>
      </c>
      <c r="M54" s="36">
        <f t="shared" si="46"/>
        <v>79159719</v>
      </c>
      <c r="N54" s="36">
        <f t="shared" si="46"/>
        <v>335694760</v>
      </c>
      <c r="O54" s="1">
        <f t="shared" si="46"/>
        <v>0</v>
      </c>
      <c r="P54" s="36">
        <f t="shared" si="46"/>
        <v>-10139794</v>
      </c>
      <c r="Q54" s="36">
        <f t="shared" si="46"/>
        <v>325554966</v>
      </c>
      <c r="R54" s="36">
        <f t="shared" si="46"/>
        <v>397429951</v>
      </c>
      <c r="S54" s="36">
        <f t="shared" si="46"/>
        <v>21428573</v>
      </c>
      <c r="T54" s="36"/>
      <c r="U54" s="36">
        <f t="shared" si="46"/>
        <v>-24409837.4</v>
      </c>
      <c r="V54" s="36">
        <f t="shared" si="46"/>
        <v>394448686.6</v>
      </c>
      <c r="W54" s="36">
        <f t="shared" si="46"/>
        <v>387158487.4</v>
      </c>
      <c r="X54" s="36">
        <f t="shared" si="46"/>
        <v>0</v>
      </c>
      <c r="Y54" s="36">
        <f t="shared" si="46"/>
        <v>0</v>
      </c>
      <c r="Z54" s="36">
        <f t="shared" si="46"/>
        <v>0</v>
      </c>
      <c r="AA54" s="36">
        <f t="shared" si="46"/>
        <v>387158487.4</v>
      </c>
      <c r="AB54" s="36">
        <f t="shared" si="46"/>
        <v>1186321859</v>
      </c>
      <c r="AC54" s="373">
        <f t="shared" si="46"/>
        <v>79159719</v>
      </c>
      <c r="AD54" s="373">
        <f t="shared" si="46"/>
        <v>325554966</v>
      </c>
      <c r="AE54" s="373">
        <f t="shared" si="46"/>
        <v>394448686.6</v>
      </c>
      <c r="AF54" s="373">
        <f t="shared" si="46"/>
        <v>331831094</v>
      </c>
      <c r="AG54" s="373">
        <f>SUM(AG55:AG63)</f>
        <v>1130994465.6</v>
      </c>
      <c r="AH54" s="36">
        <f t="shared" si="46"/>
        <v>0</v>
      </c>
      <c r="AI54" s="7">
        <f t="shared" si="29"/>
        <v>0</v>
      </c>
      <c r="AJ54" s="36">
        <f>SUM(AJ55:AJ63)</f>
        <v>0</v>
      </c>
      <c r="AK54" s="36">
        <f>SUM(AK55:AK63)</f>
        <v>55327393.4</v>
      </c>
      <c r="AL54" s="36">
        <f>SUM(AL55:AL63)</f>
        <v>1120480108</v>
      </c>
      <c r="AM54" s="36">
        <f>SUM(AM55:AM63)</f>
        <v>0</v>
      </c>
      <c r="AN54" s="36">
        <f>SUM(AN55:AN63)</f>
        <v>54643675</v>
      </c>
      <c r="AO54" s="133">
        <f aca="true" t="shared" si="47" ref="AO54:AO67">+AG54/I54</f>
        <v>0.9533622406261334</v>
      </c>
      <c r="AP54" s="130">
        <f t="shared" si="24"/>
        <v>1</v>
      </c>
      <c r="AQ54" s="130">
        <f t="shared" si="25"/>
        <v>1</v>
      </c>
      <c r="AR54" s="133">
        <f>+AE54/V54</f>
        <v>1</v>
      </c>
      <c r="AS54" s="136">
        <f t="shared" si="44"/>
        <v>0.8570936833348111</v>
      </c>
      <c r="AT54" s="83"/>
      <c r="AU54" s="3"/>
    </row>
    <row r="55" spans="1:45" ht="15" customHeight="1" hidden="1" outlineLevel="1">
      <c r="A55" s="234" t="s">
        <v>205</v>
      </c>
      <c r="B55" s="7">
        <v>100000000</v>
      </c>
      <c r="C55" s="36"/>
      <c r="D55" s="36"/>
      <c r="E55" s="36"/>
      <c r="F55" s="7">
        <v>25000000</v>
      </c>
      <c r="G55" s="7"/>
      <c r="H55" s="357">
        <v>-1497819</v>
      </c>
      <c r="I55" s="7">
        <f t="shared" si="27"/>
        <v>123502181</v>
      </c>
      <c r="J55" s="7">
        <v>2860000</v>
      </c>
      <c r="K55" s="7"/>
      <c r="L55" s="7">
        <v>-2858</v>
      </c>
      <c r="M55" s="7">
        <f aca="true" t="shared" si="48" ref="M55:M63">SUM(J55:L55)</f>
        <v>2857142</v>
      </c>
      <c r="N55" s="7">
        <f>50000000+7500000</f>
        <v>57500000</v>
      </c>
      <c r="O55" s="36"/>
      <c r="P55" s="7">
        <f aca="true" t="shared" si="49" ref="P55:P62">+AD55-N55-O55</f>
        <v>-3652350</v>
      </c>
      <c r="Q55" s="7">
        <f aca="true" t="shared" si="50" ref="Q55:Q63">SUM(N55:P55)</f>
        <v>53847650</v>
      </c>
      <c r="R55" s="7">
        <f>61859511-18564303</f>
        <v>43295208</v>
      </c>
      <c r="S55" s="7">
        <v>21428573</v>
      </c>
      <c r="T55" s="7"/>
      <c r="U55" s="7">
        <f t="shared" si="28"/>
        <v>-17942528</v>
      </c>
      <c r="V55" s="7">
        <f aca="true" t="shared" si="51" ref="V55:V63">+SUM(R55:U55)</f>
        <v>46781253</v>
      </c>
      <c r="W55" s="7">
        <f>21513955-1497819</f>
        <v>20016136</v>
      </c>
      <c r="X55" s="7"/>
      <c r="Y55" s="7"/>
      <c r="Z55" s="7"/>
      <c r="AA55" s="7">
        <f t="shared" si="45"/>
        <v>20016136</v>
      </c>
      <c r="AB55" s="7">
        <f aca="true" t="shared" si="52" ref="AB55:AB63">+M55+Q55+V55+AA55</f>
        <v>123502181</v>
      </c>
      <c r="AC55" s="357">
        <f>+'[4]MER ENE-MAR-11'!$G$373</f>
        <v>2857142</v>
      </c>
      <c r="AD55" s="357">
        <f>+'[4]MER ABR-JUN-11'!$G$453</f>
        <v>53847650</v>
      </c>
      <c r="AE55" s="357">
        <f>+'[4]MER JUL-SEP-11'!$G$395</f>
        <v>46781253</v>
      </c>
      <c r="AF55" s="357">
        <f>+'[4]MER OCT-DIC-11'!$G$440</f>
        <v>20016136</v>
      </c>
      <c r="AG55" s="357">
        <f aca="true" t="shared" si="53" ref="AG55:AG63">SUM(AC55:AF55)</f>
        <v>123502181</v>
      </c>
      <c r="AH55" s="7">
        <f aca="true" t="shared" si="54" ref="AH55:AH63">+M55-AC55</f>
        <v>0</v>
      </c>
      <c r="AI55" s="7">
        <f t="shared" si="29"/>
        <v>0</v>
      </c>
      <c r="AJ55" s="7">
        <f aca="true" t="shared" si="55" ref="AJ55:AJ63">+V55-AE55</f>
        <v>0</v>
      </c>
      <c r="AK55" s="7">
        <f aca="true" t="shared" si="56" ref="AK55:AK63">+AA55-AF55</f>
        <v>0</v>
      </c>
      <c r="AL55" s="7">
        <f aca="true" t="shared" si="57" ref="AL55:AL63">+AB55</f>
        <v>123502181</v>
      </c>
      <c r="AM55" s="7">
        <f aca="true" t="shared" si="58" ref="AM55:AM63">+I55-AB55</f>
        <v>0</v>
      </c>
      <c r="AN55" s="7">
        <f aca="true" t="shared" si="59" ref="AN55:AN63">+AL55-AG55</f>
        <v>0</v>
      </c>
      <c r="AO55" s="130">
        <f t="shared" si="47"/>
        <v>1</v>
      </c>
      <c r="AP55" s="130">
        <f>+AC55/M55</f>
        <v>1</v>
      </c>
      <c r="AQ55" s="130">
        <f t="shared" si="25"/>
        <v>1</v>
      </c>
      <c r="AR55" s="130">
        <f>+AE55/V55</f>
        <v>1</v>
      </c>
      <c r="AS55" s="135">
        <f aca="true" t="shared" si="60" ref="AS55:AS63">+AF55/AA55</f>
        <v>1</v>
      </c>
    </row>
    <row r="56" spans="1:45" ht="15" customHeight="1" hidden="1" outlineLevel="1">
      <c r="A56" s="234" t="s">
        <v>206</v>
      </c>
      <c r="B56" s="7">
        <v>900000000</v>
      </c>
      <c r="C56" s="34">
        <v>-154458505</v>
      </c>
      <c r="D56" s="236">
        <f>-15000000-10326493</f>
        <v>-25326493</v>
      </c>
      <c r="E56" s="34"/>
      <c r="F56" s="34">
        <f>15000000+136057657</f>
        <v>151057657</v>
      </c>
      <c r="G56" s="34"/>
      <c r="H56" s="436"/>
      <c r="I56" s="7">
        <f t="shared" si="27"/>
        <v>871272659</v>
      </c>
      <c r="J56" s="7">
        <v>50000000</v>
      </c>
      <c r="K56" s="7"/>
      <c r="L56" s="7">
        <v>-1657495</v>
      </c>
      <c r="M56" s="7">
        <f t="shared" si="48"/>
        <v>48342505</v>
      </c>
      <c r="N56" s="7">
        <v>250000000</v>
      </c>
      <c r="O56" s="34"/>
      <c r="P56" s="7">
        <f t="shared" si="49"/>
        <v>-3153151</v>
      </c>
      <c r="Q56" s="7">
        <f t="shared" si="50"/>
        <v>246846849</v>
      </c>
      <c r="R56" s="7">
        <f>295510761+18564302+7500000</f>
        <v>321575063</v>
      </c>
      <c r="S56" s="7"/>
      <c r="T56" s="7"/>
      <c r="U56" s="7">
        <f t="shared" si="28"/>
        <v>-1665773</v>
      </c>
      <c r="V56" s="7">
        <f t="shared" si="51"/>
        <v>319909290</v>
      </c>
      <c r="W56" s="7">
        <v>256174015</v>
      </c>
      <c r="X56" s="34"/>
      <c r="Y56" s="7"/>
      <c r="Z56" s="7"/>
      <c r="AA56" s="7">
        <f t="shared" si="45"/>
        <v>256174015</v>
      </c>
      <c r="AB56" s="7">
        <f t="shared" si="52"/>
        <v>871272659</v>
      </c>
      <c r="AC56" s="357">
        <f>+'[4]MER ENE-MAR-11'!$G$380</f>
        <v>48342505</v>
      </c>
      <c r="AD56" s="357">
        <f>+'[4]MER ABR-JUN-11'!$G$485</f>
        <v>246846849</v>
      </c>
      <c r="AE56" s="357">
        <f>+'[4]MER JUL-SEP-11'!$G$420</f>
        <v>319909290</v>
      </c>
      <c r="AF56" s="357">
        <f>+'[4]MER OCT-DIC-11'!$G$451</f>
        <v>203837511</v>
      </c>
      <c r="AG56" s="357">
        <f t="shared" si="53"/>
        <v>818936155</v>
      </c>
      <c r="AH56" s="7">
        <f t="shared" si="54"/>
        <v>0</v>
      </c>
      <c r="AI56" s="7">
        <f t="shared" si="29"/>
        <v>0</v>
      </c>
      <c r="AJ56" s="7">
        <f t="shared" si="55"/>
        <v>0</v>
      </c>
      <c r="AK56" s="7">
        <f t="shared" si="56"/>
        <v>52336504</v>
      </c>
      <c r="AL56" s="7">
        <f t="shared" si="57"/>
        <v>871272659</v>
      </c>
      <c r="AM56" s="7">
        <f t="shared" si="58"/>
        <v>0</v>
      </c>
      <c r="AN56" s="7">
        <f t="shared" si="59"/>
        <v>52336504</v>
      </c>
      <c r="AO56" s="130">
        <f aca="true" t="shared" si="61" ref="AO56:AO62">+AG56/I56</f>
        <v>0.9399309694165441</v>
      </c>
      <c r="AP56" s="130">
        <f aca="true" t="shared" si="62" ref="AP56:AP62">+AC56/M56</f>
        <v>1</v>
      </c>
      <c r="AQ56" s="130">
        <f aca="true" t="shared" si="63" ref="AQ56:AQ62">+AD56/Q56</f>
        <v>1</v>
      </c>
      <c r="AR56" s="130">
        <f aca="true" t="shared" si="64" ref="AR56:AR62">+AE56/V56</f>
        <v>1</v>
      </c>
      <c r="AS56" s="135">
        <f t="shared" si="60"/>
        <v>0.7956994037822298</v>
      </c>
    </row>
    <row r="57" spans="1:45" ht="15" customHeight="1" hidden="1" outlineLevel="1">
      <c r="A57" s="234" t="s">
        <v>207</v>
      </c>
      <c r="B57" s="7">
        <v>0</v>
      </c>
      <c r="C57" s="34"/>
      <c r="D57" s="34"/>
      <c r="E57" s="34"/>
      <c r="F57" s="34"/>
      <c r="G57" s="34"/>
      <c r="H57" s="436"/>
      <c r="I57" s="7">
        <f t="shared" si="27"/>
        <v>0</v>
      </c>
      <c r="J57" s="7">
        <v>0</v>
      </c>
      <c r="K57" s="7"/>
      <c r="L57" s="7">
        <v>0</v>
      </c>
      <c r="M57" s="7">
        <f t="shared" si="48"/>
        <v>0</v>
      </c>
      <c r="N57" s="7"/>
      <c r="O57" s="34"/>
      <c r="P57" s="7">
        <f t="shared" si="49"/>
        <v>0</v>
      </c>
      <c r="Q57" s="7">
        <f t="shared" si="50"/>
        <v>0</v>
      </c>
      <c r="R57" s="7">
        <v>0</v>
      </c>
      <c r="S57" s="7"/>
      <c r="T57" s="7"/>
      <c r="U57" s="7">
        <f t="shared" si="28"/>
        <v>0</v>
      </c>
      <c r="V57" s="7">
        <f t="shared" si="51"/>
        <v>0</v>
      </c>
      <c r="W57" s="7">
        <v>0</v>
      </c>
      <c r="X57" s="34"/>
      <c r="Y57" s="7"/>
      <c r="Z57" s="7"/>
      <c r="AA57" s="7">
        <f t="shared" si="45"/>
        <v>0</v>
      </c>
      <c r="AB57" s="7">
        <f t="shared" si="52"/>
        <v>0</v>
      </c>
      <c r="AC57" s="357">
        <f>+'[4]MER ENE-MAR-11'!$G$392</f>
        <v>0</v>
      </c>
      <c r="AD57" s="357">
        <f>+'[4]MER ABR-JUN-11'!$G$512</f>
        <v>0</v>
      </c>
      <c r="AE57" s="357">
        <f>+'[4]MER JUL-SEP-11'!$G$447</f>
        <v>0</v>
      </c>
      <c r="AF57" s="357">
        <f>+'[4]MER OCT-DIC-11'!$G$469</f>
        <v>0</v>
      </c>
      <c r="AG57" s="357">
        <f t="shared" si="53"/>
        <v>0</v>
      </c>
      <c r="AH57" s="7">
        <f t="shared" si="54"/>
        <v>0</v>
      </c>
      <c r="AI57" s="7">
        <f t="shared" si="29"/>
        <v>0</v>
      </c>
      <c r="AJ57" s="7">
        <f t="shared" si="55"/>
        <v>0</v>
      </c>
      <c r="AK57" s="7">
        <f t="shared" si="56"/>
        <v>0</v>
      </c>
      <c r="AL57" s="7">
        <f t="shared" si="57"/>
        <v>0</v>
      </c>
      <c r="AM57" s="7">
        <f t="shared" si="58"/>
        <v>0</v>
      </c>
      <c r="AN57" s="7">
        <f t="shared" si="59"/>
        <v>0</v>
      </c>
      <c r="AO57" s="130">
        <v>0</v>
      </c>
      <c r="AP57" s="130">
        <v>0</v>
      </c>
      <c r="AQ57" s="130">
        <v>0</v>
      </c>
      <c r="AR57" s="130">
        <v>0</v>
      </c>
      <c r="AS57" s="135" t="e">
        <f t="shared" si="60"/>
        <v>#DIV/0!</v>
      </c>
    </row>
    <row r="58" spans="1:45" ht="15" customHeight="1" hidden="1" outlineLevel="1">
      <c r="A58" s="234" t="s">
        <v>208</v>
      </c>
      <c r="B58" s="7">
        <v>15000000</v>
      </c>
      <c r="C58" s="34"/>
      <c r="D58" s="34"/>
      <c r="E58" s="34"/>
      <c r="F58" s="34"/>
      <c r="G58" s="34"/>
      <c r="H58" s="436">
        <v>-943932</v>
      </c>
      <c r="I58" s="7">
        <f t="shared" si="27"/>
        <v>14056068</v>
      </c>
      <c r="J58" s="7">
        <v>0</v>
      </c>
      <c r="K58" s="7"/>
      <c r="L58" s="7">
        <v>0</v>
      </c>
      <c r="M58" s="7">
        <f t="shared" si="48"/>
        <v>0</v>
      </c>
      <c r="N58" s="7">
        <f>7500000-7500000</f>
        <v>0</v>
      </c>
      <c r="O58" s="34"/>
      <c r="P58" s="7">
        <f t="shared" si="49"/>
        <v>0</v>
      </c>
      <c r="Q58" s="7">
        <f t="shared" si="50"/>
        <v>0</v>
      </c>
      <c r="R58" s="7">
        <f>7500000-7500000</f>
        <v>0</v>
      </c>
      <c r="S58" s="7"/>
      <c r="T58" s="7"/>
      <c r="U58" s="7">
        <f t="shared" si="28"/>
        <v>0</v>
      </c>
      <c r="V58" s="7">
        <f t="shared" si="51"/>
        <v>0</v>
      </c>
      <c r="W58" s="7">
        <f>15000000-943932</f>
        <v>14056068</v>
      </c>
      <c r="X58" s="34"/>
      <c r="Y58" s="7"/>
      <c r="Z58" s="7"/>
      <c r="AA58" s="7">
        <f t="shared" si="45"/>
        <v>14056068</v>
      </c>
      <c r="AB58" s="7">
        <f t="shared" si="52"/>
        <v>14056068</v>
      </c>
      <c r="AC58" s="357">
        <f>+'[4]MER ENE-MAR-11'!$G$396</f>
        <v>0</v>
      </c>
      <c r="AD58" s="357">
        <f>+'[4]MER ABR-JUN-11'!$G$517</f>
        <v>0</v>
      </c>
      <c r="AE58" s="357">
        <f>+'[4]MER JUL-SEP-11'!$G$450</f>
        <v>0</v>
      </c>
      <c r="AF58" s="357">
        <f>+'[4]MER OCT-DIC-11'!$G$474</f>
        <v>14056068</v>
      </c>
      <c r="AG58" s="357">
        <f t="shared" si="53"/>
        <v>14056068</v>
      </c>
      <c r="AH58" s="7">
        <f t="shared" si="54"/>
        <v>0</v>
      </c>
      <c r="AI58" s="7">
        <f t="shared" si="29"/>
        <v>0</v>
      </c>
      <c r="AJ58" s="7">
        <f t="shared" si="55"/>
        <v>0</v>
      </c>
      <c r="AK58" s="7">
        <f t="shared" si="56"/>
        <v>0</v>
      </c>
      <c r="AL58" s="7">
        <f t="shared" si="57"/>
        <v>14056068</v>
      </c>
      <c r="AM58" s="7">
        <f t="shared" si="58"/>
        <v>0</v>
      </c>
      <c r="AN58" s="7">
        <f t="shared" si="59"/>
        <v>0</v>
      </c>
      <c r="AO58" s="130">
        <f t="shared" si="61"/>
        <v>1</v>
      </c>
      <c r="AP58" s="130">
        <v>0</v>
      </c>
      <c r="AQ58" s="130">
        <v>0</v>
      </c>
      <c r="AR58" s="130">
        <v>0</v>
      </c>
      <c r="AS58" s="135">
        <f t="shared" si="60"/>
        <v>1</v>
      </c>
    </row>
    <row r="59" spans="1:45" ht="15" customHeight="1" hidden="1" outlineLevel="1">
      <c r="A59" s="234" t="s">
        <v>209</v>
      </c>
      <c r="B59" s="7">
        <v>43400000</v>
      </c>
      <c r="C59" s="34"/>
      <c r="D59" s="34"/>
      <c r="E59" s="34"/>
      <c r="F59" s="34"/>
      <c r="G59" s="34"/>
      <c r="H59" s="436">
        <f>1497819+943932</f>
        <v>2441751</v>
      </c>
      <c r="I59" s="7">
        <f t="shared" si="27"/>
        <v>45841751</v>
      </c>
      <c r="J59" s="7">
        <v>18500000</v>
      </c>
      <c r="K59" s="7"/>
      <c r="L59" s="7">
        <v>-12558</v>
      </c>
      <c r="M59" s="7">
        <f t="shared" si="48"/>
        <v>18487442</v>
      </c>
      <c r="N59" s="7">
        <v>9200000</v>
      </c>
      <c r="O59" s="34"/>
      <c r="P59" s="7">
        <f t="shared" si="49"/>
        <v>-1179528</v>
      </c>
      <c r="Q59" s="7">
        <f t="shared" si="50"/>
        <v>8020472</v>
      </c>
      <c r="R59" s="7">
        <v>10000000</v>
      </c>
      <c r="S59" s="7"/>
      <c r="T59" s="7"/>
      <c r="U59" s="7">
        <f t="shared" si="28"/>
        <v>-348800.4000000004</v>
      </c>
      <c r="V59" s="7">
        <f t="shared" si="51"/>
        <v>9651199.6</v>
      </c>
      <c r="W59" s="7">
        <f>7240886.4+1497819+943932</f>
        <v>9682637.4</v>
      </c>
      <c r="X59" s="34"/>
      <c r="Y59" s="7"/>
      <c r="Z59" s="7"/>
      <c r="AA59" s="7">
        <f t="shared" si="45"/>
        <v>9682637.4</v>
      </c>
      <c r="AB59" s="7">
        <f t="shared" si="52"/>
        <v>45841751</v>
      </c>
      <c r="AC59" s="357">
        <f>+'[4]MER ENE-MAR-11'!$G$401</f>
        <v>18487442</v>
      </c>
      <c r="AD59" s="357">
        <f>+'[4]MER ABR-JUN-11'!$G$526</f>
        <v>8020472</v>
      </c>
      <c r="AE59" s="357">
        <f>+'[4]MER JUL-SEP-11'!$G$454</f>
        <v>9651199.6</v>
      </c>
      <c r="AF59" s="357">
        <f>+'[4]MER OCT-DIC-11'!$G$483</f>
        <v>9643998</v>
      </c>
      <c r="AG59" s="357">
        <f t="shared" si="53"/>
        <v>45803111.6</v>
      </c>
      <c r="AH59" s="7">
        <f t="shared" si="54"/>
        <v>0</v>
      </c>
      <c r="AI59" s="7">
        <f t="shared" si="29"/>
        <v>0</v>
      </c>
      <c r="AJ59" s="7">
        <f t="shared" si="55"/>
        <v>0</v>
      </c>
      <c r="AK59" s="7">
        <f t="shared" si="56"/>
        <v>38639.40000000037</v>
      </c>
      <c r="AL59" s="7"/>
      <c r="AM59" s="7">
        <f t="shared" si="58"/>
        <v>0</v>
      </c>
      <c r="AN59" s="7"/>
      <c r="AO59" s="130">
        <f t="shared" si="61"/>
        <v>0.9991571133484844</v>
      </c>
      <c r="AP59" s="130">
        <f t="shared" si="62"/>
        <v>1</v>
      </c>
      <c r="AQ59" s="130">
        <f t="shared" si="63"/>
        <v>1</v>
      </c>
      <c r="AR59" s="130">
        <f t="shared" si="64"/>
        <v>1</v>
      </c>
      <c r="AS59" s="135">
        <f t="shared" si="60"/>
        <v>0.996009413716143</v>
      </c>
    </row>
    <row r="60" spans="1:45" ht="15" customHeight="1" hidden="1" outlineLevel="1">
      <c r="A60" s="234" t="s">
        <v>210</v>
      </c>
      <c r="B60" s="7">
        <v>5000000</v>
      </c>
      <c r="C60" s="34"/>
      <c r="D60" s="34"/>
      <c r="E60" s="34"/>
      <c r="F60" s="34"/>
      <c r="G60" s="34"/>
      <c r="H60" s="436">
        <v>-300000</v>
      </c>
      <c r="I60" s="7">
        <f t="shared" si="27"/>
        <v>4700000</v>
      </c>
      <c r="J60" s="7">
        <v>1000000</v>
      </c>
      <c r="K60" s="7"/>
      <c r="L60" s="7">
        <v>-470000</v>
      </c>
      <c r="M60" s="7">
        <f t="shared" si="48"/>
        <v>530000</v>
      </c>
      <c r="N60" s="7">
        <v>1500000</v>
      </c>
      <c r="O60" s="34"/>
      <c r="P60" s="7">
        <f t="shared" si="49"/>
        <v>-35750</v>
      </c>
      <c r="Q60" s="7">
        <f t="shared" si="50"/>
        <v>1464250</v>
      </c>
      <c r="R60" s="7">
        <v>2000000</v>
      </c>
      <c r="S60" s="7"/>
      <c r="T60" s="7"/>
      <c r="U60" s="7">
        <f t="shared" si="28"/>
        <v>0</v>
      </c>
      <c r="V60" s="7">
        <f t="shared" si="51"/>
        <v>2000000</v>
      </c>
      <c r="W60" s="7">
        <f>1005750-300000</f>
        <v>705750</v>
      </c>
      <c r="X60" s="34"/>
      <c r="Y60" s="7"/>
      <c r="Z60" s="7"/>
      <c r="AA60" s="7">
        <f t="shared" si="45"/>
        <v>705750</v>
      </c>
      <c r="AB60" s="7">
        <f t="shared" si="52"/>
        <v>4700000</v>
      </c>
      <c r="AC60" s="357">
        <f>+'[4]MER ENE-MAR-11'!$G$409</f>
        <v>530000</v>
      </c>
      <c r="AD60" s="357">
        <f>+'[4]MER ABR-JUN-11'!$G$536</f>
        <v>1464250</v>
      </c>
      <c r="AE60" s="357">
        <f>+'[4]MER JUL-SEP-11'!$G$461</f>
        <v>2000000</v>
      </c>
      <c r="AF60" s="357">
        <f>+'[4]MER OCT-DIC-11'!$G$492</f>
        <v>350000</v>
      </c>
      <c r="AG60" s="357">
        <f t="shared" si="53"/>
        <v>4344250</v>
      </c>
      <c r="AH60" s="7">
        <f t="shared" si="54"/>
        <v>0</v>
      </c>
      <c r="AI60" s="7">
        <f t="shared" si="29"/>
        <v>0</v>
      </c>
      <c r="AJ60" s="7">
        <f t="shared" si="55"/>
        <v>0</v>
      </c>
      <c r="AK60" s="7">
        <f t="shared" si="56"/>
        <v>355750</v>
      </c>
      <c r="AL60" s="7"/>
      <c r="AM60" s="7">
        <f t="shared" si="58"/>
        <v>0</v>
      </c>
      <c r="AN60" s="7"/>
      <c r="AO60" s="130">
        <f t="shared" si="61"/>
        <v>0.9243085106382979</v>
      </c>
      <c r="AP60" s="130">
        <f t="shared" si="62"/>
        <v>1</v>
      </c>
      <c r="AQ60" s="130">
        <f t="shared" si="63"/>
        <v>1</v>
      </c>
      <c r="AR60" s="130">
        <f t="shared" si="64"/>
        <v>1</v>
      </c>
      <c r="AS60" s="135">
        <f t="shared" si="60"/>
        <v>0.495926319518243</v>
      </c>
    </row>
    <row r="61" spans="1:45" ht="15" customHeight="1" hidden="1" outlineLevel="1">
      <c r="A61" s="234" t="s">
        <v>211</v>
      </c>
      <c r="B61" s="7">
        <v>15000000</v>
      </c>
      <c r="C61" s="34"/>
      <c r="D61" s="34"/>
      <c r="E61" s="34"/>
      <c r="F61" s="34"/>
      <c r="G61" s="34"/>
      <c r="H61" s="436">
        <v>300000</v>
      </c>
      <c r="I61" s="7">
        <f>SUM(B61:H61)</f>
        <v>15300000</v>
      </c>
      <c r="J61" s="7">
        <v>4350000</v>
      </c>
      <c r="K61" s="7"/>
      <c r="L61" s="7">
        <v>-335936</v>
      </c>
      <c r="M61" s="7">
        <f t="shared" si="48"/>
        <v>4014064</v>
      </c>
      <c r="N61" s="7">
        <v>5000000</v>
      </c>
      <c r="O61" s="34"/>
      <c r="P61" s="7">
        <f t="shared" si="49"/>
        <v>-15637</v>
      </c>
      <c r="Q61" s="7">
        <f t="shared" si="50"/>
        <v>4984363</v>
      </c>
      <c r="R61" s="7">
        <f>4600000</f>
        <v>4600000</v>
      </c>
      <c r="S61" s="7"/>
      <c r="T61" s="7"/>
      <c r="U61" s="7">
        <f t="shared" si="28"/>
        <v>-11112</v>
      </c>
      <c r="V61" s="7">
        <f t="shared" si="51"/>
        <v>4588888</v>
      </c>
      <c r="W61" s="7">
        <f>1412685+300000</f>
        <v>1712685</v>
      </c>
      <c r="X61" s="34"/>
      <c r="Y61" s="7"/>
      <c r="Z61" s="7"/>
      <c r="AA61" s="7">
        <f t="shared" si="45"/>
        <v>1712685</v>
      </c>
      <c r="AB61" s="7">
        <f t="shared" si="52"/>
        <v>15300000</v>
      </c>
      <c r="AC61" s="357">
        <f>+'[4]MER ENE-MAR-11'!$G$415</f>
        <v>4014064</v>
      </c>
      <c r="AD61" s="357">
        <f>+'[4]MER ABR-JUN-11'!$G$548</f>
        <v>4984363</v>
      </c>
      <c r="AE61" s="357">
        <f>+'[4]MER JUL-SEP-11'!$G$468</f>
        <v>4588888</v>
      </c>
      <c r="AF61" s="357">
        <f>+'[4]MER OCT-DIC-11'!$G$500</f>
        <v>1423356</v>
      </c>
      <c r="AG61" s="357">
        <f t="shared" si="53"/>
        <v>15010671</v>
      </c>
      <c r="AH61" s="7">
        <f t="shared" si="54"/>
        <v>0</v>
      </c>
      <c r="AI61" s="7">
        <f t="shared" si="29"/>
        <v>0</v>
      </c>
      <c r="AJ61" s="7">
        <f t="shared" si="55"/>
        <v>0</v>
      </c>
      <c r="AK61" s="7">
        <f t="shared" si="56"/>
        <v>289329</v>
      </c>
      <c r="AL61" s="7"/>
      <c r="AM61" s="7">
        <f t="shared" si="58"/>
        <v>0</v>
      </c>
      <c r="AN61" s="7"/>
      <c r="AO61" s="130">
        <f t="shared" si="61"/>
        <v>0.9810896078431373</v>
      </c>
      <c r="AP61" s="130">
        <f t="shared" si="62"/>
        <v>1</v>
      </c>
      <c r="AQ61" s="130">
        <f t="shared" si="63"/>
        <v>1</v>
      </c>
      <c r="AR61" s="130">
        <f t="shared" si="64"/>
        <v>1</v>
      </c>
      <c r="AS61" s="135">
        <f t="shared" si="60"/>
        <v>0.8310670088194851</v>
      </c>
    </row>
    <row r="62" spans="1:45" ht="15" customHeight="1" hidden="1" outlineLevel="1">
      <c r="A62" s="234" t="s">
        <v>212</v>
      </c>
      <c r="B62" s="7">
        <v>41649200</v>
      </c>
      <c r="C62" s="36"/>
      <c r="D62" s="36"/>
      <c r="E62" s="36"/>
      <c r="F62" s="36"/>
      <c r="G62" s="36"/>
      <c r="H62" s="373"/>
      <c r="I62" s="7">
        <f>SUM(B62:H62)</f>
        <v>41649200</v>
      </c>
      <c r="J62" s="7">
        <f>8329840-2860000</f>
        <v>5469840</v>
      </c>
      <c r="K62" s="7"/>
      <c r="L62" s="7">
        <v>-541274</v>
      </c>
      <c r="M62" s="7">
        <f t="shared" si="48"/>
        <v>4928566</v>
      </c>
      <c r="N62" s="7">
        <v>12494760</v>
      </c>
      <c r="O62" s="36"/>
      <c r="P62" s="7">
        <f t="shared" si="49"/>
        <v>-2103378</v>
      </c>
      <c r="Q62" s="7">
        <f t="shared" si="50"/>
        <v>10391382</v>
      </c>
      <c r="R62" s="7">
        <f>15959680</f>
        <v>15959680</v>
      </c>
      <c r="S62" s="7"/>
      <c r="T62" s="7"/>
      <c r="U62" s="7">
        <f t="shared" si="28"/>
        <v>-4441624</v>
      </c>
      <c r="V62" s="7">
        <f t="shared" si="51"/>
        <v>11518056</v>
      </c>
      <c r="W62" s="7">
        <v>14811196</v>
      </c>
      <c r="X62" s="7"/>
      <c r="Y62" s="7"/>
      <c r="Z62" s="7"/>
      <c r="AA62" s="7">
        <f t="shared" si="45"/>
        <v>14811196</v>
      </c>
      <c r="AB62" s="7">
        <f t="shared" si="52"/>
        <v>41649200</v>
      </c>
      <c r="AC62" s="357">
        <f>+'[4]MER ENE-MAR-11'!$G$423</f>
        <v>4928566</v>
      </c>
      <c r="AD62" s="357">
        <f>+'[4]MER ABR-JUN-11'!$G$559</f>
        <v>10391382</v>
      </c>
      <c r="AE62" s="357">
        <f>+'[4]MER JUL-SEP-11'!$G$486</f>
        <v>11518056</v>
      </c>
      <c r="AF62" s="357">
        <f>+'[4]MER OCT-DIC-11'!$G$514</f>
        <v>12505169</v>
      </c>
      <c r="AG62" s="357">
        <f t="shared" si="53"/>
        <v>39343173</v>
      </c>
      <c r="AH62" s="7">
        <f t="shared" si="54"/>
        <v>0</v>
      </c>
      <c r="AI62" s="7">
        <f t="shared" si="29"/>
        <v>0</v>
      </c>
      <c r="AJ62" s="7">
        <f t="shared" si="55"/>
        <v>0</v>
      </c>
      <c r="AK62" s="7">
        <f t="shared" si="56"/>
        <v>2306027</v>
      </c>
      <c r="AL62" s="7">
        <f t="shared" si="57"/>
        <v>41649200</v>
      </c>
      <c r="AM62" s="7">
        <f t="shared" si="58"/>
        <v>0</v>
      </c>
      <c r="AN62" s="7">
        <f t="shared" si="59"/>
        <v>2306027</v>
      </c>
      <c r="AO62" s="130">
        <f t="shared" si="61"/>
        <v>0.94463214179384</v>
      </c>
      <c r="AP62" s="130">
        <f t="shared" si="62"/>
        <v>1</v>
      </c>
      <c r="AQ62" s="130">
        <f t="shared" si="63"/>
        <v>1</v>
      </c>
      <c r="AR62" s="130">
        <f t="shared" si="64"/>
        <v>1</v>
      </c>
      <c r="AS62" s="135">
        <f t="shared" si="60"/>
        <v>0.8443051459179934</v>
      </c>
    </row>
    <row r="63" spans="1:45" ht="15" customHeight="1" hidden="1" outlineLevel="1">
      <c r="A63" s="234" t="s">
        <v>213</v>
      </c>
      <c r="B63" s="7">
        <v>50000000</v>
      </c>
      <c r="C63" s="34"/>
      <c r="D63" s="34"/>
      <c r="E63" s="34"/>
      <c r="F63" s="34">
        <v>20000000</v>
      </c>
      <c r="G63" s="34"/>
      <c r="H63" s="436"/>
      <c r="I63" s="7">
        <f t="shared" si="27"/>
        <v>70000000</v>
      </c>
      <c r="J63" s="7">
        <v>0</v>
      </c>
      <c r="K63" s="7"/>
      <c r="L63" s="7">
        <v>0</v>
      </c>
      <c r="M63" s="7">
        <f t="shared" si="48"/>
        <v>0</v>
      </c>
      <c r="N63" s="7"/>
      <c r="O63" s="34"/>
      <c r="P63" s="7"/>
      <c r="Q63" s="7">
        <f t="shared" si="50"/>
        <v>0</v>
      </c>
      <c r="R63" s="7">
        <v>0</v>
      </c>
      <c r="S63" s="7"/>
      <c r="T63" s="7"/>
      <c r="U63" s="7">
        <f t="shared" si="28"/>
        <v>0</v>
      </c>
      <c r="V63" s="7">
        <f t="shared" si="51"/>
        <v>0</v>
      </c>
      <c r="W63" s="7">
        <v>70000000</v>
      </c>
      <c r="X63" s="7"/>
      <c r="Y63" s="7"/>
      <c r="Z63" s="7"/>
      <c r="AA63" s="7">
        <f t="shared" si="45"/>
        <v>70000000</v>
      </c>
      <c r="AB63" s="7">
        <f t="shared" si="52"/>
        <v>70000000</v>
      </c>
      <c r="AC63" s="357">
        <f>+'[4]MER ENE-MAR-11'!$G$433</f>
        <v>0</v>
      </c>
      <c r="AD63" s="357">
        <f>+'[4]MER ABR-JUN-11'!$G$574</f>
        <v>0</v>
      </c>
      <c r="AE63" s="357">
        <f>+'[4]MER JUL-SEP-11'!$G$499</f>
        <v>0</v>
      </c>
      <c r="AF63" s="357">
        <f>+'[4]MER OCT-DIC-11'!$G$531</f>
        <v>69998856</v>
      </c>
      <c r="AG63" s="357">
        <f t="shared" si="53"/>
        <v>69998856</v>
      </c>
      <c r="AH63" s="7">
        <f t="shared" si="54"/>
        <v>0</v>
      </c>
      <c r="AI63" s="7">
        <f t="shared" si="29"/>
        <v>0</v>
      </c>
      <c r="AJ63" s="7">
        <f t="shared" si="55"/>
        <v>0</v>
      </c>
      <c r="AK63" s="7">
        <f t="shared" si="56"/>
        <v>1144</v>
      </c>
      <c r="AL63" s="7">
        <f t="shared" si="57"/>
        <v>70000000</v>
      </c>
      <c r="AM63" s="7">
        <f t="shared" si="58"/>
        <v>0</v>
      </c>
      <c r="AN63" s="7">
        <f t="shared" si="59"/>
        <v>1144</v>
      </c>
      <c r="AO63" s="130">
        <f t="shared" si="47"/>
        <v>0.9999836571428572</v>
      </c>
      <c r="AP63" s="130">
        <v>0</v>
      </c>
      <c r="AQ63" s="130">
        <v>0</v>
      </c>
      <c r="AR63" s="130">
        <v>0</v>
      </c>
      <c r="AS63" s="135">
        <f t="shared" si="60"/>
        <v>0.9999836571428572</v>
      </c>
    </row>
    <row r="64" spans="1:45" ht="15" customHeight="1" collapsed="1">
      <c r="A64" s="118" t="s">
        <v>120</v>
      </c>
      <c r="B64" s="97">
        <f>SUM(B65:B67)</f>
        <v>356139131.3584</v>
      </c>
      <c r="C64" s="97">
        <f>SUM(C65:C67)</f>
        <v>0</v>
      </c>
      <c r="D64" s="97">
        <f>SUM(D65:D67)</f>
        <v>0</v>
      </c>
      <c r="E64" s="97">
        <f>SUM(E65:E67)</f>
        <v>0</v>
      </c>
      <c r="F64" s="97">
        <f>SUM(F65:F67)</f>
        <v>20000000</v>
      </c>
      <c r="G64" s="97"/>
      <c r="H64" s="393">
        <f aca="true" t="shared" si="65" ref="H64:P64">SUM(H65:H67)</f>
        <v>0</v>
      </c>
      <c r="I64" s="97">
        <f t="shared" si="65"/>
        <v>376139131.3584</v>
      </c>
      <c r="J64" s="97">
        <f t="shared" si="65"/>
        <v>16946688</v>
      </c>
      <c r="K64" s="97">
        <f t="shared" si="65"/>
        <v>0</v>
      </c>
      <c r="L64" s="97">
        <f t="shared" si="65"/>
        <v>-607084</v>
      </c>
      <c r="M64" s="36">
        <f t="shared" si="65"/>
        <v>16339604</v>
      </c>
      <c r="N64" s="97">
        <f t="shared" si="65"/>
        <v>274327640</v>
      </c>
      <c r="O64" s="97">
        <f t="shared" si="65"/>
        <v>0</v>
      </c>
      <c r="P64" s="97">
        <f t="shared" si="65"/>
        <v>-209852604</v>
      </c>
      <c r="Q64" s="36">
        <f>+N64+P64</f>
        <v>64475036</v>
      </c>
      <c r="R64" s="97">
        <f>SUM(R65:R67)</f>
        <v>248115550</v>
      </c>
      <c r="S64" s="97">
        <f>SUM(S65:S67)</f>
        <v>0</v>
      </c>
      <c r="T64" s="97"/>
      <c r="U64" s="97">
        <f aca="true" t="shared" si="66" ref="U64:AH64">SUM(U65:U67)</f>
        <v>-10195283</v>
      </c>
      <c r="V64" s="97">
        <f t="shared" si="66"/>
        <v>237920267</v>
      </c>
      <c r="W64" s="97">
        <f t="shared" si="66"/>
        <v>57404224.3584</v>
      </c>
      <c r="X64" s="97">
        <f t="shared" si="66"/>
        <v>0</v>
      </c>
      <c r="Y64" s="97">
        <f t="shared" si="66"/>
        <v>0</v>
      </c>
      <c r="Z64" s="97">
        <f t="shared" si="66"/>
        <v>0</v>
      </c>
      <c r="AA64" s="97">
        <f t="shared" si="66"/>
        <v>57404224.3584</v>
      </c>
      <c r="AB64" s="97">
        <f t="shared" si="66"/>
        <v>376139131.3584</v>
      </c>
      <c r="AC64" s="393">
        <f t="shared" si="66"/>
        <v>16339604</v>
      </c>
      <c r="AD64" s="393">
        <f t="shared" si="66"/>
        <v>64475036</v>
      </c>
      <c r="AE64" s="393">
        <f t="shared" si="66"/>
        <v>237920267</v>
      </c>
      <c r="AF64" s="393">
        <f t="shared" si="66"/>
        <v>54489003</v>
      </c>
      <c r="AG64" s="393">
        <f t="shared" si="66"/>
        <v>373223910</v>
      </c>
      <c r="AH64" s="97">
        <f t="shared" si="66"/>
        <v>0</v>
      </c>
      <c r="AI64" s="7">
        <f t="shared" si="29"/>
        <v>0</v>
      </c>
      <c r="AJ64" s="97">
        <f>SUM(AJ65:AJ67)</f>
        <v>0</v>
      </c>
      <c r="AK64" s="97">
        <f>SUM(AK65:AK67)</f>
        <v>2915221.3583999984</v>
      </c>
      <c r="AL64" s="97">
        <f>SUM(AL65:AL67)</f>
        <v>376139131.3584</v>
      </c>
      <c r="AM64" s="97">
        <f>SUM(AM65:AM67)</f>
        <v>0</v>
      </c>
      <c r="AN64" s="97">
        <f>SUM(AN65:AN67)</f>
        <v>2915221.358400002</v>
      </c>
      <c r="AO64" s="133">
        <f t="shared" si="47"/>
        <v>0.9922496195812653</v>
      </c>
      <c r="AP64" s="130">
        <f>+AC64/M64</f>
        <v>1</v>
      </c>
      <c r="AQ64" s="130">
        <f t="shared" si="25"/>
        <v>1</v>
      </c>
      <c r="AR64" s="133">
        <f>+AE64/V64</f>
        <v>1</v>
      </c>
      <c r="AS64" s="136">
        <f aca="true" t="shared" si="67" ref="AS64:AS73">+AF64/AA64</f>
        <v>0.9492159089164068</v>
      </c>
    </row>
    <row r="65" spans="1:45" ht="15" customHeight="1" hidden="1" outlineLevel="1">
      <c r="A65" s="234" t="s">
        <v>214</v>
      </c>
      <c r="B65" s="7">
        <v>73739131.3584</v>
      </c>
      <c r="C65" s="97"/>
      <c r="D65" s="97"/>
      <c r="E65" s="97"/>
      <c r="F65" s="97"/>
      <c r="G65" s="97"/>
      <c r="H65" s="384">
        <f>4000000+153880</f>
        <v>4153880</v>
      </c>
      <c r="I65" s="7">
        <f>SUM(B65:H65)</f>
        <v>77893011.3584</v>
      </c>
      <c r="J65" s="11">
        <v>12184783</v>
      </c>
      <c r="K65" s="11"/>
      <c r="L65" s="7">
        <v>-607083</v>
      </c>
      <c r="M65" s="7">
        <f>SUM(J65:L65)</f>
        <v>11577700</v>
      </c>
      <c r="N65" s="7">
        <f>22184783+5600000</f>
        <v>27784783</v>
      </c>
      <c r="O65" s="97"/>
      <c r="P65" s="7">
        <f>+AD65-N65-O65</f>
        <v>-12003</v>
      </c>
      <c r="Q65" s="7">
        <f>SUM(N65:P65)</f>
        <v>27772780</v>
      </c>
      <c r="R65" s="11">
        <v>19579710</v>
      </c>
      <c r="S65" s="11"/>
      <c r="T65" s="11"/>
      <c r="U65" s="7">
        <f t="shared" si="28"/>
        <v>-1622802</v>
      </c>
      <c r="V65" s="11">
        <f>+SUM(R65:U65)</f>
        <v>17956908</v>
      </c>
      <c r="W65" s="11">
        <f>20431743.3584+153880</f>
        <v>20585623.3584</v>
      </c>
      <c r="X65" s="11"/>
      <c r="Y65" s="11"/>
      <c r="Z65" s="7"/>
      <c r="AA65" s="11">
        <f>SUM(W65:Z65)</f>
        <v>20585623.3584</v>
      </c>
      <c r="AB65" s="7">
        <f>+M65+Q65+V65+AA65</f>
        <v>77893011.3584</v>
      </c>
      <c r="AC65" s="357">
        <f>+'[4]MER ENE-MAR-11'!$G$440</f>
        <v>11577700</v>
      </c>
      <c r="AD65" s="357">
        <f>+'[4]MER ABR-JUN-11'!$G$581</f>
        <v>27772780</v>
      </c>
      <c r="AE65" s="357">
        <f>+'[4]MER JUL-SEP-11'!$G$504</f>
        <v>17956908</v>
      </c>
      <c r="AF65" s="357">
        <f>+'[4]MER OCT-DIC-11'!$G$572</f>
        <v>20135623</v>
      </c>
      <c r="AG65" s="357">
        <f>SUM(AC65:AF65)</f>
        <v>77443011</v>
      </c>
      <c r="AH65" s="7">
        <f>+M65-AC65</f>
        <v>0</v>
      </c>
      <c r="AI65" s="7">
        <f t="shared" si="29"/>
        <v>0</v>
      </c>
      <c r="AJ65" s="7">
        <f>+V65-AE65</f>
        <v>0</v>
      </c>
      <c r="AK65" s="7">
        <f>+AA65-AF65</f>
        <v>450000.3583999984</v>
      </c>
      <c r="AL65" s="7">
        <f>+AB65</f>
        <v>77893011.3584</v>
      </c>
      <c r="AM65" s="7">
        <f>+I65-AB65</f>
        <v>0</v>
      </c>
      <c r="AN65" s="7">
        <f>+AL65-AG65</f>
        <v>450000.3584000021</v>
      </c>
      <c r="AO65" s="130">
        <f t="shared" si="47"/>
        <v>0.9942228403992565</v>
      </c>
      <c r="AP65" s="130">
        <f>+AC65/M65</f>
        <v>1</v>
      </c>
      <c r="AQ65" s="130">
        <f t="shared" si="25"/>
        <v>1</v>
      </c>
      <c r="AR65" s="130">
        <f>+AE65/V65</f>
        <v>1</v>
      </c>
      <c r="AS65" s="135">
        <f t="shared" si="67"/>
        <v>0.978140066464571</v>
      </c>
    </row>
    <row r="66" spans="1:45" ht="15" customHeight="1" hidden="1" outlineLevel="1">
      <c r="A66" s="234" t="s">
        <v>215</v>
      </c>
      <c r="B66" s="7">
        <v>12400000</v>
      </c>
      <c r="C66" s="99"/>
      <c r="D66" s="99"/>
      <c r="E66" s="99"/>
      <c r="F66" s="99">
        <v>20000000</v>
      </c>
      <c r="G66" s="99"/>
      <c r="H66" s="437">
        <v>-4000000</v>
      </c>
      <c r="I66" s="7">
        <f>SUM(B66:H66)</f>
        <v>28400000</v>
      </c>
      <c r="J66" s="11">
        <v>0</v>
      </c>
      <c r="K66" s="11"/>
      <c r="L66" s="7">
        <v>0</v>
      </c>
      <c r="M66" s="7">
        <f>SUM(J66:L66)</f>
        <v>0</v>
      </c>
      <c r="N66" s="7"/>
      <c r="O66" s="99"/>
      <c r="P66" s="7">
        <f>+AD66-N66-O66</f>
        <v>0</v>
      </c>
      <c r="Q66" s="7">
        <f>SUM(N66:P66)</f>
        <v>0</v>
      </c>
      <c r="R66" s="11">
        <v>0</v>
      </c>
      <c r="S66" s="11"/>
      <c r="T66" s="11"/>
      <c r="U66" s="7">
        <f t="shared" si="28"/>
        <v>0</v>
      </c>
      <c r="V66" s="11">
        <f>+SUM(R66:U66)</f>
        <v>0</v>
      </c>
      <c r="W66" s="11">
        <v>28400000</v>
      </c>
      <c r="X66" s="11"/>
      <c r="Y66" s="11"/>
      <c r="Z66" s="7"/>
      <c r="AA66" s="11">
        <f>SUM(W66:Z66)</f>
        <v>28400000</v>
      </c>
      <c r="AB66" s="7">
        <f>+M66+Q66+V66+AA66</f>
        <v>28400000</v>
      </c>
      <c r="AC66" s="357">
        <f>+'[4]MER ENE-MAR-11'!$G$449</f>
        <v>0</v>
      </c>
      <c r="AD66" s="357">
        <f>+'[4]MER ABR-JUN-11'!$G$595</f>
        <v>0</v>
      </c>
      <c r="AE66" s="357">
        <f>+'[4]MER JUL-SEP-11'!$G$515</f>
        <v>0</v>
      </c>
      <c r="AF66" s="357">
        <f>+'[4]MER OCT-DIC-11'!$G$587</f>
        <v>28400000</v>
      </c>
      <c r="AG66" s="357">
        <f>SUM(AC66:AF66)</f>
        <v>28400000</v>
      </c>
      <c r="AH66" s="7">
        <f>+M66-AC66</f>
        <v>0</v>
      </c>
      <c r="AI66" s="7">
        <f t="shared" si="29"/>
        <v>0</v>
      </c>
      <c r="AJ66" s="7">
        <f>+V66-AE66</f>
        <v>0</v>
      </c>
      <c r="AK66" s="7">
        <f>+AA66-AF66</f>
        <v>0</v>
      </c>
      <c r="AL66" s="7">
        <f>+AB66</f>
        <v>28400000</v>
      </c>
      <c r="AM66" s="7">
        <f>+I66-AB66</f>
        <v>0</v>
      </c>
      <c r="AN66" s="7">
        <f>+AL66-AG66</f>
        <v>0</v>
      </c>
      <c r="AO66" s="130">
        <f t="shared" si="47"/>
        <v>1</v>
      </c>
      <c r="AP66" s="130">
        <v>0</v>
      </c>
      <c r="AQ66" s="130">
        <v>0</v>
      </c>
      <c r="AR66" s="130">
        <v>0</v>
      </c>
      <c r="AS66" s="135">
        <f t="shared" si="67"/>
        <v>1</v>
      </c>
    </row>
    <row r="67" spans="1:45" ht="15" customHeight="1" hidden="1" outlineLevel="1">
      <c r="A67" s="234" t="s">
        <v>216</v>
      </c>
      <c r="B67" s="7">
        <v>270000000</v>
      </c>
      <c r="C67" s="97"/>
      <c r="D67" s="97"/>
      <c r="E67" s="97"/>
      <c r="F67" s="97"/>
      <c r="G67" s="97"/>
      <c r="H67" s="384">
        <v>-153880</v>
      </c>
      <c r="I67" s="7">
        <f>SUM(B67:H67)</f>
        <v>269846120</v>
      </c>
      <c r="J67" s="11">
        <v>4761905</v>
      </c>
      <c r="K67" s="11"/>
      <c r="L67" s="7">
        <v>-1</v>
      </c>
      <c r="M67" s="7">
        <f>SUM(J67:L67)</f>
        <v>4761904</v>
      </c>
      <c r="N67" s="7">
        <f>252142857-5600000</f>
        <v>246542857</v>
      </c>
      <c r="O67" s="97"/>
      <c r="P67" s="7">
        <f>+AD67-N67-O67</f>
        <v>-209840601</v>
      </c>
      <c r="Q67" s="7">
        <f>SUM(N67:P67)</f>
        <v>36702256</v>
      </c>
      <c r="R67" s="11">
        <v>228535840</v>
      </c>
      <c r="S67" s="11"/>
      <c r="T67" s="11"/>
      <c r="U67" s="7">
        <f t="shared" si="28"/>
        <v>-8572481</v>
      </c>
      <c r="V67" s="11">
        <f>+SUM(R67:U67)</f>
        <v>219963359</v>
      </c>
      <c r="W67" s="11">
        <f>8572481-153880</f>
        <v>8418601</v>
      </c>
      <c r="X67" s="11"/>
      <c r="Y67" s="11"/>
      <c r="Z67" s="7"/>
      <c r="AA67" s="11">
        <f>SUM(W67:Z67)</f>
        <v>8418601</v>
      </c>
      <c r="AB67" s="7">
        <f>+M67+Q67+V67+AA67</f>
        <v>269846120</v>
      </c>
      <c r="AC67" s="357">
        <f>+'[4]MER ENE-MAR-11'!$G$455</f>
        <v>4761904</v>
      </c>
      <c r="AD67" s="357">
        <f>+'[4]MER ABR-JUN-11'!$G$600</f>
        <v>36702256</v>
      </c>
      <c r="AE67" s="357">
        <f>+'[4]MER JUL-SEP-11'!$G$519</f>
        <v>219963359</v>
      </c>
      <c r="AF67" s="357">
        <f>+'[4]MER OCT-DIC-11'!$G$593</f>
        <v>5953380</v>
      </c>
      <c r="AG67" s="357">
        <f>SUM(AC67:AF67)</f>
        <v>267380899</v>
      </c>
      <c r="AH67" s="7">
        <f>+M67-AC67</f>
        <v>0</v>
      </c>
      <c r="AI67" s="7">
        <f t="shared" si="29"/>
        <v>0</v>
      </c>
      <c r="AJ67" s="7">
        <f>+V67-AE67</f>
        <v>0</v>
      </c>
      <c r="AK67" s="7">
        <f>+AA67-AF67</f>
        <v>2465221</v>
      </c>
      <c r="AL67" s="7">
        <f>+AB67</f>
        <v>269846120</v>
      </c>
      <c r="AM67" s="7">
        <f>+I67-AB67</f>
        <v>0</v>
      </c>
      <c r="AN67" s="7">
        <f>+AL67-AG67</f>
        <v>2465221</v>
      </c>
      <c r="AO67" s="130">
        <f t="shared" si="47"/>
        <v>0.9908643452053341</v>
      </c>
      <c r="AP67" s="130">
        <f>+AC67/M67</f>
        <v>1</v>
      </c>
      <c r="AQ67" s="130">
        <f t="shared" si="25"/>
        <v>1</v>
      </c>
      <c r="AR67" s="130">
        <v>0</v>
      </c>
      <c r="AS67" s="135">
        <f t="shared" si="67"/>
        <v>0.7071697542145067</v>
      </c>
    </row>
    <row r="68" spans="1:45" ht="15" customHeight="1" collapsed="1">
      <c r="A68" s="118" t="s">
        <v>154</v>
      </c>
      <c r="B68" s="97">
        <f>+B69</f>
        <v>95728000</v>
      </c>
      <c r="C68" s="97">
        <f aca="true" t="shared" si="68" ref="C68:AM70">+C69</f>
        <v>0</v>
      </c>
      <c r="D68" s="97">
        <f t="shared" si="68"/>
        <v>0</v>
      </c>
      <c r="E68" s="97">
        <f t="shared" si="68"/>
        <v>0</v>
      </c>
      <c r="F68" s="97">
        <f t="shared" si="68"/>
        <v>20000000</v>
      </c>
      <c r="G68" s="97"/>
      <c r="H68" s="393">
        <f t="shared" si="68"/>
        <v>0</v>
      </c>
      <c r="I68" s="97">
        <f t="shared" si="68"/>
        <v>115728000</v>
      </c>
      <c r="J68" s="97">
        <f t="shared" si="68"/>
        <v>11653143</v>
      </c>
      <c r="K68" s="97">
        <f t="shared" si="68"/>
        <v>0</v>
      </c>
      <c r="L68" s="97">
        <f t="shared" si="68"/>
        <v>-180791</v>
      </c>
      <c r="M68" s="36">
        <f>SUM(M69)</f>
        <v>11472352</v>
      </c>
      <c r="N68" s="97">
        <f>+N69</f>
        <v>43415714</v>
      </c>
      <c r="O68" s="97">
        <f>+O69</f>
        <v>0</v>
      </c>
      <c r="P68" s="97">
        <f>+P69</f>
        <v>-1470166</v>
      </c>
      <c r="Q68" s="36">
        <f>+N68+P68</f>
        <v>41945548</v>
      </c>
      <c r="R68" s="97">
        <f t="shared" si="68"/>
        <v>40839934</v>
      </c>
      <c r="S68" s="97">
        <f t="shared" si="68"/>
        <v>0</v>
      </c>
      <c r="T68" s="97"/>
      <c r="U68" s="97">
        <f t="shared" si="68"/>
        <v>-3617878.799999997</v>
      </c>
      <c r="V68" s="97">
        <f t="shared" si="68"/>
        <v>37222055.2</v>
      </c>
      <c r="W68" s="97">
        <f t="shared" si="68"/>
        <v>25088044.799999997</v>
      </c>
      <c r="X68" s="97">
        <f t="shared" si="68"/>
        <v>0</v>
      </c>
      <c r="Y68" s="97">
        <f t="shared" si="68"/>
        <v>0</v>
      </c>
      <c r="Z68" s="97">
        <f t="shared" si="68"/>
        <v>0</v>
      </c>
      <c r="AA68" s="97">
        <f t="shared" si="68"/>
        <v>25088044.799999997</v>
      </c>
      <c r="AB68" s="97">
        <f t="shared" si="68"/>
        <v>115728000</v>
      </c>
      <c r="AC68" s="393">
        <f t="shared" si="68"/>
        <v>11472352</v>
      </c>
      <c r="AD68" s="393">
        <f t="shared" si="68"/>
        <v>41945548</v>
      </c>
      <c r="AE68" s="393">
        <f t="shared" si="68"/>
        <v>37222055.2</v>
      </c>
      <c r="AF68" s="393">
        <f t="shared" si="68"/>
        <v>21977289</v>
      </c>
      <c r="AG68" s="393">
        <f>+AG69</f>
        <v>112617244.2</v>
      </c>
      <c r="AH68" s="97">
        <f t="shared" si="68"/>
        <v>0</v>
      </c>
      <c r="AI68" s="7">
        <f t="shared" si="29"/>
        <v>0</v>
      </c>
      <c r="AJ68" s="97">
        <f t="shared" si="68"/>
        <v>0</v>
      </c>
      <c r="AK68" s="97">
        <f>+AK69</f>
        <v>3110755.799999997</v>
      </c>
      <c r="AL68" s="97">
        <f t="shared" si="68"/>
        <v>115728000</v>
      </c>
      <c r="AM68" s="97">
        <f t="shared" si="68"/>
        <v>0</v>
      </c>
      <c r="AN68" s="97">
        <f>+AN69</f>
        <v>3110755.799999997</v>
      </c>
      <c r="AO68" s="133">
        <f>+AO69</f>
        <v>0.9731201109498134</v>
      </c>
      <c r="AP68" s="130">
        <f>+AC68/M68</f>
        <v>1</v>
      </c>
      <c r="AQ68" s="130">
        <f t="shared" si="25"/>
        <v>1</v>
      </c>
      <c r="AR68" s="133">
        <f>+AR69</f>
        <v>1</v>
      </c>
      <c r="AS68" s="133"/>
    </row>
    <row r="69" spans="1:45" ht="15" customHeight="1" hidden="1" outlineLevel="1">
      <c r="A69" s="234" t="s">
        <v>222</v>
      </c>
      <c r="B69" s="11">
        <v>95728000</v>
      </c>
      <c r="C69" s="11"/>
      <c r="D69" s="11"/>
      <c r="E69" s="11"/>
      <c r="F69" s="11">
        <v>20000000</v>
      </c>
      <c r="G69" s="11"/>
      <c r="H69" s="11"/>
      <c r="I69" s="7">
        <f t="shared" si="27"/>
        <v>115728000</v>
      </c>
      <c r="J69" s="11">
        <v>11653143</v>
      </c>
      <c r="K69" s="11"/>
      <c r="L69" s="7">
        <v>-180791</v>
      </c>
      <c r="M69" s="7">
        <f>SUM(J69:L69)</f>
        <v>11472352</v>
      </c>
      <c r="N69" s="11">
        <v>43415714</v>
      </c>
      <c r="O69" s="11"/>
      <c r="P69" s="7">
        <f>+AD69-N69-O69</f>
        <v>-1470166</v>
      </c>
      <c r="Q69" s="7">
        <f>SUM(N69:P69)</f>
        <v>41945548</v>
      </c>
      <c r="R69" s="325">
        <v>40839934</v>
      </c>
      <c r="S69" s="11"/>
      <c r="T69" s="11"/>
      <c r="U69" s="7">
        <f t="shared" si="28"/>
        <v>-3617878.799999997</v>
      </c>
      <c r="V69" s="11">
        <f>+SUM(R69:U69)</f>
        <v>37222055.2</v>
      </c>
      <c r="W69" s="11">
        <v>25088044.799999997</v>
      </c>
      <c r="X69" s="11"/>
      <c r="Y69" s="11"/>
      <c r="Z69" s="7"/>
      <c r="AA69" s="11">
        <f>+SUM(W69:W69)</f>
        <v>25088044.799999997</v>
      </c>
      <c r="AB69" s="7">
        <f>+M69+Q69+V69+AA69</f>
        <v>115728000</v>
      </c>
      <c r="AC69" s="384">
        <f>+'[4]MER ENE-MAR-11'!$G$463</f>
        <v>11472352</v>
      </c>
      <c r="AD69" s="384">
        <f>+'[4]MER ABR-JUN-11'!$G$614</f>
        <v>41945548</v>
      </c>
      <c r="AE69" s="384">
        <f>+'[4]MER JUL-SEP-11'!$G$608</f>
        <v>37222055.2</v>
      </c>
      <c r="AF69" s="384">
        <f>+'[4]MER OCT-DIC-11'!$G$604</f>
        <v>21977289</v>
      </c>
      <c r="AG69" s="384">
        <f>SUM(AC69:AF69)</f>
        <v>112617244.2</v>
      </c>
      <c r="AH69" s="11">
        <f>+M69-AC69</f>
        <v>0</v>
      </c>
      <c r="AI69" s="7">
        <f t="shared" si="29"/>
        <v>0</v>
      </c>
      <c r="AJ69" s="11">
        <f>+V69-AE69</f>
        <v>0</v>
      </c>
      <c r="AK69" s="11">
        <f>+AA69-AF69</f>
        <v>3110755.799999997</v>
      </c>
      <c r="AL69" s="11">
        <f>+AB69</f>
        <v>115728000</v>
      </c>
      <c r="AM69" s="11">
        <f>+I69-AB69</f>
        <v>0</v>
      </c>
      <c r="AN69" s="11">
        <f>+AL69-AG69</f>
        <v>3110755.799999997</v>
      </c>
      <c r="AO69" s="146">
        <f>+AG69/I69</f>
        <v>0.9731201109498134</v>
      </c>
      <c r="AP69" s="130">
        <f>+AC69/M69</f>
        <v>1</v>
      </c>
      <c r="AQ69" s="130">
        <f t="shared" si="25"/>
        <v>1</v>
      </c>
      <c r="AR69" s="146">
        <f>+AE69/V69</f>
        <v>1</v>
      </c>
      <c r="AS69" s="180">
        <f t="shared" si="67"/>
        <v>0.8760064475012418</v>
      </c>
    </row>
    <row r="70" spans="1:45" ht="15" customHeight="1" collapsed="1">
      <c r="A70" s="118" t="s">
        <v>225</v>
      </c>
      <c r="B70" s="97">
        <f>+B71</f>
        <v>0</v>
      </c>
      <c r="C70" s="97">
        <f t="shared" si="68"/>
        <v>0</v>
      </c>
      <c r="D70" s="97">
        <f t="shared" si="68"/>
        <v>334956438</v>
      </c>
      <c r="E70" s="97">
        <f t="shared" si="68"/>
        <v>0</v>
      </c>
      <c r="F70" s="97">
        <f t="shared" si="68"/>
        <v>-334956438</v>
      </c>
      <c r="G70" s="97"/>
      <c r="H70" s="97">
        <f t="shared" si="68"/>
        <v>0</v>
      </c>
      <c r="I70" s="393">
        <f t="shared" si="68"/>
        <v>0</v>
      </c>
      <c r="J70" s="393">
        <f t="shared" si="68"/>
        <v>0</v>
      </c>
      <c r="K70" s="393">
        <f t="shared" si="68"/>
        <v>0</v>
      </c>
      <c r="L70" s="393">
        <f t="shared" si="68"/>
        <v>0</v>
      </c>
      <c r="M70" s="373">
        <f>+M71</f>
        <v>0</v>
      </c>
      <c r="N70" s="393">
        <f>+N71</f>
        <v>85088400</v>
      </c>
      <c r="O70" s="393">
        <f>+O71</f>
        <v>0</v>
      </c>
      <c r="P70" s="393">
        <f>+P71</f>
        <v>-85088400</v>
      </c>
      <c r="Q70" s="373">
        <f>+N70+P70</f>
        <v>0</v>
      </c>
      <c r="R70" s="393">
        <f t="shared" si="68"/>
        <v>300000</v>
      </c>
      <c r="S70" s="393">
        <f t="shared" si="68"/>
        <v>-300000</v>
      </c>
      <c r="T70" s="393"/>
      <c r="U70" s="393">
        <f t="shared" si="68"/>
        <v>0</v>
      </c>
      <c r="V70" s="393">
        <f t="shared" si="68"/>
        <v>0</v>
      </c>
      <c r="W70" s="393">
        <f t="shared" si="68"/>
        <v>0</v>
      </c>
      <c r="X70" s="393">
        <f t="shared" si="68"/>
        <v>0</v>
      </c>
      <c r="Y70" s="393">
        <f t="shared" si="68"/>
        <v>0</v>
      </c>
      <c r="Z70" s="393">
        <f t="shared" si="68"/>
        <v>0</v>
      </c>
      <c r="AA70" s="393">
        <f t="shared" si="68"/>
        <v>0</v>
      </c>
      <c r="AB70" s="393">
        <f t="shared" si="68"/>
        <v>0</v>
      </c>
      <c r="AC70" s="393">
        <f t="shared" si="68"/>
        <v>0</v>
      </c>
      <c r="AD70" s="393">
        <f t="shared" si="68"/>
        <v>0</v>
      </c>
      <c r="AE70" s="393">
        <f t="shared" si="68"/>
        <v>0</v>
      </c>
      <c r="AF70" s="393">
        <f t="shared" si="68"/>
        <v>0</v>
      </c>
      <c r="AG70" s="393">
        <f>+AG71</f>
        <v>0</v>
      </c>
      <c r="AH70" s="97">
        <f t="shared" si="68"/>
        <v>0</v>
      </c>
      <c r="AI70" s="7">
        <f>+Q70-AD70</f>
        <v>0</v>
      </c>
      <c r="AJ70" s="97">
        <f t="shared" si="68"/>
        <v>0</v>
      </c>
      <c r="AK70" s="97">
        <f t="shared" si="68"/>
        <v>0</v>
      </c>
      <c r="AL70" s="97">
        <f t="shared" si="68"/>
        <v>0</v>
      </c>
      <c r="AM70" s="97">
        <f t="shared" si="68"/>
        <v>0</v>
      </c>
      <c r="AN70" s="97">
        <f>+AN71</f>
        <v>0</v>
      </c>
      <c r="AO70" s="133">
        <f>+AO71</f>
        <v>0</v>
      </c>
      <c r="AP70" s="130">
        <v>0</v>
      </c>
      <c r="AQ70" s="130">
        <v>0</v>
      </c>
      <c r="AR70" s="133">
        <f>+AR71</f>
        <v>0</v>
      </c>
      <c r="AS70" s="133"/>
    </row>
    <row r="71" spans="1:45" ht="15" customHeight="1" hidden="1" outlineLevel="1">
      <c r="A71" s="234" t="s">
        <v>225</v>
      </c>
      <c r="B71" s="11">
        <v>0</v>
      </c>
      <c r="C71" s="11"/>
      <c r="D71" s="11">
        <v>334956438</v>
      </c>
      <c r="E71" s="11"/>
      <c r="F71" s="11">
        <v>-334956438</v>
      </c>
      <c r="G71" s="11"/>
      <c r="H71" s="11"/>
      <c r="I71" s="357">
        <f t="shared" si="27"/>
        <v>0</v>
      </c>
      <c r="J71" s="384"/>
      <c r="K71" s="384"/>
      <c r="L71" s="357">
        <v>0</v>
      </c>
      <c r="M71" s="357">
        <f>SUM(J71:L71)</f>
        <v>0</v>
      </c>
      <c r="N71" s="384">
        <v>85088400</v>
      </c>
      <c r="O71" s="384"/>
      <c r="P71" s="357">
        <f>+AD71-N71-O71</f>
        <v>-85088400</v>
      </c>
      <c r="Q71" s="357">
        <f>SUM(N71:P71)</f>
        <v>0</v>
      </c>
      <c r="R71" s="384">
        <v>300000</v>
      </c>
      <c r="S71" s="384">
        <v>-300000</v>
      </c>
      <c r="T71" s="384"/>
      <c r="U71" s="357">
        <f t="shared" si="28"/>
        <v>0</v>
      </c>
      <c r="V71" s="384">
        <v>0</v>
      </c>
      <c r="W71" s="384"/>
      <c r="X71" s="384"/>
      <c r="Y71" s="384"/>
      <c r="Z71" s="357"/>
      <c r="AA71" s="384">
        <f>+SUM(W71:W71)</f>
        <v>0</v>
      </c>
      <c r="AB71" s="357">
        <f>+M71+Q71+V71+AA71</f>
        <v>0</v>
      </c>
      <c r="AC71" s="384">
        <v>0</v>
      </c>
      <c r="AD71" s="384"/>
      <c r="AE71" s="384">
        <f>+'[4]MER JUL-SEP-11'!$G$664</f>
        <v>0</v>
      </c>
      <c r="AF71" s="384">
        <f>+'[4]MER OCT-DIC-11'!$G$641</f>
        <v>0</v>
      </c>
      <c r="AG71" s="384">
        <f>SUM(AC71:AF71)</f>
        <v>0</v>
      </c>
      <c r="AH71" s="11">
        <f>+M71-AC71</f>
        <v>0</v>
      </c>
      <c r="AI71" s="7">
        <f>+Q71-AD71</f>
        <v>0</v>
      </c>
      <c r="AJ71" s="11">
        <f>+V71-AE71</f>
        <v>0</v>
      </c>
      <c r="AK71" s="11">
        <f>+AA71-AF71</f>
        <v>0</v>
      </c>
      <c r="AL71" s="11">
        <f>+AB71</f>
        <v>0</v>
      </c>
      <c r="AM71" s="11">
        <f>+I71-AB71</f>
        <v>0</v>
      </c>
      <c r="AN71" s="11">
        <f>+AL71-AG71</f>
        <v>0</v>
      </c>
      <c r="AO71" s="146">
        <v>0</v>
      </c>
      <c r="AP71" s="130">
        <v>0</v>
      </c>
      <c r="AQ71" s="130">
        <v>0</v>
      </c>
      <c r="AR71" s="146">
        <v>0</v>
      </c>
      <c r="AS71" s="180" t="e">
        <f>+AF71/AA71</f>
        <v>#DIV/0!</v>
      </c>
    </row>
    <row r="72" spans="1:45" ht="15" customHeight="1" collapsed="1" thickBot="1">
      <c r="A72" s="234"/>
      <c r="B72" s="11"/>
      <c r="C72" s="11"/>
      <c r="D72" s="11"/>
      <c r="E72" s="11"/>
      <c r="F72" s="11"/>
      <c r="G72" s="11"/>
      <c r="H72" s="11"/>
      <c r="I72" s="7"/>
      <c r="J72" s="11"/>
      <c r="K72" s="11"/>
      <c r="L72" s="11"/>
      <c r="M72" s="7"/>
      <c r="N72" s="11"/>
      <c r="O72" s="11"/>
      <c r="P72" s="7"/>
      <c r="Q72" s="7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7"/>
      <c r="AC72" s="11"/>
      <c r="AD72" s="11"/>
      <c r="AE72" s="11"/>
      <c r="AF72" s="11"/>
      <c r="AG72" s="11"/>
      <c r="AH72" s="11"/>
      <c r="AI72" s="7"/>
      <c r="AJ72" s="11"/>
      <c r="AK72" s="11"/>
      <c r="AL72" s="11"/>
      <c r="AM72" s="11"/>
      <c r="AN72" s="11"/>
      <c r="AO72" s="146"/>
      <c r="AP72" s="146"/>
      <c r="AQ72" s="130"/>
      <c r="AR72" s="146"/>
      <c r="AS72" s="180"/>
    </row>
    <row r="73" spans="1:45" ht="15" customHeight="1" thickBot="1">
      <c r="A73" s="50" t="s">
        <v>108</v>
      </c>
      <c r="B73" s="122">
        <f>+B33</f>
        <v>2419905480.5964</v>
      </c>
      <c r="C73" s="122">
        <f aca="true" t="shared" si="69" ref="C73:H73">+C33</f>
        <v>-154458505</v>
      </c>
      <c r="D73" s="122">
        <f t="shared" si="69"/>
        <v>309629945</v>
      </c>
      <c r="E73" s="122">
        <f t="shared" si="69"/>
        <v>0</v>
      </c>
      <c r="F73" s="122">
        <f t="shared" si="69"/>
        <v>-65898781</v>
      </c>
      <c r="G73" s="122"/>
      <c r="H73" s="122">
        <f t="shared" si="69"/>
        <v>0</v>
      </c>
      <c r="I73" s="122">
        <f aca="true" t="shared" si="70" ref="I73:AN73">+I33</f>
        <v>2509178139.5964</v>
      </c>
      <c r="J73" s="122">
        <f t="shared" si="70"/>
        <v>287688037</v>
      </c>
      <c r="K73" s="122">
        <f>+K33</f>
        <v>0</v>
      </c>
      <c r="L73" s="122">
        <f>+L33</f>
        <v>-10091444</v>
      </c>
      <c r="M73" s="122">
        <f t="shared" si="70"/>
        <v>277596593</v>
      </c>
      <c r="N73" s="122">
        <f>+N33</f>
        <v>957324863</v>
      </c>
      <c r="O73" s="122">
        <f>+O33</f>
        <v>0</v>
      </c>
      <c r="P73" s="122">
        <f t="shared" si="70"/>
        <v>-237838150</v>
      </c>
      <c r="Q73" s="122">
        <f>+Q33</f>
        <v>634398313</v>
      </c>
      <c r="R73" s="122">
        <f t="shared" si="70"/>
        <v>885826722</v>
      </c>
      <c r="S73" s="122">
        <f>+S33</f>
        <v>21128573</v>
      </c>
      <c r="T73" s="122"/>
      <c r="U73" s="122">
        <f>+U33</f>
        <v>-57849576.199999996</v>
      </c>
      <c r="V73" s="122">
        <f t="shared" si="70"/>
        <v>849105718.8000001</v>
      </c>
      <c r="W73" s="122">
        <f t="shared" si="70"/>
        <v>743734437.4083999</v>
      </c>
      <c r="X73" s="122">
        <f>+X33</f>
        <v>0</v>
      </c>
      <c r="Y73" s="122">
        <f>+Y33</f>
        <v>0</v>
      </c>
      <c r="Z73" s="122">
        <f>+Z33</f>
        <v>0</v>
      </c>
      <c r="AA73" s="122">
        <f t="shared" si="70"/>
        <v>743734437.4083999</v>
      </c>
      <c r="AB73" s="122">
        <f t="shared" si="70"/>
        <v>2504835062.2084</v>
      </c>
      <c r="AC73" s="122">
        <f t="shared" si="70"/>
        <v>277596593</v>
      </c>
      <c r="AD73" s="122">
        <f t="shared" si="70"/>
        <v>634398313</v>
      </c>
      <c r="AE73" s="122">
        <f t="shared" si="70"/>
        <v>849105718.8000001</v>
      </c>
      <c r="AF73" s="122">
        <f t="shared" si="70"/>
        <v>679948897</v>
      </c>
      <c r="AG73" s="122">
        <f>+AG33</f>
        <v>2441049521.7999997</v>
      </c>
      <c r="AH73" s="122">
        <f t="shared" si="70"/>
        <v>0</v>
      </c>
      <c r="AI73" s="122">
        <f t="shared" si="70"/>
        <v>0</v>
      </c>
      <c r="AJ73" s="122">
        <f t="shared" si="70"/>
        <v>0</v>
      </c>
      <c r="AK73" s="122">
        <f t="shared" si="70"/>
        <v>63785540.408399984</v>
      </c>
      <c r="AL73" s="122">
        <f t="shared" si="70"/>
        <v>2438993311.2084</v>
      </c>
      <c r="AM73" s="122">
        <f t="shared" si="70"/>
        <v>4343077.387999997</v>
      </c>
      <c r="AN73" s="122">
        <f t="shared" si="70"/>
        <v>63101822.00839999</v>
      </c>
      <c r="AO73" s="148">
        <f>+AG73/I73</f>
        <v>0.9728482339610377</v>
      </c>
      <c r="AP73" s="148">
        <f>+AC73/M73</f>
        <v>1</v>
      </c>
      <c r="AQ73" s="148">
        <f>+AD73/Q73</f>
        <v>1</v>
      </c>
      <c r="AR73" s="148">
        <f>+AE73/V73</f>
        <v>1</v>
      </c>
      <c r="AS73" s="148">
        <f t="shared" si="67"/>
        <v>0.9142361342972559</v>
      </c>
    </row>
    <row r="74" spans="1:45" ht="1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1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37"/>
      <c r="AP74" s="137"/>
      <c r="AQ74" s="137"/>
      <c r="AR74" s="137"/>
      <c r="AS74" s="138"/>
    </row>
    <row r="75" spans="1:45" ht="15" customHeight="1" thickBot="1">
      <c r="A75" s="50" t="s">
        <v>109</v>
      </c>
      <c r="B75" s="50">
        <f>+B21+B30+B73</f>
        <v>2722521718.5157</v>
      </c>
      <c r="C75" s="50">
        <f aca="true" t="shared" si="71" ref="C75:J75">+C21+C30+C73</f>
        <v>-154458505</v>
      </c>
      <c r="D75" s="50">
        <f t="shared" si="71"/>
        <v>309629945</v>
      </c>
      <c r="E75" s="50">
        <f t="shared" si="71"/>
        <v>0</v>
      </c>
      <c r="F75" s="50">
        <f t="shared" si="71"/>
        <v>-65898781</v>
      </c>
      <c r="G75" s="50"/>
      <c r="H75" s="50">
        <f t="shared" si="71"/>
        <v>0</v>
      </c>
      <c r="I75" s="50">
        <f t="shared" si="71"/>
        <v>2811794377.5157</v>
      </c>
      <c r="J75" s="50">
        <f t="shared" si="71"/>
        <v>359789426.4675</v>
      </c>
      <c r="K75" s="50">
        <f>+K73+K30+K21</f>
        <v>0</v>
      </c>
      <c r="L75" s="50">
        <f>+L73+L30+L21</f>
        <v>-32816029.4675</v>
      </c>
      <c r="M75" s="50">
        <f aca="true" t="shared" si="72" ref="M75:AN75">+M21+M30+M73</f>
        <v>326973397</v>
      </c>
      <c r="N75" s="50">
        <f t="shared" si="72"/>
        <v>1041996391.6973417</v>
      </c>
      <c r="O75" s="50">
        <f t="shared" si="72"/>
        <v>0</v>
      </c>
      <c r="P75" s="50">
        <f t="shared" si="72"/>
        <v>-241800045.69734165</v>
      </c>
      <c r="Q75" s="50">
        <f t="shared" si="72"/>
        <v>715107946</v>
      </c>
      <c r="R75" s="50">
        <f t="shared" si="72"/>
        <v>960107342.0814799</v>
      </c>
      <c r="S75" s="50">
        <f t="shared" si="72"/>
        <v>21128573</v>
      </c>
      <c r="T75" s="50"/>
      <c r="U75" s="50">
        <f t="shared" si="72"/>
        <v>-58218740.44078</v>
      </c>
      <c r="V75" s="50">
        <f t="shared" si="72"/>
        <v>923017174.2</v>
      </c>
      <c r="W75" s="50">
        <f t="shared" si="72"/>
        <v>842352782.9276999</v>
      </c>
      <c r="X75" s="50">
        <f t="shared" si="72"/>
        <v>0</v>
      </c>
      <c r="Y75" s="50">
        <f t="shared" si="72"/>
        <v>0</v>
      </c>
      <c r="Z75" s="50">
        <f t="shared" si="72"/>
        <v>0</v>
      </c>
      <c r="AA75" s="50">
        <f t="shared" si="72"/>
        <v>842352782.9276999</v>
      </c>
      <c r="AB75" s="50">
        <f t="shared" si="72"/>
        <v>2807451300.1277</v>
      </c>
      <c r="AC75" s="50">
        <f t="shared" si="72"/>
        <v>326973397</v>
      </c>
      <c r="AD75" s="50">
        <f t="shared" si="72"/>
        <v>715107946</v>
      </c>
      <c r="AE75" s="50">
        <f t="shared" si="72"/>
        <v>923017174.2</v>
      </c>
      <c r="AF75" s="50">
        <f>+AF21+AF30+AF73</f>
        <v>752175128</v>
      </c>
      <c r="AG75" s="50">
        <f>+AG21+AG30+AG73</f>
        <v>2717273645.2</v>
      </c>
      <c r="AH75" s="50">
        <f t="shared" si="72"/>
        <v>0</v>
      </c>
      <c r="AI75" s="50">
        <f t="shared" si="72"/>
        <v>0</v>
      </c>
      <c r="AJ75" s="50">
        <f t="shared" si="72"/>
        <v>0</v>
      </c>
      <c r="AK75" s="50">
        <f t="shared" si="72"/>
        <v>90177654.92769998</v>
      </c>
      <c r="AL75" s="50">
        <f t="shared" si="72"/>
        <v>2741609549.1277</v>
      </c>
      <c r="AM75" s="50">
        <f t="shared" si="72"/>
        <v>4343077.387999997</v>
      </c>
      <c r="AN75" s="50">
        <f t="shared" si="72"/>
        <v>89493936.52769999</v>
      </c>
      <c r="AO75" s="148">
        <f>+AG75/I75</f>
        <v>0.9663841947080029</v>
      </c>
      <c r="AP75" s="148">
        <f>+AC75/M75</f>
        <v>1</v>
      </c>
      <c r="AQ75" s="148">
        <f>+AD75/Q75</f>
        <v>1</v>
      </c>
      <c r="AR75" s="148">
        <f>+AE75/V75</f>
        <v>1</v>
      </c>
      <c r="AS75" s="148">
        <f>+AF75/AA75</f>
        <v>0.8929455012729032</v>
      </c>
    </row>
    <row r="76" ht="15"/>
    <row r="77" ht="15">
      <c r="AF77" s="3">
        <f>+AF75-'[4]MER OCT-DIC-11'!$G$6</f>
        <v>0</v>
      </c>
    </row>
    <row r="78" ht="15">
      <c r="I78" s="331"/>
    </row>
    <row r="79" spans="27:29" ht="15">
      <c r="AA79" s="124"/>
      <c r="AB79" s="123"/>
      <c r="AC79" s="125"/>
    </row>
    <row r="80" spans="27:29" ht="15">
      <c r="AA80" s="124"/>
      <c r="AB80" s="125"/>
      <c r="AC80" s="125"/>
    </row>
    <row r="81" spans="27:29" ht="15">
      <c r="AA81" s="124"/>
      <c r="AB81" s="123"/>
      <c r="AC81" s="123"/>
    </row>
    <row r="82" spans="27:29" ht="15">
      <c r="AA82" s="124"/>
      <c r="AB82" s="125"/>
      <c r="AC82" s="125"/>
    </row>
    <row r="83" spans="28:29" ht="15">
      <c r="AB83" s="49"/>
      <c r="AC83" s="49"/>
    </row>
    <row r="99" ht="15"/>
    <row r="100" ht="15"/>
    <row r="101" ht="15"/>
  </sheetData>
  <sheetProtection/>
  <mergeCells count="10">
    <mergeCell ref="A7:A8"/>
    <mergeCell ref="W7:AA7"/>
    <mergeCell ref="J7:M7"/>
    <mergeCell ref="R7:V7"/>
    <mergeCell ref="C7:C8"/>
    <mergeCell ref="N7:Q7"/>
    <mergeCell ref="D7:D8"/>
    <mergeCell ref="E7:E8"/>
    <mergeCell ref="F7:F8"/>
    <mergeCell ref="G7:G8"/>
  </mergeCells>
  <printOptions horizontalCentered="1"/>
  <pageMargins left="0.15748031496062992" right="0.15748031496062992" top="0.4330708661417323" bottom="0.6692913385826772" header="0" footer="0"/>
  <pageSetup fitToWidth="2" horizontalDpi="600" verticalDpi="600" orientation="landscape" scale="77" r:id="rId3"/>
  <colBreaks count="1" manualBreakCount="1">
    <brk id="45" max="6553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E51"/>
  <sheetViews>
    <sheetView view="pageBreakPreview" zoomScale="60" zoomScaleNormal="75" zoomScalePageLayoutView="0" workbookViewId="0" topLeftCell="A1">
      <pane xSplit="1" ySplit="8" topLeftCell="B9" activePane="bottomRight" state="frozen"/>
      <selection pane="topLeft" activeCell="C28" sqref="C28:C29"/>
      <selection pane="topRight" activeCell="C28" sqref="C28:C29"/>
      <selection pane="bottomLeft" activeCell="C28" sqref="C28:C29"/>
      <selection pane="bottomRight" activeCell="C28" sqref="C28:C29"/>
    </sheetView>
  </sheetViews>
  <sheetFormatPr defaultColWidth="11.421875" defaultRowHeight="12.75" outlineLevelCol="2"/>
  <cols>
    <col min="1" max="1" width="29.28125" style="3" customWidth="1"/>
    <col min="2" max="2" width="18.00390625" style="3" bestFit="1" customWidth="1"/>
    <col min="3" max="3" width="20.00390625" style="3" hidden="1" customWidth="1" outlineLevel="1"/>
    <col min="4" max="6" width="17.00390625" style="3" hidden="1" customWidth="1" outlineLevel="1"/>
    <col min="7" max="7" width="20.421875" style="3" hidden="1" customWidth="1" outlineLevel="1"/>
    <col min="8" max="8" width="17.57421875" style="3" bestFit="1" customWidth="1" collapsed="1"/>
    <col min="9" max="9" width="16.57421875" style="3" hidden="1" customWidth="1" outlineLevel="2"/>
    <col min="10" max="11" width="15.00390625" style="3" hidden="1" customWidth="1" outlineLevel="2"/>
    <col min="12" max="12" width="16.8515625" style="3" hidden="1" customWidth="1" outlineLevel="1" collapsed="1"/>
    <col min="13" max="13" width="16.8515625" style="3" hidden="1" customWidth="1" outlineLevel="2"/>
    <col min="14" max="14" width="19.57421875" style="3" hidden="1" customWidth="1" outlineLevel="2"/>
    <col min="15" max="15" width="14.421875" style="3" hidden="1" customWidth="1" outlineLevel="2"/>
    <col min="16" max="16" width="16.57421875" style="3" hidden="1" customWidth="1" outlineLevel="1" collapsed="1"/>
    <col min="17" max="18" width="16.00390625" style="3" hidden="1" customWidth="1" outlineLevel="2"/>
    <col min="19" max="19" width="19.57421875" style="3" hidden="1" customWidth="1" outlineLevel="2"/>
    <col min="20" max="20" width="16.57421875" style="3" hidden="1" customWidth="1" outlineLevel="2"/>
    <col min="21" max="21" width="16.140625" style="3" hidden="1" customWidth="1" outlineLevel="1" collapsed="1"/>
    <col min="22" max="22" width="21.7109375" style="3" hidden="1" customWidth="1" outlineLevel="2"/>
    <col min="23" max="23" width="21.421875" style="3" hidden="1" customWidth="1" outlineLevel="2"/>
    <col min="24" max="24" width="17.57421875" style="3" hidden="1" customWidth="1" outlineLevel="2"/>
    <col min="25" max="25" width="9.140625" style="3" hidden="1" customWidth="1" outlineLevel="2"/>
    <col min="26" max="26" width="14.8515625" style="3" hidden="1" customWidth="1" outlineLevel="1" collapsed="1"/>
    <col min="27" max="27" width="17.7109375" style="3" hidden="1" customWidth="1" collapsed="1"/>
    <col min="28" max="28" width="16.8515625" style="3" customWidth="1" outlineLevel="1"/>
    <col min="29" max="30" width="14.7109375" style="3" customWidth="1" outlineLevel="1"/>
    <col min="31" max="31" width="14.57421875" style="3" customWidth="1" outlineLevel="1"/>
    <col min="32" max="32" width="16.8515625" style="3" customWidth="1"/>
    <col min="33" max="33" width="14.7109375" style="3" hidden="1" customWidth="1" outlineLevel="1"/>
    <col min="34" max="36" width="15.00390625" style="3" hidden="1" customWidth="1" outlineLevel="1"/>
    <col min="37" max="37" width="18.421875" style="3" hidden="1" customWidth="1"/>
    <col min="38" max="38" width="19.28125" style="3" hidden="1" customWidth="1"/>
    <col min="39" max="39" width="15.7109375" style="3" hidden="1" customWidth="1"/>
    <col min="40" max="40" width="16.28125" style="3" customWidth="1"/>
    <col min="41" max="41" width="14.421875" style="3" hidden="1" customWidth="1"/>
    <col min="42" max="42" width="15.421875" style="3" hidden="1" customWidth="1"/>
    <col min="43" max="43" width="14.421875" style="3" hidden="1" customWidth="1"/>
    <col min="44" max="44" width="15.421875" style="66" hidden="1" customWidth="1"/>
    <col min="45" max="83" width="11.421875" style="66" customWidth="1"/>
    <col min="84" max="16384" width="11.421875" style="67" customWidth="1"/>
  </cols>
  <sheetData>
    <row r="1" spans="1:15" ht="16.5">
      <c r="A1" s="814" t="s">
        <v>0</v>
      </c>
      <c r="B1" s="814"/>
      <c r="C1" s="814"/>
      <c r="D1" s="814"/>
      <c r="E1" s="814"/>
      <c r="F1" s="814"/>
      <c r="G1" s="814"/>
      <c r="H1" s="814"/>
      <c r="I1" s="814"/>
      <c r="J1" s="814"/>
      <c r="K1" s="814"/>
      <c r="L1" s="814"/>
      <c r="M1" s="814"/>
      <c r="N1" s="814"/>
      <c r="O1" s="814"/>
    </row>
    <row r="2" spans="1:15" ht="16.5">
      <c r="A2" s="814" t="s">
        <v>133</v>
      </c>
      <c r="B2" s="814"/>
      <c r="C2" s="814"/>
      <c r="D2" s="814"/>
      <c r="E2" s="814"/>
      <c r="F2" s="814"/>
      <c r="G2" s="814"/>
      <c r="H2" s="814"/>
      <c r="I2" s="814"/>
      <c r="J2" s="814"/>
      <c r="K2" s="814"/>
      <c r="L2" s="814"/>
      <c r="M2" s="814"/>
      <c r="N2" s="814"/>
      <c r="O2" s="814"/>
    </row>
    <row r="3" spans="1:15" ht="16.5">
      <c r="A3" s="814" t="s">
        <v>134</v>
      </c>
      <c r="B3" s="814"/>
      <c r="C3" s="814"/>
      <c r="D3" s="814"/>
      <c r="E3" s="814"/>
      <c r="F3" s="814"/>
      <c r="G3" s="814"/>
      <c r="H3" s="814"/>
      <c r="I3" s="814"/>
      <c r="J3" s="814"/>
      <c r="K3" s="814"/>
      <c r="L3" s="814"/>
      <c r="M3" s="814"/>
      <c r="N3" s="814"/>
      <c r="O3" s="814"/>
    </row>
    <row r="4" spans="1:15" ht="16.5">
      <c r="A4" s="814" t="s">
        <v>182</v>
      </c>
      <c r="B4" s="814"/>
      <c r="C4" s="814"/>
      <c r="D4" s="814"/>
      <c r="E4" s="814"/>
      <c r="F4" s="814"/>
      <c r="G4" s="814"/>
      <c r="H4" s="814"/>
      <c r="I4" s="814"/>
      <c r="J4" s="814"/>
      <c r="K4" s="814"/>
      <c r="L4" s="814"/>
      <c r="M4" s="814"/>
      <c r="N4" s="814"/>
      <c r="O4" s="814"/>
    </row>
    <row r="5" spans="1:15" ht="16.5">
      <c r="A5" s="814" t="s">
        <v>359</v>
      </c>
      <c r="B5" s="814"/>
      <c r="C5" s="814"/>
      <c r="D5" s="814"/>
      <c r="E5" s="814"/>
      <c r="F5" s="814"/>
      <c r="G5" s="814"/>
      <c r="H5" s="814"/>
      <c r="I5" s="814"/>
      <c r="J5" s="814"/>
      <c r="K5" s="814"/>
      <c r="L5" s="814"/>
      <c r="M5" s="814"/>
      <c r="N5" s="814"/>
      <c r="O5" s="814"/>
    </row>
    <row r="6" spans="1:8" ht="17.25" thickBot="1">
      <c r="A6" s="2"/>
      <c r="H6" s="75"/>
    </row>
    <row r="7" spans="1:45" s="343" customFormat="1" ht="18" customHeight="1" thickBot="1">
      <c r="A7" s="807" t="s">
        <v>2</v>
      </c>
      <c r="B7" s="403" t="s">
        <v>353</v>
      </c>
      <c r="C7" s="807" t="s">
        <v>232</v>
      </c>
      <c r="D7" s="807" t="s">
        <v>227</v>
      </c>
      <c r="E7" s="807" t="s">
        <v>269</v>
      </c>
      <c r="F7" s="807" t="s">
        <v>274</v>
      </c>
      <c r="G7" s="807" t="s">
        <v>290</v>
      </c>
      <c r="H7" s="355" t="s">
        <v>4</v>
      </c>
      <c r="I7" s="806" t="s">
        <v>124</v>
      </c>
      <c r="J7" s="806"/>
      <c r="K7" s="806"/>
      <c r="L7" s="806"/>
      <c r="M7" s="803" t="s">
        <v>123</v>
      </c>
      <c r="N7" s="804"/>
      <c r="O7" s="804"/>
      <c r="P7" s="805"/>
      <c r="Q7" s="806" t="s">
        <v>129</v>
      </c>
      <c r="R7" s="806"/>
      <c r="S7" s="806"/>
      <c r="T7" s="806"/>
      <c r="U7" s="806"/>
      <c r="V7" s="806" t="s">
        <v>131</v>
      </c>
      <c r="W7" s="806"/>
      <c r="X7" s="806"/>
      <c r="Y7" s="806"/>
      <c r="Z7" s="806"/>
      <c r="AA7" s="355" t="s">
        <v>77</v>
      </c>
      <c r="AB7" s="355" t="s">
        <v>6</v>
      </c>
      <c r="AC7" s="355" t="s">
        <v>6</v>
      </c>
      <c r="AD7" s="355" t="s">
        <v>6</v>
      </c>
      <c r="AE7" s="355" t="s">
        <v>6</v>
      </c>
      <c r="AF7" s="355" t="s">
        <v>7</v>
      </c>
      <c r="AG7" s="355" t="s">
        <v>10</v>
      </c>
      <c r="AH7" s="355" t="s">
        <v>10</v>
      </c>
      <c r="AI7" s="355" t="s">
        <v>10</v>
      </c>
      <c r="AJ7" s="355" t="s">
        <v>10</v>
      </c>
      <c r="AK7" s="355" t="s">
        <v>5</v>
      </c>
      <c r="AL7" s="355" t="s">
        <v>78</v>
      </c>
      <c r="AM7" s="355" t="s">
        <v>79</v>
      </c>
      <c r="AN7" s="355" t="s">
        <v>80</v>
      </c>
      <c r="AO7" s="355" t="s">
        <v>81</v>
      </c>
      <c r="AP7" s="355" t="s">
        <v>81</v>
      </c>
      <c r="AQ7" s="355" t="s">
        <v>81</v>
      </c>
      <c r="AR7" s="355" t="s">
        <v>81</v>
      </c>
      <c r="AS7" s="343" t="s">
        <v>130</v>
      </c>
    </row>
    <row r="8" spans="1:44" s="343" customFormat="1" ht="17.25" thickBot="1">
      <c r="A8" s="808"/>
      <c r="B8" s="356" t="s">
        <v>110</v>
      </c>
      <c r="C8" s="808"/>
      <c r="D8" s="808"/>
      <c r="E8" s="808"/>
      <c r="F8" s="808"/>
      <c r="G8" s="808"/>
      <c r="H8" s="356" t="s">
        <v>11</v>
      </c>
      <c r="I8" s="354" t="s">
        <v>217</v>
      </c>
      <c r="J8" s="354" t="s">
        <v>228</v>
      </c>
      <c r="K8" s="354" t="s">
        <v>223</v>
      </c>
      <c r="L8" s="354" t="s">
        <v>83</v>
      </c>
      <c r="M8" s="356" t="s">
        <v>267</v>
      </c>
      <c r="N8" s="356" t="s">
        <v>271</v>
      </c>
      <c r="O8" s="356" t="s">
        <v>270</v>
      </c>
      <c r="P8" s="356" t="s">
        <v>83</v>
      </c>
      <c r="Q8" s="356" t="s">
        <v>280</v>
      </c>
      <c r="R8" s="356" t="s">
        <v>279</v>
      </c>
      <c r="S8" s="356" t="s">
        <v>287</v>
      </c>
      <c r="T8" s="356" t="s">
        <v>286</v>
      </c>
      <c r="U8" s="356" t="s">
        <v>83</v>
      </c>
      <c r="V8" s="356" t="s">
        <v>282</v>
      </c>
      <c r="W8" s="356" t="s">
        <v>290</v>
      </c>
      <c r="X8" s="356"/>
      <c r="Y8" s="356"/>
      <c r="Z8" s="356" t="s">
        <v>83</v>
      </c>
      <c r="AA8" s="356" t="s">
        <v>5</v>
      </c>
      <c r="AB8" s="356" t="s">
        <v>12</v>
      </c>
      <c r="AC8" s="356" t="s">
        <v>13</v>
      </c>
      <c r="AD8" s="356" t="s">
        <v>14</v>
      </c>
      <c r="AE8" s="356" t="s">
        <v>15</v>
      </c>
      <c r="AF8" s="356" t="s">
        <v>6</v>
      </c>
      <c r="AG8" s="356" t="s">
        <v>12</v>
      </c>
      <c r="AH8" s="356" t="s">
        <v>13</v>
      </c>
      <c r="AI8" s="356" t="s">
        <v>14</v>
      </c>
      <c r="AJ8" s="356" t="s">
        <v>15</v>
      </c>
      <c r="AK8" s="366"/>
      <c r="AL8" s="356" t="s">
        <v>84</v>
      </c>
      <c r="AM8" s="356" t="s">
        <v>111</v>
      </c>
      <c r="AN8" s="356" t="s">
        <v>19</v>
      </c>
      <c r="AO8" s="356" t="s">
        <v>12</v>
      </c>
      <c r="AP8" s="356" t="s">
        <v>13</v>
      </c>
      <c r="AQ8" s="356" t="s">
        <v>14</v>
      </c>
      <c r="AR8" s="356" t="s">
        <v>15</v>
      </c>
    </row>
    <row r="9" spans="1:44" ht="15" customHeight="1">
      <c r="A9" s="167" t="s">
        <v>22</v>
      </c>
      <c r="B9" s="44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44"/>
      <c r="AD9" s="37"/>
      <c r="AE9" s="37"/>
      <c r="AF9" s="37"/>
      <c r="AG9" s="37"/>
      <c r="AH9" s="37"/>
      <c r="AI9" s="37"/>
      <c r="AJ9" s="37"/>
      <c r="AK9" s="44"/>
      <c r="AL9" s="44"/>
      <c r="AM9" s="44"/>
      <c r="AN9" s="55"/>
      <c r="AO9" s="55"/>
      <c r="AP9" s="55"/>
      <c r="AQ9" s="55"/>
      <c r="AR9" s="195"/>
    </row>
    <row r="10" spans="1:44" ht="15" customHeight="1">
      <c r="A10" s="200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126"/>
      <c r="W10" s="126"/>
      <c r="X10" s="126"/>
      <c r="Y10" s="126"/>
      <c r="Z10" s="126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44"/>
      <c r="AL10" s="44"/>
      <c r="AM10" s="44"/>
      <c r="AN10" s="44"/>
      <c r="AO10" s="44"/>
      <c r="AP10" s="44"/>
      <c r="AQ10" s="44"/>
      <c r="AR10" s="196"/>
    </row>
    <row r="11" spans="1:44" ht="15" customHeight="1">
      <c r="A11" s="168" t="s">
        <v>24</v>
      </c>
      <c r="B11" s="7">
        <v>112872038</v>
      </c>
      <c r="C11" s="7"/>
      <c r="D11" s="7"/>
      <c r="E11" s="7"/>
      <c r="F11" s="7"/>
      <c r="G11" s="7"/>
      <c r="H11" s="7">
        <f aca="true" t="shared" si="0" ref="H11:H21">SUM(B11:G11)</f>
        <v>112872038</v>
      </c>
      <c r="I11" s="7">
        <v>27444306.4484</v>
      </c>
      <c r="J11" s="7"/>
      <c r="K11" s="7">
        <v>-1962430.4483999982</v>
      </c>
      <c r="L11" s="7">
        <f>SUM(I11:K11)</f>
        <v>25481876</v>
      </c>
      <c r="M11" s="7">
        <v>28525820.115</v>
      </c>
      <c r="N11" s="7">
        <v>-188481</v>
      </c>
      <c r="O11" s="7">
        <f aca="true" t="shared" si="1" ref="O11:O21">+AC11-M11-N11</f>
        <v>-713535.1149999984</v>
      </c>
      <c r="P11" s="7">
        <f>+SUM(M11:O11)</f>
        <v>27623804</v>
      </c>
      <c r="Q11" s="7">
        <v>28525820.115</v>
      </c>
      <c r="R11" s="7"/>
      <c r="S11" s="7"/>
      <c r="T11" s="7">
        <f aca="true" t="shared" si="2" ref="T11:T21">-Q11-R11-S11+AD11</f>
        <v>-540607.1149999984</v>
      </c>
      <c r="U11" s="7">
        <f>+SUM(Q11:T11)</f>
        <v>27985213</v>
      </c>
      <c r="V11" s="7">
        <v>31781145</v>
      </c>
      <c r="W11" s="7"/>
      <c r="X11" s="7"/>
      <c r="Y11" s="7"/>
      <c r="Z11" s="7">
        <f>+SUM(V11:Y11)</f>
        <v>31781145</v>
      </c>
      <c r="AA11" s="7">
        <f aca="true" t="shared" si="3" ref="AA11:AA21">+L11+P11+U11+Z11</f>
        <v>112872038</v>
      </c>
      <c r="AB11" s="387">
        <f>+'[4]FUN ENE-MAR-11'!$G$9</f>
        <v>25481876</v>
      </c>
      <c r="AC11" s="387">
        <f>+'[4]FUN ABR-JUN-11'!$G$9</f>
        <v>27623804</v>
      </c>
      <c r="AD11" s="387">
        <f>+'[4]FUN JUL-SEP-11'!$G$9</f>
        <v>27985213</v>
      </c>
      <c r="AE11" s="387">
        <f>+'[4]FUN OCT-DIC-11'!$G$9</f>
        <v>25915428</v>
      </c>
      <c r="AF11" s="387">
        <f>SUM(AB11:AE11)</f>
        <v>107006321</v>
      </c>
      <c r="AG11" s="7">
        <f aca="true" t="shared" si="4" ref="AG11:AG21">+L11-AB11</f>
        <v>0</v>
      </c>
      <c r="AH11" s="7">
        <f aca="true" t="shared" si="5" ref="AH11:AH21">+P11-AC11</f>
        <v>0</v>
      </c>
      <c r="AI11" s="7">
        <f aca="true" t="shared" si="6" ref="AI11:AI21">+U11-AD11</f>
        <v>0</v>
      </c>
      <c r="AJ11" s="7">
        <f aca="true" t="shared" si="7" ref="AJ11:AJ21">+Z11-AE11</f>
        <v>5865717</v>
      </c>
      <c r="AK11" s="7">
        <f>+AA11</f>
        <v>112872038</v>
      </c>
      <c r="AL11" s="7">
        <f aca="true" t="shared" si="8" ref="AL11:AL21">+H11-AK11</f>
        <v>0</v>
      </c>
      <c r="AM11" s="7">
        <f aca="true" t="shared" si="9" ref="AM11:AM21">+AK11-AF11</f>
        <v>5865717</v>
      </c>
      <c r="AN11" s="130">
        <f aca="true" t="shared" si="10" ref="AN11:AN22">+AF11/H11</f>
        <v>0.9480321512401504</v>
      </c>
      <c r="AO11" s="130">
        <f>+AB11/L11</f>
        <v>1</v>
      </c>
      <c r="AP11" s="130">
        <f>+AC11/P11</f>
        <v>1</v>
      </c>
      <c r="AQ11" s="130">
        <f>+AD11/U11</f>
        <v>1</v>
      </c>
      <c r="AR11" s="135">
        <f>+AE11/Z11</f>
        <v>0.8154340568912795</v>
      </c>
    </row>
    <row r="12" spans="1:44" ht="15" customHeight="1">
      <c r="A12" s="168" t="s">
        <v>25</v>
      </c>
      <c r="B12" s="7">
        <v>8705207</v>
      </c>
      <c r="C12" s="7"/>
      <c r="D12" s="7"/>
      <c r="E12" s="7"/>
      <c r="F12" s="7"/>
      <c r="G12" s="7"/>
      <c r="H12" s="7">
        <f t="shared" si="0"/>
        <v>8705207</v>
      </c>
      <c r="I12" s="7">
        <v>2083110.29315172</v>
      </c>
      <c r="J12" s="7"/>
      <c r="K12" s="7">
        <v>-144848.29315171996</v>
      </c>
      <c r="L12" s="7">
        <f aca="true" t="shared" si="11" ref="L12:L21">SUM(I12:K12)</f>
        <v>1938262</v>
      </c>
      <c r="M12" s="7">
        <v>2175431.1555795</v>
      </c>
      <c r="N12" s="7">
        <v>66367</v>
      </c>
      <c r="O12" s="7">
        <f t="shared" si="1"/>
        <v>-0.15557949990034103</v>
      </c>
      <c r="P12" s="7">
        <f aca="true" t="shared" si="12" ref="P12:P21">+SUM(M12:O12)</f>
        <v>2241798</v>
      </c>
      <c r="Q12" s="7">
        <v>2175431.1555795</v>
      </c>
      <c r="R12" s="7"/>
      <c r="S12" s="7"/>
      <c r="T12" s="7">
        <f t="shared" si="2"/>
        <v>-15094.1555794999</v>
      </c>
      <c r="U12" s="7">
        <f aca="true" t="shared" si="13" ref="U12:U21">+SUM(Q12:T12)</f>
        <v>2160337</v>
      </c>
      <c r="V12" s="7">
        <v>2364810</v>
      </c>
      <c r="W12" s="7"/>
      <c r="X12" s="7"/>
      <c r="Y12" s="7"/>
      <c r="Z12" s="7">
        <f aca="true" t="shared" si="14" ref="Z12:Z21">+SUM(V12:Y12)</f>
        <v>2364810</v>
      </c>
      <c r="AA12" s="7">
        <f t="shared" si="3"/>
        <v>8705207</v>
      </c>
      <c r="AB12" s="387">
        <f>+'[4]FUN ENE-MAR-11'!$G$22</f>
        <v>1938262</v>
      </c>
      <c r="AC12" s="387">
        <f>+'[4]FUN ABR-JUN-11'!$G$26</f>
        <v>2241798</v>
      </c>
      <c r="AD12" s="387">
        <f>+'[4]FUN JUL-SEP-11'!$G$21</f>
        <v>2160337</v>
      </c>
      <c r="AE12" s="387">
        <f>+'[4]FUN OCT-DIC-11'!$G$28</f>
        <v>2054802</v>
      </c>
      <c r="AF12" s="387">
        <f aca="true" t="shared" si="15" ref="AF12:AF20">SUM(AB12:AE12)</f>
        <v>8395199</v>
      </c>
      <c r="AG12" s="7">
        <f t="shared" si="4"/>
        <v>0</v>
      </c>
      <c r="AH12" s="7">
        <f t="shared" si="5"/>
        <v>0</v>
      </c>
      <c r="AI12" s="7">
        <f t="shared" si="6"/>
        <v>0</v>
      </c>
      <c r="AJ12" s="7">
        <f t="shared" si="7"/>
        <v>310008</v>
      </c>
      <c r="AK12" s="7">
        <f aca="true" t="shared" si="16" ref="AK12:AK20">+AA12</f>
        <v>8705207</v>
      </c>
      <c r="AL12" s="7">
        <f t="shared" si="8"/>
        <v>0</v>
      </c>
      <c r="AM12" s="7">
        <f t="shared" si="9"/>
        <v>310008</v>
      </c>
      <c r="AN12" s="130">
        <f t="shared" si="10"/>
        <v>0.9643882104124577</v>
      </c>
      <c r="AO12" s="130">
        <f>+AB12/L12</f>
        <v>1</v>
      </c>
      <c r="AP12" s="130">
        <f>+AC12/P12</f>
        <v>1</v>
      </c>
      <c r="AQ12" s="130">
        <f aca="true" t="shared" si="17" ref="AQ12:AQ22">+AD12/U12</f>
        <v>1</v>
      </c>
      <c r="AR12" s="135">
        <f aca="true" t="shared" si="18" ref="AR12:AR19">+AE12/Z12</f>
        <v>0.8689078615195301</v>
      </c>
    </row>
    <row r="13" spans="1:44" ht="15" customHeight="1">
      <c r="A13" s="168" t="s">
        <v>26</v>
      </c>
      <c r="B13" s="7">
        <v>1044625</v>
      </c>
      <c r="C13" s="7"/>
      <c r="D13" s="7"/>
      <c r="E13" s="7"/>
      <c r="F13" s="7"/>
      <c r="G13" s="7"/>
      <c r="H13" s="7">
        <f t="shared" si="0"/>
        <v>1044625</v>
      </c>
      <c r="I13" s="7">
        <v>249973.2351782064</v>
      </c>
      <c r="J13" s="7"/>
      <c r="K13" s="7">
        <v>-17382.235178206407</v>
      </c>
      <c r="L13" s="7">
        <f t="shared" si="11"/>
        <v>232591</v>
      </c>
      <c r="M13" s="7">
        <v>261051.73866954</v>
      </c>
      <c r="N13" s="7"/>
      <c r="O13" s="7">
        <f t="shared" si="1"/>
        <v>-251582.73866954</v>
      </c>
      <c r="P13" s="7">
        <f t="shared" si="12"/>
        <v>9469</v>
      </c>
      <c r="Q13" s="7">
        <v>261051.73866954</v>
      </c>
      <c r="R13" s="7"/>
      <c r="S13" s="7">
        <f>-Q13+AD13</f>
        <v>25546.261330459994</v>
      </c>
      <c r="T13" s="7">
        <f t="shared" si="2"/>
        <v>0</v>
      </c>
      <c r="U13" s="7">
        <f t="shared" si="13"/>
        <v>286598</v>
      </c>
      <c r="V13" s="7">
        <v>515967</v>
      </c>
      <c r="W13" s="7"/>
      <c r="X13" s="7"/>
      <c r="Y13" s="7"/>
      <c r="Z13" s="7">
        <f t="shared" si="14"/>
        <v>515967</v>
      </c>
      <c r="AA13" s="7">
        <f t="shared" si="3"/>
        <v>1044625</v>
      </c>
      <c r="AB13" s="387">
        <f>+'[4]FUN ENE-MAR-11'!$G$31</f>
        <v>232591</v>
      </c>
      <c r="AC13" s="387">
        <f>+'[4]FUN ABR-JUN-11'!$G$35</f>
        <v>9469</v>
      </c>
      <c r="AD13" s="387">
        <f>+'[4]FUN JUL-SEP-11'!$G$30</f>
        <v>286598</v>
      </c>
      <c r="AE13" s="387">
        <f>+'[4]FUN OCT-DIC-11'!$G$38</f>
        <v>276003</v>
      </c>
      <c r="AF13" s="387">
        <f t="shared" si="15"/>
        <v>804661</v>
      </c>
      <c r="AG13" s="7">
        <f t="shared" si="4"/>
        <v>0</v>
      </c>
      <c r="AH13" s="7">
        <f t="shared" si="5"/>
        <v>0</v>
      </c>
      <c r="AI13" s="7">
        <f t="shared" si="6"/>
        <v>0</v>
      </c>
      <c r="AJ13" s="7">
        <f t="shared" si="7"/>
        <v>239964</v>
      </c>
      <c r="AK13" s="7">
        <f t="shared" si="16"/>
        <v>1044625</v>
      </c>
      <c r="AL13" s="7">
        <f t="shared" si="8"/>
        <v>0</v>
      </c>
      <c r="AM13" s="7">
        <f t="shared" si="9"/>
        <v>239964</v>
      </c>
      <c r="AN13" s="130">
        <f t="shared" si="10"/>
        <v>0.7702869450759842</v>
      </c>
      <c r="AO13" s="130">
        <f>+AB13/L13</f>
        <v>1</v>
      </c>
      <c r="AP13" s="130">
        <f>+AC13/P13</f>
        <v>1</v>
      </c>
      <c r="AQ13" s="130">
        <f t="shared" si="17"/>
        <v>1</v>
      </c>
      <c r="AR13" s="135">
        <f t="shared" si="18"/>
        <v>0.5349237451232346</v>
      </c>
    </row>
    <row r="14" spans="1:44" ht="15" customHeight="1">
      <c r="A14" s="168" t="s">
        <v>27</v>
      </c>
      <c r="B14" s="7">
        <v>8705207</v>
      </c>
      <c r="C14" s="7"/>
      <c r="D14" s="7"/>
      <c r="E14" s="7"/>
      <c r="F14" s="7"/>
      <c r="G14" s="7"/>
      <c r="H14" s="7">
        <f t="shared" si="0"/>
        <v>8705207</v>
      </c>
      <c r="I14" s="7">
        <v>2083110.29315172</v>
      </c>
      <c r="J14" s="7"/>
      <c r="K14" s="7">
        <v>-144848.29315171996</v>
      </c>
      <c r="L14" s="7">
        <f t="shared" si="11"/>
        <v>1938262</v>
      </c>
      <c r="M14" s="7">
        <v>2175431.1555795</v>
      </c>
      <c r="N14" s="7">
        <v>66367</v>
      </c>
      <c r="O14" s="7">
        <f t="shared" si="1"/>
        <v>-0.15557949990034103</v>
      </c>
      <c r="P14" s="7">
        <f t="shared" si="12"/>
        <v>2241798</v>
      </c>
      <c r="Q14" s="7">
        <v>2175431.1555795</v>
      </c>
      <c r="R14" s="7"/>
      <c r="S14" s="7"/>
      <c r="T14" s="7">
        <f t="shared" si="2"/>
        <v>-15094.1555794999</v>
      </c>
      <c r="U14" s="7">
        <f t="shared" si="13"/>
        <v>2160337</v>
      </c>
      <c r="V14" s="7">
        <v>2364810</v>
      </c>
      <c r="W14" s="7"/>
      <c r="X14" s="7"/>
      <c r="Y14" s="7"/>
      <c r="Z14" s="7">
        <f t="shared" si="14"/>
        <v>2364810</v>
      </c>
      <c r="AA14" s="7">
        <f t="shared" si="3"/>
        <v>8705207</v>
      </c>
      <c r="AB14" s="387">
        <f>+'[4]FUN ENE-MAR-11'!$G$40</f>
        <v>1938262</v>
      </c>
      <c r="AC14" s="387">
        <f>+'[4]FUN ABR-JUN-11'!$G$44</f>
        <v>2241798</v>
      </c>
      <c r="AD14" s="387">
        <f>+'[4]FUN JUL-SEP-11'!$G$37</f>
        <v>2160337</v>
      </c>
      <c r="AE14" s="387">
        <f>+'[4]FUN OCT-DIC-11'!$G$47</f>
        <v>2054802</v>
      </c>
      <c r="AF14" s="387">
        <f t="shared" si="15"/>
        <v>8395199</v>
      </c>
      <c r="AG14" s="7">
        <f t="shared" si="4"/>
        <v>0</v>
      </c>
      <c r="AH14" s="7">
        <f t="shared" si="5"/>
        <v>0</v>
      </c>
      <c r="AI14" s="7">
        <f t="shared" si="6"/>
        <v>0</v>
      </c>
      <c r="AJ14" s="7">
        <f t="shared" si="7"/>
        <v>310008</v>
      </c>
      <c r="AK14" s="7">
        <f t="shared" si="16"/>
        <v>8705207</v>
      </c>
      <c r="AL14" s="7">
        <f t="shared" si="8"/>
        <v>0</v>
      </c>
      <c r="AM14" s="7">
        <f t="shared" si="9"/>
        <v>310008</v>
      </c>
      <c r="AN14" s="130">
        <f t="shared" si="10"/>
        <v>0.9643882104124577</v>
      </c>
      <c r="AO14" s="130">
        <f>+AB14/L14</f>
        <v>1</v>
      </c>
      <c r="AP14" s="130">
        <f>+AC14/P14</f>
        <v>1</v>
      </c>
      <c r="AQ14" s="130">
        <f t="shared" si="17"/>
        <v>1</v>
      </c>
      <c r="AR14" s="135">
        <f t="shared" si="18"/>
        <v>0.8689078615195301</v>
      </c>
    </row>
    <row r="15" spans="1:44" ht="15" customHeight="1">
      <c r="A15" s="168" t="s">
        <v>28</v>
      </c>
      <c r="B15" s="7">
        <v>4352603</v>
      </c>
      <c r="C15" s="7"/>
      <c r="D15" s="7"/>
      <c r="E15" s="7"/>
      <c r="F15" s="7"/>
      <c r="G15" s="7"/>
      <c r="H15" s="7">
        <f t="shared" si="0"/>
        <v>4352603</v>
      </c>
      <c r="I15" s="7">
        <v>1065152.2787955</v>
      </c>
      <c r="J15" s="7"/>
      <c r="K15" s="7">
        <v>-96022.27879550005</v>
      </c>
      <c r="L15" s="7">
        <f t="shared" si="11"/>
        <v>969130</v>
      </c>
      <c r="M15" s="7">
        <v>1065152.2787955</v>
      </c>
      <c r="N15" s="7">
        <v>55747</v>
      </c>
      <c r="O15" s="7">
        <f t="shared" si="1"/>
        <v>-0.27879550005309284</v>
      </c>
      <c r="P15" s="7">
        <f t="shared" si="12"/>
        <v>1120899</v>
      </c>
      <c r="Q15" s="7">
        <v>1065152.2787955</v>
      </c>
      <c r="R15" s="7"/>
      <c r="S15" s="7">
        <v>-25546</v>
      </c>
      <c r="T15" s="7">
        <f t="shared" si="2"/>
        <v>-30368.278795500053</v>
      </c>
      <c r="U15" s="7">
        <f t="shared" si="13"/>
        <v>1009238</v>
      </c>
      <c r="V15" s="7">
        <v>1253336</v>
      </c>
      <c r="W15" s="7"/>
      <c r="X15" s="7"/>
      <c r="Y15" s="7"/>
      <c r="Z15" s="7">
        <f t="shared" si="14"/>
        <v>1253336</v>
      </c>
      <c r="AA15" s="7">
        <f t="shared" si="3"/>
        <v>4352603</v>
      </c>
      <c r="AB15" s="387">
        <f>+'[4]FUN ENE-MAR-11'!$G$49</f>
        <v>969130</v>
      </c>
      <c r="AC15" s="387">
        <f>+'[4]FUN ABR-JUN-11'!$G$53</f>
        <v>1120899</v>
      </c>
      <c r="AD15" s="387">
        <f>+'[4]FUN JUL-SEP-11'!$G$46</f>
        <v>1009238</v>
      </c>
      <c r="AE15" s="387">
        <f>+'[4]FUN OCT-DIC-11'!$G$57</f>
        <v>1047107</v>
      </c>
      <c r="AF15" s="387">
        <f t="shared" si="15"/>
        <v>4146374</v>
      </c>
      <c r="AG15" s="7">
        <f t="shared" si="4"/>
        <v>0</v>
      </c>
      <c r="AH15" s="7">
        <f t="shared" si="5"/>
        <v>0</v>
      </c>
      <c r="AI15" s="7">
        <f t="shared" si="6"/>
        <v>0</v>
      </c>
      <c r="AJ15" s="7">
        <f t="shared" si="7"/>
        <v>206229</v>
      </c>
      <c r="AK15" s="7">
        <f t="shared" si="16"/>
        <v>4352603</v>
      </c>
      <c r="AL15" s="7">
        <f t="shared" si="8"/>
        <v>0</v>
      </c>
      <c r="AM15" s="7">
        <f t="shared" si="9"/>
        <v>206229</v>
      </c>
      <c r="AN15" s="130">
        <f t="shared" si="10"/>
        <v>0.9526193866061297</v>
      </c>
      <c r="AO15" s="130">
        <f>+AB15/L15</f>
        <v>1</v>
      </c>
      <c r="AP15" s="130">
        <f>+AC15/P15</f>
        <v>1</v>
      </c>
      <c r="AQ15" s="130">
        <f t="shared" si="17"/>
        <v>1</v>
      </c>
      <c r="AR15" s="135">
        <f t="shared" si="18"/>
        <v>0.8354559352001378</v>
      </c>
    </row>
    <row r="16" spans="1:44" ht="15" customHeight="1">
      <c r="A16" s="168" t="s">
        <v>29</v>
      </c>
      <c r="B16" s="7">
        <v>20000000</v>
      </c>
      <c r="C16" s="7"/>
      <c r="D16" s="7"/>
      <c r="E16" s="7"/>
      <c r="F16" s="7"/>
      <c r="G16" s="7"/>
      <c r="H16" s="7">
        <f t="shared" si="0"/>
        <v>20000000</v>
      </c>
      <c r="I16" s="7">
        <v>0</v>
      </c>
      <c r="J16" s="7"/>
      <c r="K16" s="7">
        <v>0</v>
      </c>
      <c r="L16" s="7">
        <f t="shared" si="11"/>
        <v>0</v>
      </c>
      <c r="M16" s="7">
        <v>20000000</v>
      </c>
      <c r="N16" s="7"/>
      <c r="O16" s="7">
        <f t="shared" si="1"/>
        <v>-6647115</v>
      </c>
      <c r="P16" s="7">
        <f t="shared" si="12"/>
        <v>13352885</v>
      </c>
      <c r="Q16" s="7"/>
      <c r="R16" s="7"/>
      <c r="S16" s="7"/>
      <c r="T16" s="7">
        <f t="shared" si="2"/>
        <v>0</v>
      </c>
      <c r="U16" s="7">
        <f t="shared" si="13"/>
        <v>0</v>
      </c>
      <c r="V16" s="7">
        <v>6647115</v>
      </c>
      <c r="W16" s="7"/>
      <c r="X16" s="7"/>
      <c r="Y16" s="7"/>
      <c r="Z16" s="7">
        <f t="shared" si="14"/>
        <v>6647115</v>
      </c>
      <c r="AA16" s="7">
        <f t="shared" si="3"/>
        <v>20000000</v>
      </c>
      <c r="AB16" s="387">
        <f>+'[4]FUN ENE-MAR-11'!$G$56</f>
        <v>0</v>
      </c>
      <c r="AC16" s="387">
        <f>+'[4]FUN ABR-JUN-11'!$G$61</f>
        <v>13352885</v>
      </c>
      <c r="AD16" s="387">
        <f>+'[4]FUN JUL-SEP-11'!$G$53</f>
        <v>0</v>
      </c>
      <c r="AE16" s="387">
        <f>+'[4]FUN OCT-DIC-11'!$G$64</f>
        <v>3853001</v>
      </c>
      <c r="AF16" s="387">
        <f>SUM(AB16:AE16)</f>
        <v>17205886</v>
      </c>
      <c r="AG16" s="7">
        <f t="shared" si="4"/>
        <v>0</v>
      </c>
      <c r="AH16" s="7">
        <f t="shared" si="5"/>
        <v>0</v>
      </c>
      <c r="AI16" s="7">
        <f t="shared" si="6"/>
        <v>0</v>
      </c>
      <c r="AJ16" s="7">
        <f t="shared" si="7"/>
        <v>2794114</v>
      </c>
      <c r="AK16" s="7">
        <f t="shared" si="16"/>
        <v>20000000</v>
      </c>
      <c r="AL16" s="7">
        <f t="shared" si="8"/>
        <v>0</v>
      </c>
      <c r="AM16" s="7">
        <f t="shared" si="9"/>
        <v>2794114</v>
      </c>
      <c r="AN16" s="130">
        <f t="shared" si="10"/>
        <v>0.8602943</v>
      </c>
      <c r="AO16" s="130">
        <v>0</v>
      </c>
      <c r="AP16" s="130">
        <v>0</v>
      </c>
      <c r="AQ16" s="130">
        <v>0</v>
      </c>
      <c r="AR16" s="135">
        <f t="shared" si="18"/>
        <v>0.5796501188861634</v>
      </c>
    </row>
    <row r="17" spans="1:44" ht="15" customHeight="1">
      <c r="A17" s="168" t="s">
        <v>30</v>
      </c>
      <c r="B17" s="7">
        <v>22891534</v>
      </c>
      <c r="C17" s="7"/>
      <c r="D17" s="7"/>
      <c r="E17" s="7"/>
      <c r="F17" s="7"/>
      <c r="G17" s="7"/>
      <c r="H17" s="7">
        <f t="shared" si="0"/>
        <v>22891534</v>
      </c>
      <c r="I17" s="7">
        <v>5567411.280915981</v>
      </c>
      <c r="J17" s="7"/>
      <c r="K17" s="7">
        <v>-206103.28091598116</v>
      </c>
      <c r="L17" s="7">
        <f t="shared" si="11"/>
        <v>5361308</v>
      </c>
      <c r="M17" s="7">
        <v>5788170.724575301</v>
      </c>
      <c r="N17" s="7"/>
      <c r="O17" s="7">
        <f t="shared" si="1"/>
        <v>-120413.7245753007</v>
      </c>
      <c r="P17" s="7">
        <f t="shared" si="12"/>
        <v>5667757</v>
      </c>
      <c r="Q17" s="7">
        <v>5788170.724575301</v>
      </c>
      <c r="R17" s="7"/>
      <c r="S17" s="7"/>
      <c r="T17" s="7">
        <f t="shared" si="2"/>
        <v>-37442.7245753007</v>
      </c>
      <c r="U17" s="7">
        <f t="shared" si="13"/>
        <v>5750728</v>
      </c>
      <c r="V17" s="7">
        <v>6111741</v>
      </c>
      <c r="W17" s="7"/>
      <c r="X17" s="7"/>
      <c r="Y17" s="7"/>
      <c r="Z17" s="7">
        <f t="shared" si="14"/>
        <v>6111741</v>
      </c>
      <c r="AA17" s="7">
        <f t="shared" si="3"/>
        <v>22891534</v>
      </c>
      <c r="AB17" s="387">
        <f>+'[4]FUN ENE-MAR-11'!$G$63</f>
        <v>5361308</v>
      </c>
      <c r="AC17" s="387">
        <f>+'[4]FUN ABR-JUN-11'!$G$77</f>
        <v>5667757</v>
      </c>
      <c r="AD17" s="387">
        <f>+'[4]FUN JUL-SEP-11'!$G$60</f>
        <v>5750728</v>
      </c>
      <c r="AE17" s="387">
        <f>+'[4]FUN OCT-DIC-11'!$G$72</f>
        <v>5465465</v>
      </c>
      <c r="AF17" s="387">
        <f t="shared" si="15"/>
        <v>22245258</v>
      </c>
      <c r="AG17" s="7">
        <f t="shared" si="4"/>
        <v>0</v>
      </c>
      <c r="AH17" s="7">
        <f t="shared" si="5"/>
        <v>0</v>
      </c>
      <c r="AI17" s="7">
        <f t="shared" si="6"/>
        <v>0</v>
      </c>
      <c r="AJ17" s="7">
        <f t="shared" si="7"/>
        <v>646276</v>
      </c>
      <c r="AK17" s="7">
        <f t="shared" si="16"/>
        <v>22891534</v>
      </c>
      <c r="AL17" s="7">
        <f t="shared" si="8"/>
        <v>0</v>
      </c>
      <c r="AM17" s="7">
        <f t="shared" si="9"/>
        <v>646276</v>
      </c>
      <c r="AN17" s="130">
        <f t="shared" si="10"/>
        <v>0.9717679033654975</v>
      </c>
      <c r="AO17" s="130">
        <f aca="true" t="shared" si="19" ref="AO17:AO22">+AB17/L17</f>
        <v>1</v>
      </c>
      <c r="AP17" s="130">
        <f aca="true" t="shared" si="20" ref="AP17:AP22">+AC17/P17</f>
        <v>1</v>
      </c>
      <c r="AQ17" s="130">
        <f t="shared" si="17"/>
        <v>1</v>
      </c>
      <c r="AR17" s="135">
        <f t="shared" si="18"/>
        <v>0.8942566447105661</v>
      </c>
    </row>
    <row r="18" spans="1:44" ht="15" customHeight="1">
      <c r="A18" s="168" t="s">
        <v>31</v>
      </c>
      <c r="B18" s="7">
        <v>4036340</v>
      </c>
      <c r="C18" s="7"/>
      <c r="D18" s="7"/>
      <c r="E18" s="7"/>
      <c r="F18" s="7"/>
      <c r="G18" s="7"/>
      <c r="H18" s="7">
        <f t="shared" si="0"/>
        <v>4036340</v>
      </c>
      <c r="I18" s="7">
        <v>978838.6579360001</v>
      </c>
      <c r="J18" s="7"/>
      <c r="K18" s="7">
        <v>-39498.65793600015</v>
      </c>
      <c r="L18" s="7">
        <f t="shared" si="11"/>
        <v>939340</v>
      </c>
      <c r="M18" s="7">
        <v>1021728.8046</v>
      </c>
      <c r="N18" s="7"/>
      <c r="O18" s="7">
        <f t="shared" si="1"/>
        <v>-48068.80460000003</v>
      </c>
      <c r="P18" s="7">
        <f t="shared" si="12"/>
        <v>973660</v>
      </c>
      <c r="Q18" s="7">
        <v>1021728.8046</v>
      </c>
      <c r="R18" s="7"/>
      <c r="S18" s="7"/>
      <c r="T18" s="7">
        <f t="shared" si="2"/>
        <v>-6708.804600000032</v>
      </c>
      <c r="U18" s="7">
        <f t="shared" si="13"/>
        <v>1015020</v>
      </c>
      <c r="V18" s="7">
        <v>1108320</v>
      </c>
      <c r="W18" s="7"/>
      <c r="X18" s="7"/>
      <c r="Y18" s="7"/>
      <c r="Z18" s="7">
        <f t="shared" si="14"/>
        <v>1108320</v>
      </c>
      <c r="AA18" s="7">
        <f t="shared" si="3"/>
        <v>4036340</v>
      </c>
      <c r="AB18" s="387">
        <f>+'[4]FUN ENE-MAR-11'!$G$71</f>
        <v>939340</v>
      </c>
      <c r="AC18" s="387">
        <f>+'[4]FUN ABR-JUN-11'!$G$85</f>
        <v>973660</v>
      </c>
      <c r="AD18" s="387">
        <f>+'[4]FUN JUL-SEP-11'!$G$68</f>
        <v>1015020</v>
      </c>
      <c r="AE18" s="387">
        <f>+'[4]FUN OCT-DIC-11'!$G$80</f>
        <v>963820</v>
      </c>
      <c r="AF18" s="387">
        <f t="shared" si="15"/>
        <v>3891840</v>
      </c>
      <c r="AG18" s="7">
        <f t="shared" si="4"/>
        <v>0</v>
      </c>
      <c r="AH18" s="7">
        <f t="shared" si="5"/>
        <v>0</v>
      </c>
      <c r="AI18" s="7">
        <f t="shared" si="6"/>
        <v>0</v>
      </c>
      <c r="AJ18" s="7">
        <f t="shared" si="7"/>
        <v>144500</v>
      </c>
      <c r="AK18" s="7">
        <f t="shared" si="16"/>
        <v>4036340</v>
      </c>
      <c r="AL18" s="7">
        <f t="shared" si="8"/>
        <v>0</v>
      </c>
      <c r="AM18" s="7">
        <f t="shared" si="9"/>
        <v>144500</v>
      </c>
      <c r="AN18" s="130">
        <f t="shared" si="10"/>
        <v>0.964200240812221</v>
      </c>
      <c r="AO18" s="130">
        <f t="shared" si="19"/>
        <v>1</v>
      </c>
      <c r="AP18" s="130">
        <f t="shared" si="20"/>
        <v>1</v>
      </c>
      <c r="AQ18" s="130">
        <f t="shared" si="17"/>
        <v>1</v>
      </c>
      <c r="AR18" s="135">
        <f t="shared" si="18"/>
        <v>0.8696224916991483</v>
      </c>
    </row>
    <row r="19" spans="1:44" ht="15" customHeight="1">
      <c r="A19" s="168" t="s">
        <v>32</v>
      </c>
      <c r="B19" s="7">
        <v>5045425</v>
      </c>
      <c r="C19" s="7"/>
      <c r="D19" s="7"/>
      <c r="E19" s="7"/>
      <c r="F19" s="7"/>
      <c r="G19" s="7"/>
      <c r="H19" s="7">
        <f t="shared" si="0"/>
        <v>5045425</v>
      </c>
      <c r="I19" s="7">
        <v>1223548.32242</v>
      </c>
      <c r="J19" s="7"/>
      <c r="K19" s="7">
        <v>-49338.3224200001</v>
      </c>
      <c r="L19" s="7">
        <f t="shared" si="11"/>
        <v>1174210</v>
      </c>
      <c r="M19" s="7">
        <v>1277161.0057500002</v>
      </c>
      <c r="N19" s="7"/>
      <c r="O19" s="7">
        <f t="shared" si="1"/>
        <v>-59730.005750000244</v>
      </c>
      <c r="P19" s="7">
        <f t="shared" si="12"/>
        <v>1217431</v>
      </c>
      <c r="Q19" s="7">
        <v>1277161.0057500002</v>
      </c>
      <c r="R19" s="7"/>
      <c r="S19" s="7"/>
      <c r="T19" s="7">
        <f t="shared" si="2"/>
        <v>-8091.005750000244</v>
      </c>
      <c r="U19" s="7">
        <f t="shared" si="13"/>
        <v>1269070</v>
      </c>
      <c r="V19" s="7">
        <v>1384714</v>
      </c>
      <c r="W19" s="7"/>
      <c r="X19" s="7"/>
      <c r="Y19" s="7"/>
      <c r="Z19" s="7">
        <f t="shared" si="14"/>
        <v>1384714</v>
      </c>
      <c r="AA19" s="7">
        <f t="shared" si="3"/>
        <v>5045425</v>
      </c>
      <c r="AB19" s="387">
        <f>+'[4]FUN ENE-MAR-11'!$G$78</f>
        <v>1174210</v>
      </c>
      <c r="AC19" s="387">
        <f>+'[4]FUN ABR-JUN-11'!$G$92</f>
        <v>1217431</v>
      </c>
      <c r="AD19" s="387">
        <f>+'[4]FUN JUL-SEP-11'!$G$75</f>
        <v>1269070</v>
      </c>
      <c r="AE19" s="387">
        <f>+'[4]FUN OCT-DIC-11'!$G$88</f>
        <v>1204890</v>
      </c>
      <c r="AF19" s="387">
        <f t="shared" si="15"/>
        <v>4865601</v>
      </c>
      <c r="AG19" s="7">
        <f t="shared" si="4"/>
        <v>0</v>
      </c>
      <c r="AH19" s="7">
        <f t="shared" si="5"/>
        <v>0</v>
      </c>
      <c r="AI19" s="7">
        <f t="shared" si="6"/>
        <v>0</v>
      </c>
      <c r="AJ19" s="7">
        <f t="shared" si="7"/>
        <v>179824</v>
      </c>
      <c r="AK19" s="7">
        <f t="shared" si="16"/>
        <v>5045425</v>
      </c>
      <c r="AL19" s="7">
        <f t="shared" si="8"/>
        <v>0</v>
      </c>
      <c r="AM19" s="7">
        <f t="shared" si="9"/>
        <v>179824</v>
      </c>
      <c r="AN19" s="130">
        <f t="shared" si="10"/>
        <v>0.9643589984986398</v>
      </c>
      <c r="AO19" s="130">
        <f t="shared" si="19"/>
        <v>1</v>
      </c>
      <c r="AP19" s="130">
        <f t="shared" si="20"/>
        <v>1</v>
      </c>
      <c r="AQ19" s="130">
        <f t="shared" si="17"/>
        <v>1</v>
      </c>
      <c r="AR19" s="135">
        <f t="shared" si="18"/>
        <v>0.8701363602881172</v>
      </c>
    </row>
    <row r="20" spans="1:44" ht="15" customHeight="1">
      <c r="A20" s="168" t="s">
        <v>33</v>
      </c>
      <c r="B20" s="7">
        <v>900000</v>
      </c>
      <c r="C20" s="7"/>
      <c r="D20" s="7"/>
      <c r="E20" s="7"/>
      <c r="F20" s="7"/>
      <c r="G20" s="7"/>
      <c r="H20" s="7">
        <f t="shared" si="0"/>
        <v>900000</v>
      </c>
      <c r="I20" s="7">
        <v>0</v>
      </c>
      <c r="J20" s="7"/>
      <c r="K20" s="7">
        <v>0</v>
      </c>
      <c r="L20" s="7">
        <f t="shared" si="11"/>
        <v>0</v>
      </c>
      <c r="M20" s="7">
        <v>900000</v>
      </c>
      <c r="N20" s="7"/>
      <c r="O20" s="7">
        <f t="shared" si="1"/>
        <v>-300000</v>
      </c>
      <c r="P20" s="7">
        <f t="shared" si="12"/>
        <v>600000</v>
      </c>
      <c r="Q20" s="7">
        <v>300000</v>
      </c>
      <c r="R20" s="7"/>
      <c r="S20" s="7"/>
      <c r="T20" s="7">
        <f t="shared" si="2"/>
        <v>0</v>
      </c>
      <c r="U20" s="7">
        <f t="shared" si="13"/>
        <v>300000</v>
      </c>
      <c r="V20" s="7">
        <v>0</v>
      </c>
      <c r="W20" s="7"/>
      <c r="X20" s="7"/>
      <c r="Y20" s="7"/>
      <c r="Z20" s="7">
        <f t="shared" si="14"/>
        <v>0</v>
      </c>
      <c r="AA20" s="7">
        <f t="shared" si="3"/>
        <v>900000</v>
      </c>
      <c r="AB20" s="387">
        <f>+'[4]FUN ENE-MAR-11'!$G$85</f>
        <v>0</v>
      </c>
      <c r="AC20" s="387">
        <f>+'[4]FUN ABR-JUN-11'!$G$99</f>
        <v>600000</v>
      </c>
      <c r="AD20" s="387">
        <f>+'[4]FUN JUL-SEP-11'!$G$82</f>
        <v>300000</v>
      </c>
      <c r="AE20" s="387">
        <f>+'[4]FUN OCT-DIC-11'!$G$95</f>
        <v>0</v>
      </c>
      <c r="AF20" s="387">
        <f t="shared" si="15"/>
        <v>900000</v>
      </c>
      <c r="AG20" s="7">
        <f t="shared" si="4"/>
        <v>0</v>
      </c>
      <c r="AH20" s="7">
        <f t="shared" si="5"/>
        <v>0</v>
      </c>
      <c r="AI20" s="7">
        <f t="shared" si="6"/>
        <v>0</v>
      </c>
      <c r="AJ20" s="7">
        <f t="shared" si="7"/>
        <v>0</v>
      </c>
      <c r="AK20" s="7">
        <f t="shared" si="16"/>
        <v>900000</v>
      </c>
      <c r="AL20" s="7">
        <f t="shared" si="8"/>
        <v>0</v>
      </c>
      <c r="AM20" s="7">
        <f t="shared" si="9"/>
        <v>0</v>
      </c>
      <c r="AN20" s="130">
        <f t="shared" si="10"/>
        <v>1</v>
      </c>
      <c r="AO20" s="130">
        <v>0</v>
      </c>
      <c r="AP20" s="130">
        <f t="shared" si="20"/>
        <v>1</v>
      </c>
      <c r="AQ20" s="130">
        <v>0</v>
      </c>
      <c r="AR20" s="135">
        <v>0</v>
      </c>
    </row>
    <row r="21" spans="1:44" ht="15" customHeight="1" thickBot="1">
      <c r="A21" s="168" t="s">
        <v>34</v>
      </c>
      <c r="B21" s="7">
        <v>73600000</v>
      </c>
      <c r="C21" s="11"/>
      <c r="D21" s="11"/>
      <c r="E21" s="11"/>
      <c r="F21" s="11">
        <v>-4700000</v>
      </c>
      <c r="G21" s="11">
        <v>2350100</v>
      </c>
      <c r="H21" s="7">
        <f t="shared" si="0"/>
        <v>71250100</v>
      </c>
      <c r="I21" s="11">
        <v>25500000</v>
      </c>
      <c r="J21" s="11"/>
      <c r="K21" s="7">
        <v>-7838000</v>
      </c>
      <c r="L21" s="7">
        <f t="shared" si="11"/>
        <v>17662000</v>
      </c>
      <c r="M21" s="11">
        <v>21000000</v>
      </c>
      <c r="N21" s="11"/>
      <c r="O21" s="7">
        <f t="shared" si="1"/>
        <v>-2245900</v>
      </c>
      <c r="P21" s="7">
        <f t="shared" si="12"/>
        <v>18754100</v>
      </c>
      <c r="Q21" s="11">
        <v>18400000</v>
      </c>
      <c r="R21" s="11"/>
      <c r="S21" s="7"/>
      <c r="T21" s="7">
        <f t="shared" si="2"/>
        <v>-966000</v>
      </c>
      <c r="U21" s="7">
        <f t="shared" si="13"/>
        <v>17434000</v>
      </c>
      <c r="V21" s="7">
        <v>15049900</v>
      </c>
      <c r="W21" s="11">
        <v>2350100</v>
      </c>
      <c r="X21" s="11"/>
      <c r="Y21" s="11"/>
      <c r="Z21" s="7">
        <f t="shared" si="14"/>
        <v>17400000</v>
      </c>
      <c r="AA21" s="7">
        <f t="shared" si="3"/>
        <v>71250100</v>
      </c>
      <c r="AB21" s="387">
        <f>+'[4]FUN ENE-MAR-11'!$G$91</f>
        <v>17662000</v>
      </c>
      <c r="AC21" s="387">
        <f>+'[4]FUN ABR-JUN-11'!$G$105</f>
        <v>18754100</v>
      </c>
      <c r="AD21" s="387">
        <f>+'[4]FUN JUL-SEP-11'!$G$88</f>
        <v>17434000</v>
      </c>
      <c r="AE21" s="387">
        <f>+'[4]FUN OCT-DIC-11'!$G$101</f>
        <v>17400000</v>
      </c>
      <c r="AF21" s="387">
        <f>SUM(AB21:AE21)</f>
        <v>71250100</v>
      </c>
      <c r="AG21" s="11">
        <f t="shared" si="4"/>
        <v>0</v>
      </c>
      <c r="AH21" s="11">
        <f t="shared" si="5"/>
        <v>0</v>
      </c>
      <c r="AI21" s="11">
        <f t="shared" si="6"/>
        <v>0</v>
      </c>
      <c r="AJ21" s="11">
        <f t="shared" si="7"/>
        <v>0</v>
      </c>
      <c r="AK21" s="11">
        <f>+AA21</f>
        <v>71250100</v>
      </c>
      <c r="AL21" s="11">
        <f t="shared" si="8"/>
        <v>0</v>
      </c>
      <c r="AM21" s="11">
        <f t="shared" si="9"/>
        <v>0</v>
      </c>
      <c r="AN21" s="132">
        <f t="shared" si="10"/>
        <v>1</v>
      </c>
      <c r="AO21" s="132">
        <f t="shared" si="19"/>
        <v>1</v>
      </c>
      <c r="AP21" s="132">
        <f t="shared" si="20"/>
        <v>1</v>
      </c>
      <c r="AQ21" s="132">
        <f t="shared" si="17"/>
        <v>1</v>
      </c>
      <c r="AR21" s="197">
        <f>+AE21/Z21</f>
        <v>1</v>
      </c>
    </row>
    <row r="22" spans="1:44" ht="15" customHeight="1" thickBot="1">
      <c r="A22" s="50" t="s">
        <v>35</v>
      </c>
      <c r="B22" s="50">
        <f aca="true" t="shared" si="21" ref="B22:G22">SUM(B11:B21)</f>
        <v>262152979</v>
      </c>
      <c r="C22" s="50">
        <f t="shared" si="21"/>
        <v>0</v>
      </c>
      <c r="D22" s="50">
        <f t="shared" si="21"/>
        <v>0</v>
      </c>
      <c r="E22" s="50">
        <f t="shared" si="21"/>
        <v>0</v>
      </c>
      <c r="F22" s="50">
        <f t="shared" si="21"/>
        <v>-4700000</v>
      </c>
      <c r="G22" s="50">
        <f t="shared" si="21"/>
        <v>2350100</v>
      </c>
      <c r="H22" s="50">
        <f aca="true" t="shared" si="22" ref="H22:AL22">SUM(H11:H21)</f>
        <v>259803079</v>
      </c>
      <c r="I22" s="50">
        <f t="shared" si="22"/>
        <v>66195450.80994913</v>
      </c>
      <c r="J22" s="50">
        <f t="shared" si="22"/>
        <v>0</v>
      </c>
      <c r="K22" s="50">
        <f t="shared" si="22"/>
        <v>-10498471.809949126</v>
      </c>
      <c r="L22" s="50">
        <f t="shared" si="22"/>
        <v>55696979</v>
      </c>
      <c r="M22" s="50">
        <f t="shared" si="22"/>
        <v>84189946.97854935</v>
      </c>
      <c r="N22" s="50">
        <f>SUM(N11:N21)</f>
        <v>0</v>
      </c>
      <c r="O22" s="50">
        <f t="shared" si="22"/>
        <v>-10386345.978549339</v>
      </c>
      <c r="P22" s="50">
        <f t="shared" si="22"/>
        <v>73803601</v>
      </c>
      <c r="Q22" s="50">
        <f t="shared" si="22"/>
        <v>60989946.97854935</v>
      </c>
      <c r="R22" s="50">
        <f>SUM(R11:R21)</f>
        <v>0</v>
      </c>
      <c r="S22" s="50">
        <f>SUM(S11:S21)</f>
        <v>0.2613304599944968</v>
      </c>
      <c r="T22" s="50">
        <f>SUM(T11:T21)</f>
        <v>-1619406.239879799</v>
      </c>
      <c r="U22" s="50">
        <f t="shared" si="22"/>
        <v>59370541</v>
      </c>
      <c r="V22" s="50">
        <f t="shared" si="22"/>
        <v>68581858</v>
      </c>
      <c r="W22" s="50">
        <f t="shared" si="22"/>
        <v>2350100</v>
      </c>
      <c r="X22" s="50"/>
      <c r="Y22" s="50">
        <f t="shared" si="22"/>
        <v>0</v>
      </c>
      <c r="Z22" s="50">
        <f t="shared" si="22"/>
        <v>70931958</v>
      </c>
      <c r="AA22" s="50">
        <f t="shared" si="22"/>
        <v>259803079</v>
      </c>
      <c r="AB22" s="50">
        <f t="shared" si="22"/>
        <v>55696979</v>
      </c>
      <c r="AC22" s="50">
        <f t="shared" si="22"/>
        <v>73803601</v>
      </c>
      <c r="AD22" s="50">
        <f t="shared" si="22"/>
        <v>59370541</v>
      </c>
      <c r="AE22" s="50">
        <f>SUM(AE11:AE21)</f>
        <v>60235318</v>
      </c>
      <c r="AF22" s="50">
        <f t="shared" si="22"/>
        <v>249106439</v>
      </c>
      <c r="AG22" s="50">
        <f t="shared" si="22"/>
        <v>0</v>
      </c>
      <c r="AH22" s="50">
        <f t="shared" si="22"/>
        <v>0</v>
      </c>
      <c r="AI22" s="50">
        <f t="shared" si="22"/>
        <v>0</v>
      </c>
      <c r="AJ22" s="50">
        <f>SUM(AJ11:AJ21)</f>
        <v>10696640</v>
      </c>
      <c r="AK22" s="50">
        <f t="shared" si="22"/>
        <v>259803079</v>
      </c>
      <c r="AL22" s="50">
        <f t="shared" si="22"/>
        <v>0</v>
      </c>
      <c r="AM22" s="50">
        <f>SUM(AM11:AM21)</f>
        <v>10696640</v>
      </c>
      <c r="AN22" s="148">
        <f t="shared" si="10"/>
        <v>0.9588278936447863</v>
      </c>
      <c r="AO22" s="148">
        <f t="shared" si="19"/>
        <v>1</v>
      </c>
      <c r="AP22" s="148">
        <f t="shared" si="20"/>
        <v>1</v>
      </c>
      <c r="AQ22" s="148">
        <f t="shared" si="17"/>
        <v>1</v>
      </c>
      <c r="AR22" s="148">
        <f>+AE22/Z22</f>
        <v>0.8491985798559233</v>
      </c>
    </row>
    <row r="23" spans="1:44" ht="15" customHeight="1">
      <c r="A23" s="171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4"/>
      <c r="AH23" s="44"/>
      <c r="AI23" s="44"/>
      <c r="AJ23" s="44"/>
      <c r="AK23" s="44"/>
      <c r="AL23" s="44"/>
      <c r="AM23" s="37"/>
      <c r="AN23" s="113"/>
      <c r="AO23" s="113"/>
      <c r="AP23" s="113"/>
      <c r="AQ23" s="113"/>
      <c r="AR23" s="114"/>
    </row>
    <row r="24" spans="1:44" ht="15" customHeight="1">
      <c r="A24" s="173" t="s">
        <v>36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127"/>
      <c r="W24" s="127"/>
      <c r="X24" s="127"/>
      <c r="Y24" s="127"/>
      <c r="Z24" s="127"/>
      <c r="AA24" s="7"/>
      <c r="AB24" s="7"/>
      <c r="AC24" s="7"/>
      <c r="AD24" s="7"/>
      <c r="AE24" s="7"/>
      <c r="AF24" s="7"/>
      <c r="AG24" s="7"/>
      <c r="AH24" s="36"/>
      <c r="AI24" s="36"/>
      <c r="AJ24" s="36"/>
      <c r="AK24" s="36"/>
      <c r="AL24" s="36"/>
      <c r="AM24" s="7"/>
      <c r="AN24" s="64"/>
      <c r="AO24" s="64"/>
      <c r="AP24" s="64"/>
      <c r="AQ24" s="64"/>
      <c r="AR24" s="183"/>
    </row>
    <row r="25" spans="1:44" ht="15" customHeight="1">
      <c r="A25" s="170" t="s">
        <v>37</v>
      </c>
      <c r="B25" s="12">
        <v>66771061.416</v>
      </c>
      <c r="C25" s="7"/>
      <c r="D25" s="7"/>
      <c r="E25" s="7"/>
      <c r="F25" s="7"/>
      <c r="G25" s="7"/>
      <c r="H25" s="7">
        <f aca="true" t="shared" si="23" ref="H25:H38">SUM(B25:G25)</f>
        <v>66771061.416</v>
      </c>
      <c r="I25" s="12">
        <v>18043241.64</v>
      </c>
      <c r="J25" s="34"/>
      <c r="K25" s="7">
        <v>0</v>
      </c>
      <c r="L25" s="7">
        <f aca="true" t="shared" si="24" ref="L25:L38">SUM(I25:K25)</f>
        <v>18043241.64</v>
      </c>
      <c r="M25" s="7">
        <v>33919922</v>
      </c>
      <c r="N25" s="7"/>
      <c r="O25" s="7">
        <f aca="true" t="shared" si="25" ref="O25:O37">+AC25-M25-N25</f>
        <v>-280797</v>
      </c>
      <c r="P25" s="7">
        <f aca="true" t="shared" si="26" ref="P25:P38">+SUM(M25:O25)</f>
        <v>33639125</v>
      </c>
      <c r="Q25" s="7">
        <v>10000000</v>
      </c>
      <c r="R25" s="7"/>
      <c r="S25" s="7"/>
      <c r="T25" s="7">
        <f aca="true" t="shared" si="27" ref="T25:T38">-Q25-R25-S25+AD25</f>
        <v>-5796042</v>
      </c>
      <c r="U25" s="7">
        <f aca="true" t="shared" si="28" ref="U25:U38">+SUM(Q25:T25)</f>
        <v>4203958</v>
      </c>
      <c r="V25" s="7">
        <v>10884736.776</v>
      </c>
      <c r="W25" s="7"/>
      <c r="X25" s="7"/>
      <c r="Y25" s="7"/>
      <c r="Z25" s="7">
        <f aca="true" t="shared" si="29" ref="Z25:Z38">+SUM(V25:Y25)</f>
        <v>10884736.776</v>
      </c>
      <c r="AA25" s="7">
        <f aca="true" t="shared" si="30" ref="AA25:AA38">+L25+P25+U25+Z25</f>
        <v>66771061.416</v>
      </c>
      <c r="AB25" s="357">
        <f>+'[4]FUN ENE-MAR-11'!$G$103</f>
        <v>18043241.64</v>
      </c>
      <c r="AC25" s="357">
        <f>+'[4]FUN ABR-JUN-11'!$G$118</f>
        <v>33639125</v>
      </c>
      <c r="AD25" s="357">
        <f>+'[4]FUN JUL-SEP-11'!$G$98</f>
        <v>4203958</v>
      </c>
      <c r="AE25" s="357">
        <f>+'[4]FUN OCT-DIC-11'!$G$110</f>
        <v>10659163</v>
      </c>
      <c r="AF25" s="357">
        <f aca="true" t="shared" si="31" ref="AF25:AF38">SUM(AB25:AE25)</f>
        <v>66545487.64</v>
      </c>
      <c r="AG25" s="7">
        <f aca="true" t="shared" si="32" ref="AG25:AG38">+L25-AB25</f>
        <v>0</v>
      </c>
      <c r="AH25" s="7">
        <f aca="true" t="shared" si="33" ref="AH25:AH36">+P25-AC25</f>
        <v>0</v>
      </c>
      <c r="AI25" s="7">
        <f aca="true" t="shared" si="34" ref="AI25:AI38">+U25-AD25</f>
        <v>0</v>
      </c>
      <c r="AJ25" s="7">
        <f aca="true" t="shared" si="35" ref="AJ25:AJ38">+Z25-AE25</f>
        <v>225573.77600000054</v>
      </c>
      <c r="AK25" s="7">
        <f>+AA25</f>
        <v>66771061.416</v>
      </c>
      <c r="AL25" s="141">
        <f aca="true" t="shared" si="36" ref="AL25:AL38">+H25-AK25</f>
        <v>0</v>
      </c>
      <c r="AM25" s="7">
        <f aca="true" t="shared" si="37" ref="AM25:AM38">+AK25-AF25</f>
        <v>225573.77600000054</v>
      </c>
      <c r="AN25" s="130">
        <f aca="true" t="shared" si="38" ref="AN25:AN39">+AF25/H25</f>
        <v>0.996621683537504</v>
      </c>
      <c r="AO25" s="130">
        <v>0</v>
      </c>
      <c r="AP25" s="130">
        <f aca="true" t="shared" si="39" ref="AP25:AP37">+AC25/P25</f>
        <v>1</v>
      </c>
      <c r="AQ25" s="130">
        <f>+AD25/U25</f>
        <v>1</v>
      </c>
      <c r="AR25" s="135">
        <f aca="true" t="shared" si="40" ref="AR25:AR39">+AE25/Z25</f>
        <v>0.979276138629519</v>
      </c>
    </row>
    <row r="26" spans="1:44" ht="15" customHeight="1">
      <c r="A26" s="170" t="s">
        <v>38</v>
      </c>
      <c r="B26" s="12">
        <v>6349081.800000001</v>
      </c>
      <c r="C26" s="7"/>
      <c r="D26" s="7"/>
      <c r="E26" s="7"/>
      <c r="F26" s="7"/>
      <c r="G26" s="7"/>
      <c r="H26" s="7">
        <f t="shared" si="23"/>
        <v>6349081.800000001</v>
      </c>
      <c r="I26" s="12">
        <v>3230000</v>
      </c>
      <c r="J26" s="34"/>
      <c r="K26" s="7">
        <v>-120680</v>
      </c>
      <c r="L26" s="7">
        <f t="shared" si="24"/>
        <v>3109320</v>
      </c>
      <c r="M26" s="7">
        <v>1031700</v>
      </c>
      <c r="N26" s="7"/>
      <c r="O26" s="7">
        <f t="shared" si="25"/>
        <v>-12220</v>
      </c>
      <c r="P26" s="7">
        <f t="shared" si="26"/>
        <v>1019480</v>
      </c>
      <c r="Q26" s="7">
        <v>1110000</v>
      </c>
      <c r="R26" s="7"/>
      <c r="S26" s="7"/>
      <c r="T26" s="7">
        <f t="shared" si="27"/>
        <v>-5100</v>
      </c>
      <c r="U26" s="7">
        <f t="shared" si="28"/>
        <v>1104900</v>
      </c>
      <c r="V26" s="7">
        <v>1115381.8000000007</v>
      </c>
      <c r="W26" s="7"/>
      <c r="X26" s="7"/>
      <c r="Y26" s="7"/>
      <c r="Z26" s="7">
        <f t="shared" si="29"/>
        <v>1115381.8000000007</v>
      </c>
      <c r="AA26" s="7">
        <f t="shared" si="30"/>
        <v>6349081.800000001</v>
      </c>
      <c r="AB26" s="357">
        <f>+'[4]FUN ENE-MAR-11'!$G$113</f>
        <v>3109320</v>
      </c>
      <c r="AC26" s="357">
        <f>+'[4]FUN ABR-JUN-11'!$G$131</f>
        <v>1019480</v>
      </c>
      <c r="AD26" s="357">
        <f>+'[4]FUN JUL-SEP-11'!$G$104</f>
        <v>1104900</v>
      </c>
      <c r="AE26" s="357">
        <f>+'[4]FUN OCT-DIC-11'!$G$123</f>
        <v>1107550</v>
      </c>
      <c r="AF26" s="357">
        <f t="shared" si="31"/>
        <v>6341250</v>
      </c>
      <c r="AG26" s="7">
        <f t="shared" si="32"/>
        <v>0</v>
      </c>
      <c r="AH26" s="7">
        <f t="shared" si="33"/>
        <v>0</v>
      </c>
      <c r="AI26" s="7">
        <f t="shared" si="34"/>
        <v>0</v>
      </c>
      <c r="AJ26" s="7">
        <f t="shared" si="35"/>
        <v>7831.800000000745</v>
      </c>
      <c r="AK26" s="7">
        <f aca="true" t="shared" si="41" ref="AK26:AK38">+AA26</f>
        <v>6349081.800000001</v>
      </c>
      <c r="AL26" s="141">
        <f t="shared" si="36"/>
        <v>0</v>
      </c>
      <c r="AM26" s="7">
        <f t="shared" si="37"/>
        <v>7831.800000000745</v>
      </c>
      <c r="AN26" s="130">
        <f t="shared" si="38"/>
        <v>0.9987664673024057</v>
      </c>
      <c r="AO26" s="130">
        <f aca="true" t="shared" si="42" ref="AO26:AO35">+AB26/L26</f>
        <v>1</v>
      </c>
      <c r="AP26" s="130">
        <f t="shared" si="39"/>
        <v>1</v>
      </c>
      <c r="AQ26" s="130">
        <f aca="true" t="shared" si="43" ref="AQ26:AQ38">+AD26/U26</f>
        <v>1</v>
      </c>
      <c r="AR26" s="135">
        <v>0</v>
      </c>
    </row>
    <row r="27" spans="1:44" ht="15" customHeight="1">
      <c r="A27" s="170" t="s">
        <v>39</v>
      </c>
      <c r="B27" s="12">
        <v>17031700</v>
      </c>
      <c r="C27" s="7"/>
      <c r="D27" s="7"/>
      <c r="E27" s="7"/>
      <c r="F27" s="7"/>
      <c r="G27" s="7"/>
      <c r="H27" s="7">
        <f t="shared" si="23"/>
        <v>17031700</v>
      </c>
      <c r="I27" s="12">
        <v>4257500</v>
      </c>
      <c r="J27" s="34"/>
      <c r="K27" s="7">
        <v>-13641</v>
      </c>
      <c r="L27" s="7">
        <f t="shared" si="24"/>
        <v>4243859</v>
      </c>
      <c r="M27" s="7">
        <v>4257925</v>
      </c>
      <c r="N27" s="7"/>
      <c r="O27" s="7">
        <f t="shared" si="25"/>
        <v>-94834.20000000019</v>
      </c>
      <c r="P27" s="7">
        <f t="shared" si="26"/>
        <v>4163090.8</v>
      </c>
      <c r="Q27" s="7">
        <v>4257925</v>
      </c>
      <c r="R27" s="7"/>
      <c r="S27" s="7"/>
      <c r="T27" s="7">
        <f t="shared" si="27"/>
        <v>-691</v>
      </c>
      <c r="U27" s="7">
        <f t="shared" si="28"/>
        <v>4257234</v>
      </c>
      <c r="V27" s="7">
        <v>4367516.199999999</v>
      </c>
      <c r="W27" s="7"/>
      <c r="X27" s="7"/>
      <c r="Y27" s="7"/>
      <c r="Z27" s="7">
        <f t="shared" si="29"/>
        <v>4367516.199999999</v>
      </c>
      <c r="AA27" s="7">
        <f t="shared" si="30"/>
        <v>17031700</v>
      </c>
      <c r="AB27" s="357">
        <f>+'[4]FUN ENE-MAR-11'!$G$121</f>
        <v>4243859</v>
      </c>
      <c r="AC27" s="357">
        <f>+'[4]FUN ABR-JUN-11'!$G$139</f>
        <v>4163090.8</v>
      </c>
      <c r="AD27" s="357">
        <f>+'[4]FUN JUL-SEP-11'!$G$110</f>
        <v>4257234</v>
      </c>
      <c r="AE27" s="357">
        <f>+'[4]FUN OCT-DIC-11'!$G$131</f>
        <v>4367516</v>
      </c>
      <c r="AF27" s="357">
        <f t="shared" si="31"/>
        <v>17031699.8</v>
      </c>
      <c r="AG27" s="7">
        <f t="shared" si="32"/>
        <v>0</v>
      </c>
      <c r="AH27" s="7">
        <f t="shared" si="33"/>
        <v>0</v>
      </c>
      <c r="AI27" s="7">
        <f t="shared" si="34"/>
        <v>0</v>
      </c>
      <c r="AJ27" s="7">
        <f t="shared" si="35"/>
        <v>0.19999999925494194</v>
      </c>
      <c r="AK27" s="7">
        <f t="shared" si="41"/>
        <v>17031700</v>
      </c>
      <c r="AL27" s="141">
        <f t="shared" si="36"/>
        <v>0</v>
      </c>
      <c r="AM27" s="7">
        <f t="shared" si="37"/>
        <v>0.19999999925494194</v>
      </c>
      <c r="AN27" s="130">
        <f t="shared" si="38"/>
        <v>0.999999988257191</v>
      </c>
      <c r="AO27" s="130">
        <f t="shared" si="42"/>
        <v>1</v>
      </c>
      <c r="AP27" s="130">
        <f t="shared" si="39"/>
        <v>1</v>
      </c>
      <c r="AQ27" s="130">
        <f t="shared" si="43"/>
        <v>1</v>
      </c>
      <c r="AR27" s="135">
        <f t="shared" si="40"/>
        <v>0.9999999542073824</v>
      </c>
    </row>
    <row r="28" spans="1:44" ht="15" customHeight="1">
      <c r="A28" s="170" t="s">
        <v>40</v>
      </c>
      <c r="B28" s="12">
        <v>22344266.2524</v>
      </c>
      <c r="C28" s="7"/>
      <c r="D28" s="7"/>
      <c r="E28" s="7"/>
      <c r="F28" s="7"/>
      <c r="G28" s="7"/>
      <c r="H28" s="7">
        <f t="shared" si="23"/>
        <v>22344266.2524</v>
      </c>
      <c r="I28" s="12">
        <v>8909797.29</v>
      </c>
      <c r="J28" s="34"/>
      <c r="K28" s="7">
        <v>-3381054.29</v>
      </c>
      <c r="L28" s="7">
        <f t="shared" si="24"/>
        <v>5528742.999999999</v>
      </c>
      <c r="M28" s="7">
        <v>5554202</v>
      </c>
      <c r="N28" s="7"/>
      <c r="O28" s="7">
        <f t="shared" si="25"/>
        <v>-3137063</v>
      </c>
      <c r="P28" s="7">
        <f t="shared" si="26"/>
        <v>2417139</v>
      </c>
      <c r="Q28" s="7">
        <v>5554201.5</v>
      </c>
      <c r="R28" s="7"/>
      <c r="S28" s="7"/>
      <c r="T28" s="7">
        <f t="shared" si="27"/>
        <v>-1692191.5</v>
      </c>
      <c r="U28" s="7">
        <f t="shared" si="28"/>
        <v>3862010</v>
      </c>
      <c r="V28" s="7">
        <v>10536374.2524</v>
      </c>
      <c r="W28" s="7"/>
      <c r="X28" s="7"/>
      <c r="Y28" s="7"/>
      <c r="Z28" s="7">
        <f t="shared" si="29"/>
        <v>10536374.2524</v>
      </c>
      <c r="AA28" s="7">
        <f t="shared" si="30"/>
        <v>22344266.2524</v>
      </c>
      <c r="AB28" s="357">
        <f>+'[4]FUN ENE-MAR-11'!$G$130</f>
        <v>5528743</v>
      </c>
      <c r="AC28" s="357">
        <f>+'[4]FUN ABR-JUN-11'!$G$150</f>
        <v>2417139</v>
      </c>
      <c r="AD28" s="357">
        <f>+'[4]FUN JUL-SEP-11'!$G$121</f>
        <v>3862010</v>
      </c>
      <c r="AE28" s="357">
        <f>+'[4]FUN OCT-DIC-11'!$G$144</f>
        <v>7171890</v>
      </c>
      <c r="AF28" s="357">
        <f t="shared" si="31"/>
        <v>18979782</v>
      </c>
      <c r="AG28" s="7">
        <f t="shared" si="32"/>
        <v>0</v>
      </c>
      <c r="AH28" s="7">
        <f t="shared" si="33"/>
        <v>0</v>
      </c>
      <c r="AI28" s="7">
        <f t="shared" si="34"/>
        <v>0</v>
      </c>
      <c r="AJ28" s="7">
        <f t="shared" si="35"/>
        <v>3364484.2523999996</v>
      </c>
      <c r="AK28" s="7">
        <f t="shared" si="41"/>
        <v>22344266.2524</v>
      </c>
      <c r="AL28" s="141">
        <f t="shared" si="36"/>
        <v>0</v>
      </c>
      <c r="AM28" s="7">
        <f t="shared" si="37"/>
        <v>3364484.2523999996</v>
      </c>
      <c r="AN28" s="130">
        <f t="shared" si="38"/>
        <v>0.8494251628406629</v>
      </c>
      <c r="AO28" s="130">
        <f t="shared" si="42"/>
        <v>1.0000000000000002</v>
      </c>
      <c r="AP28" s="130">
        <f t="shared" si="39"/>
        <v>1</v>
      </c>
      <c r="AQ28" s="130">
        <f t="shared" si="43"/>
        <v>1</v>
      </c>
      <c r="AR28" s="135">
        <f t="shared" si="40"/>
        <v>0.680679124354981</v>
      </c>
    </row>
    <row r="29" spans="1:44" ht="15" customHeight="1">
      <c r="A29" s="170" t="s">
        <v>41</v>
      </c>
      <c r="B29" s="12">
        <v>25582185.3362</v>
      </c>
      <c r="C29" s="7"/>
      <c r="D29" s="12">
        <v>-807247</v>
      </c>
      <c r="E29" s="7"/>
      <c r="F29" s="7"/>
      <c r="G29" s="7"/>
      <c r="H29" s="7">
        <f t="shared" si="23"/>
        <v>24774938.3362</v>
      </c>
      <c r="I29" s="12">
        <v>6389667.145</v>
      </c>
      <c r="J29" s="34"/>
      <c r="K29" s="7">
        <v>-516682.14499999955</v>
      </c>
      <c r="L29" s="7">
        <f t="shared" si="24"/>
        <v>5872985</v>
      </c>
      <c r="M29" s="7">
        <v>6395546.33405</v>
      </c>
      <c r="N29" s="7"/>
      <c r="O29" s="7">
        <f t="shared" si="25"/>
        <v>-0.3340499997138977</v>
      </c>
      <c r="P29" s="7">
        <f t="shared" si="26"/>
        <v>6395546</v>
      </c>
      <c r="Q29" s="7">
        <v>6395546.33405</v>
      </c>
      <c r="R29" s="7"/>
      <c r="S29" s="7"/>
      <c r="T29" s="7">
        <f t="shared" si="27"/>
        <v>-0.4340499993413687</v>
      </c>
      <c r="U29" s="7">
        <f t="shared" si="28"/>
        <v>6395545.9</v>
      </c>
      <c r="V29" s="7">
        <v>6110861.4361999985</v>
      </c>
      <c r="W29" s="7"/>
      <c r="X29" s="7"/>
      <c r="Y29" s="7"/>
      <c r="Z29" s="7">
        <f t="shared" si="29"/>
        <v>6110861.4361999985</v>
      </c>
      <c r="AA29" s="7">
        <f t="shared" si="30"/>
        <v>24774938.3362</v>
      </c>
      <c r="AB29" s="357">
        <f>+'[4]FUN ENE-MAR-11'!$G$141</f>
        <v>5872985</v>
      </c>
      <c r="AC29" s="357">
        <f>+'[4]FUN ABR-JUN-11'!$G$161</f>
        <v>6395546</v>
      </c>
      <c r="AD29" s="357">
        <f>+'[4]FUN JUL-SEP-11'!$G$132</f>
        <v>6395545.9</v>
      </c>
      <c r="AE29" s="357">
        <f>+'[4]FUN OCT-DIC-11'!$G$157</f>
        <v>3550969</v>
      </c>
      <c r="AF29" s="357">
        <f t="shared" si="31"/>
        <v>22215045.9</v>
      </c>
      <c r="AG29" s="7">
        <f t="shared" si="32"/>
        <v>0</v>
      </c>
      <c r="AH29" s="7">
        <f t="shared" si="33"/>
        <v>0</v>
      </c>
      <c r="AI29" s="7">
        <f t="shared" si="34"/>
        <v>0</v>
      </c>
      <c r="AJ29" s="7">
        <f t="shared" si="35"/>
        <v>2559892.4361999985</v>
      </c>
      <c r="AK29" s="7">
        <f t="shared" si="41"/>
        <v>24774938.3362</v>
      </c>
      <c r="AL29" s="141">
        <f t="shared" si="36"/>
        <v>0</v>
      </c>
      <c r="AM29" s="7">
        <f t="shared" si="37"/>
        <v>2559892.4362000003</v>
      </c>
      <c r="AN29" s="130">
        <f t="shared" si="38"/>
        <v>0.8966741147258638</v>
      </c>
      <c r="AO29" s="130">
        <f t="shared" si="42"/>
        <v>1</v>
      </c>
      <c r="AP29" s="130">
        <f t="shared" si="39"/>
        <v>1</v>
      </c>
      <c r="AQ29" s="130">
        <f t="shared" si="43"/>
        <v>1</v>
      </c>
      <c r="AR29" s="135">
        <f t="shared" si="40"/>
        <v>0.5810913955542327</v>
      </c>
    </row>
    <row r="30" spans="1:44" ht="15" customHeight="1">
      <c r="A30" s="170" t="s">
        <v>42</v>
      </c>
      <c r="B30" s="12">
        <v>40360252.5648</v>
      </c>
      <c r="C30" s="7"/>
      <c r="D30" s="12">
        <v>807247</v>
      </c>
      <c r="E30" s="7"/>
      <c r="F30" s="7"/>
      <c r="G30" s="7"/>
      <c r="H30" s="7">
        <f t="shared" si="23"/>
        <v>41167499.5648</v>
      </c>
      <c r="I30" s="12">
        <v>10274914.35</v>
      </c>
      <c r="J30" s="34"/>
      <c r="K30" s="7">
        <v>-577488.35</v>
      </c>
      <c r="L30" s="7">
        <f t="shared" si="24"/>
        <v>9697426</v>
      </c>
      <c r="M30" s="7">
        <v>10886324</v>
      </c>
      <c r="N30" s="7"/>
      <c r="O30" s="7">
        <f t="shared" si="25"/>
        <v>0</v>
      </c>
      <c r="P30" s="7">
        <f t="shared" si="26"/>
        <v>10886324</v>
      </c>
      <c r="Q30" s="7">
        <v>10886324</v>
      </c>
      <c r="R30" s="7"/>
      <c r="S30" s="7"/>
      <c r="T30" s="7">
        <f t="shared" si="27"/>
        <v>-594451</v>
      </c>
      <c r="U30" s="7">
        <f t="shared" si="28"/>
        <v>10291873</v>
      </c>
      <c r="V30" s="7">
        <v>10291876.564800002</v>
      </c>
      <c r="W30" s="7"/>
      <c r="X30" s="7"/>
      <c r="Y30" s="7"/>
      <c r="Z30" s="7">
        <f t="shared" si="29"/>
        <v>10291876.564800002</v>
      </c>
      <c r="AA30" s="7">
        <f t="shared" si="30"/>
        <v>41167499.5648</v>
      </c>
      <c r="AB30" s="357">
        <f>+'[4]FUN ENE-MAR-11'!$G$174</f>
        <v>9697426</v>
      </c>
      <c r="AC30" s="357">
        <f>+'[4]FUN ABR-JUN-11'!$G$193</f>
        <v>10886324</v>
      </c>
      <c r="AD30" s="357">
        <f>+'[4]FUN JUL-SEP-11'!$G$160</f>
        <v>10291873</v>
      </c>
      <c r="AE30" s="357">
        <f>+'[4]FUN OCT-DIC-11'!$G$187</f>
        <v>10291875</v>
      </c>
      <c r="AF30" s="357">
        <f t="shared" si="31"/>
        <v>41167498</v>
      </c>
      <c r="AG30" s="7">
        <f t="shared" si="32"/>
        <v>0</v>
      </c>
      <c r="AH30" s="7">
        <f t="shared" si="33"/>
        <v>0</v>
      </c>
      <c r="AI30" s="7">
        <f t="shared" si="34"/>
        <v>0</v>
      </c>
      <c r="AJ30" s="7">
        <f t="shared" si="35"/>
        <v>1.564800001680851</v>
      </c>
      <c r="AK30" s="7">
        <f t="shared" si="41"/>
        <v>41167499.5648</v>
      </c>
      <c r="AL30" s="141">
        <f t="shared" si="36"/>
        <v>0</v>
      </c>
      <c r="AM30" s="7">
        <f t="shared" si="37"/>
        <v>1.564800001680851</v>
      </c>
      <c r="AN30" s="130">
        <f t="shared" si="38"/>
        <v>0.999999961989433</v>
      </c>
      <c r="AO30" s="130">
        <f t="shared" si="42"/>
        <v>1</v>
      </c>
      <c r="AP30" s="130">
        <f t="shared" si="39"/>
        <v>1</v>
      </c>
      <c r="AQ30" s="130">
        <f t="shared" si="43"/>
        <v>1</v>
      </c>
      <c r="AR30" s="135">
        <f t="shared" si="40"/>
        <v>0.9999998479577566</v>
      </c>
    </row>
    <row r="31" spans="1:44" ht="15" customHeight="1">
      <c r="A31" s="170" t="s">
        <v>43</v>
      </c>
      <c r="B31" s="12">
        <v>18000000</v>
      </c>
      <c r="C31" s="7"/>
      <c r="D31" s="7"/>
      <c r="E31" s="7"/>
      <c r="F31" s="7"/>
      <c r="G31" s="7"/>
      <c r="H31" s="7">
        <f t="shared" si="23"/>
        <v>18000000</v>
      </c>
      <c r="I31" s="12">
        <v>4000000</v>
      </c>
      <c r="J31" s="34"/>
      <c r="K31" s="7">
        <v>-129951</v>
      </c>
      <c r="L31" s="7">
        <f t="shared" si="24"/>
        <v>3870049</v>
      </c>
      <c r="M31" s="7">
        <v>4000000</v>
      </c>
      <c r="N31" s="7">
        <v>-2447442</v>
      </c>
      <c r="O31" s="7">
        <f t="shared" si="25"/>
        <v>-467061</v>
      </c>
      <c r="P31" s="7">
        <f t="shared" si="26"/>
        <v>1085497</v>
      </c>
      <c r="Q31" s="7">
        <v>4000000</v>
      </c>
      <c r="R31" s="7"/>
      <c r="S31" s="7"/>
      <c r="T31" s="7">
        <f t="shared" si="27"/>
        <v>-15311</v>
      </c>
      <c r="U31" s="7">
        <f t="shared" si="28"/>
        <v>3984689</v>
      </c>
      <c r="V31" s="7">
        <v>9059765</v>
      </c>
      <c r="W31" s="7"/>
      <c r="X31" s="7"/>
      <c r="Y31" s="7"/>
      <c r="Z31" s="7">
        <f t="shared" si="29"/>
        <v>9059765</v>
      </c>
      <c r="AA31" s="7">
        <f t="shared" si="30"/>
        <v>18000000</v>
      </c>
      <c r="AB31" s="357">
        <f>+'[4]FUN ENE-MAR-11'!$G$184</f>
        <v>3870049</v>
      </c>
      <c r="AC31" s="357">
        <f>+'[4]FUN ABR-JUN-11'!$G$205</f>
        <v>1085497</v>
      </c>
      <c r="AD31" s="357">
        <f>+'[4]FUN JUL-SEP-11'!$G$170</f>
        <v>3984689</v>
      </c>
      <c r="AE31" s="357">
        <f>+'[4]FUN OCT-DIC-11'!$G$198</f>
        <v>6980258</v>
      </c>
      <c r="AF31" s="357">
        <f t="shared" si="31"/>
        <v>15920493</v>
      </c>
      <c r="AG31" s="7">
        <f t="shared" si="32"/>
        <v>0</v>
      </c>
      <c r="AH31" s="7">
        <f t="shared" si="33"/>
        <v>0</v>
      </c>
      <c r="AI31" s="7">
        <f t="shared" si="34"/>
        <v>0</v>
      </c>
      <c r="AJ31" s="7">
        <f t="shared" si="35"/>
        <v>2079507</v>
      </c>
      <c r="AK31" s="7">
        <f t="shared" si="41"/>
        <v>18000000</v>
      </c>
      <c r="AL31" s="141">
        <f>+H31-AK31</f>
        <v>0</v>
      </c>
      <c r="AM31" s="7">
        <f t="shared" si="37"/>
        <v>2079507</v>
      </c>
      <c r="AN31" s="130">
        <f t="shared" si="38"/>
        <v>0.8844718333333333</v>
      </c>
      <c r="AO31" s="130">
        <f t="shared" si="42"/>
        <v>1</v>
      </c>
      <c r="AP31" s="130">
        <f t="shared" si="39"/>
        <v>1</v>
      </c>
      <c r="AQ31" s="130">
        <f t="shared" si="43"/>
        <v>1</v>
      </c>
      <c r="AR31" s="135">
        <f t="shared" si="40"/>
        <v>0.7704678874120907</v>
      </c>
    </row>
    <row r="32" spans="1:44" ht="15" customHeight="1">
      <c r="A32" s="170" t="s">
        <v>44</v>
      </c>
      <c r="B32" s="12">
        <v>9726867.6</v>
      </c>
      <c r="C32" s="7"/>
      <c r="D32" s="7"/>
      <c r="E32" s="7"/>
      <c r="F32" s="7"/>
      <c r="G32" s="7"/>
      <c r="H32" s="7">
        <f t="shared" si="23"/>
        <v>9726867.6</v>
      </c>
      <c r="I32" s="12">
        <v>1802500</v>
      </c>
      <c r="J32" s="34"/>
      <c r="K32" s="7">
        <v>-36814</v>
      </c>
      <c r="L32" s="7">
        <f t="shared" si="24"/>
        <v>1765686</v>
      </c>
      <c r="M32" s="233">
        <v>1805475</v>
      </c>
      <c r="N32" s="7">
        <v>1764351</v>
      </c>
      <c r="O32" s="7">
        <f t="shared" si="25"/>
        <v>0</v>
      </c>
      <c r="P32" s="7">
        <f t="shared" si="26"/>
        <v>3569826</v>
      </c>
      <c r="Q32" s="34">
        <v>1805475</v>
      </c>
      <c r="R32" s="34"/>
      <c r="S32" s="7"/>
      <c r="T32" s="7">
        <f t="shared" si="27"/>
        <v>-346475</v>
      </c>
      <c r="U32" s="7">
        <f t="shared" si="28"/>
        <v>1459000</v>
      </c>
      <c r="V32" s="7">
        <v>2932355.5999999996</v>
      </c>
      <c r="W32" s="7"/>
      <c r="X32" s="7"/>
      <c r="Y32" s="7"/>
      <c r="Z32" s="7">
        <f t="shared" si="29"/>
        <v>2932355.5999999996</v>
      </c>
      <c r="AA32" s="7">
        <f t="shared" si="30"/>
        <v>9726867.6</v>
      </c>
      <c r="AB32" s="357">
        <f>+'[4]FUN ENE-MAR-11'!$G$197</f>
        <v>1765686</v>
      </c>
      <c r="AC32" s="357">
        <f>+'[4]FUN ABR-JUN-11'!$G$218</f>
        <v>3569826</v>
      </c>
      <c r="AD32" s="357">
        <f>+'[4]FUN JUL-SEP-11'!$G$187</f>
        <v>1459000</v>
      </c>
      <c r="AE32" s="357">
        <f>+'[4]FUN OCT-DIC-11'!$G$224</f>
        <v>2932346</v>
      </c>
      <c r="AF32" s="357">
        <f t="shared" si="31"/>
        <v>9726858</v>
      </c>
      <c r="AG32" s="7">
        <f t="shared" si="32"/>
        <v>0</v>
      </c>
      <c r="AH32" s="7">
        <f t="shared" si="33"/>
        <v>0</v>
      </c>
      <c r="AI32" s="7">
        <f t="shared" si="34"/>
        <v>0</v>
      </c>
      <c r="AJ32" s="7">
        <f t="shared" si="35"/>
        <v>9.599999999627471</v>
      </c>
      <c r="AK32" s="7">
        <f t="shared" si="41"/>
        <v>9726867.6</v>
      </c>
      <c r="AL32" s="141">
        <f t="shared" si="36"/>
        <v>0</v>
      </c>
      <c r="AM32" s="7">
        <f t="shared" si="37"/>
        <v>9.599999999627471</v>
      </c>
      <c r="AN32" s="130">
        <f t="shared" si="38"/>
        <v>0.9999990130430069</v>
      </c>
      <c r="AO32" s="130">
        <f t="shared" si="42"/>
        <v>1</v>
      </c>
      <c r="AP32" s="130">
        <f t="shared" si="39"/>
        <v>1</v>
      </c>
      <c r="AQ32" s="130">
        <f t="shared" si="43"/>
        <v>1</v>
      </c>
      <c r="AR32" s="135">
        <f t="shared" si="40"/>
        <v>0.9999967261815041</v>
      </c>
    </row>
    <row r="33" spans="1:44" ht="15" customHeight="1">
      <c r="A33" s="170" t="s">
        <v>45</v>
      </c>
      <c r="B33" s="12">
        <v>30000000</v>
      </c>
      <c r="C33" s="7"/>
      <c r="D33" s="7"/>
      <c r="E33" s="7"/>
      <c r="F33" s="7"/>
      <c r="G33" s="7">
        <v>-2350100</v>
      </c>
      <c r="H33" s="7">
        <f t="shared" si="23"/>
        <v>27649900</v>
      </c>
      <c r="I33" s="12">
        <v>7500000</v>
      </c>
      <c r="J33" s="34"/>
      <c r="K33" s="7">
        <v>-2745345</v>
      </c>
      <c r="L33" s="7">
        <f t="shared" si="24"/>
        <v>4754655</v>
      </c>
      <c r="M33" s="7">
        <v>7500000</v>
      </c>
      <c r="N33" s="7"/>
      <c r="O33" s="7">
        <f t="shared" si="25"/>
        <v>-6344190</v>
      </c>
      <c r="P33" s="7">
        <f t="shared" si="26"/>
        <v>1155810</v>
      </c>
      <c r="Q33" s="34">
        <v>3750000</v>
      </c>
      <c r="R33" s="34"/>
      <c r="S33" s="7"/>
      <c r="T33" s="7">
        <f t="shared" si="27"/>
        <v>-177090</v>
      </c>
      <c r="U33" s="7">
        <f t="shared" si="28"/>
        <v>3572910</v>
      </c>
      <c r="V33" s="7">
        <v>20516625</v>
      </c>
      <c r="W33" s="7">
        <v>-2350100</v>
      </c>
      <c r="X33" s="7"/>
      <c r="Y33" s="7"/>
      <c r="Z33" s="7">
        <f t="shared" si="29"/>
        <v>18166525</v>
      </c>
      <c r="AA33" s="7">
        <f t="shared" si="30"/>
        <v>27649900</v>
      </c>
      <c r="AB33" s="357">
        <f>+'[4]FUN ENE-MAR-11'!$G$211</f>
        <v>4754655</v>
      </c>
      <c r="AC33" s="357">
        <f>+'[4]FUN ABR-JUN-11'!$G$229</f>
        <v>1155810</v>
      </c>
      <c r="AD33" s="357">
        <f>+'[4]FUN JUL-SEP-11'!$G$199</f>
        <v>3572910</v>
      </c>
      <c r="AE33" s="357">
        <f>+'[4]FUN OCT-DIC-11'!$G$232</f>
        <v>787090</v>
      </c>
      <c r="AF33" s="357">
        <f t="shared" si="31"/>
        <v>10270465</v>
      </c>
      <c r="AG33" s="7">
        <f t="shared" si="32"/>
        <v>0</v>
      </c>
      <c r="AH33" s="7">
        <f t="shared" si="33"/>
        <v>0</v>
      </c>
      <c r="AI33" s="7">
        <f t="shared" si="34"/>
        <v>0</v>
      </c>
      <c r="AJ33" s="7">
        <f t="shared" si="35"/>
        <v>17379435</v>
      </c>
      <c r="AK33" s="7">
        <f t="shared" si="41"/>
        <v>27649900</v>
      </c>
      <c r="AL33" s="141">
        <f t="shared" si="36"/>
        <v>0</v>
      </c>
      <c r="AM33" s="7">
        <f t="shared" si="37"/>
        <v>17379435</v>
      </c>
      <c r="AN33" s="130">
        <f t="shared" si="38"/>
        <v>0.3714467321762466</v>
      </c>
      <c r="AO33" s="130">
        <f t="shared" si="42"/>
        <v>1</v>
      </c>
      <c r="AP33" s="130">
        <f t="shared" si="39"/>
        <v>1</v>
      </c>
      <c r="AQ33" s="130">
        <f t="shared" si="43"/>
        <v>1</v>
      </c>
      <c r="AR33" s="135">
        <f t="shared" si="40"/>
        <v>0.043326392912238304</v>
      </c>
    </row>
    <row r="34" spans="1:44" ht="15" customHeight="1">
      <c r="A34" s="170" t="s">
        <v>46</v>
      </c>
      <c r="B34" s="12">
        <v>3095100</v>
      </c>
      <c r="C34" s="7"/>
      <c r="D34" s="7"/>
      <c r="E34" s="7"/>
      <c r="F34" s="7"/>
      <c r="G34" s="7"/>
      <c r="H34" s="7">
        <f t="shared" si="23"/>
        <v>3095100</v>
      </c>
      <c r="I34" s="12">
        <v>772500</v>
      </c>
      <c r="J34" s="34"/>
      <c r="K34" s="7">
        <v>-176000</v>
      </c>
      <c r="L34" s="7">
        <f t="shared" si="24"/>
        <v>596500</v>
      </c>
      <c r="M34" s="7">
        <v>773775</v>
      </c>
      <c r="N34" s="7">
        <v>138525</v>
      </c>
      <c r="O34" s="7">
        <f t="shared" si="25"/>
        <v>0</v>
      </c>
      <c r="P34" s="7">
        <f t="shared" si="26"/>
        <v>912300</v>
      </c>
      <c r="Q34" s="7">
        <v>1000000</v>
      </c>
      <c r="R34" s="7"/>
      <c r="S34" s="7"/>
      <c r="T34" s="7">
        <f t="shared" si="27"/>
        <v>-2500</v>
      </c>
      <c r="U34" s="7">
        <f t="shared" si="28"/>
        <v>997500</v>
      </c>
      <c r="V34" s="7">
        <v>588800</v>
      </c>
      <c r="W34" s="7"/>
      <c r="X34" s="7"/>
      <c r="Y34" s="7"/>
      <c r="Z34" s="7">
        <f t="shared" si="29"/>
        <v>588800</v>
      </c>
      <c r="AA34" s="7">
        <f t="shared" si="30"/>
        <v>3095100</v>
      </c>
      <c r="AB34" s="357">
        <f>+'[4]FUN ENE-MAR-11'!$G$222</f>
        <v>596500</v>
      </c>
      <c r="AC34" s="357">
        <f>+'[4]FUN ABR-JUN-11'!$G$239</f>
        <v>912300</v>
      </c>
      <c r="AD34" s="357">
        <f>+'[4]FUN JUL-SEP-11'!$G$213</f>
        <v>997500</v>
      </c>
      <c r="AE34" s="357">
        <f>+'[4]FUN OCT-DIC-11'!$G$242</f>
        <v>574600</v>
      </c>
      <c r="AF34" s="357">
        <f t="shared" si="31"/>
        <v>3080900</v>
      </c>
      <c r="AG34" s="7">
        <f t="shared" si="32"/>
        <v>0</v>
      </c>
      <c r="AH34" s="7">
        <f t="shared" si="33"/>
        <v>0</v>
      </c>
      <c r="AI34" s="7">
        <f t="shared" si="34"/>
        <v>0</v>
      </c>
      <c r="AJ34" s="7">
        <f t="shared" si="35"/>
        <v>14200</v>
      </c>
      <c r="AK34" s="7">
        <f t="shared" si="41"/>
        <v>3095100</v>
      </c>
      <c r="AL34" s="141">
        <f t="shared" si="36"/>
        <v>0</v>
      </c>
      <c r="AM34" s="7">
        <f t="shared" si="37"/>
        <v>14200</v>
      </c>
      <c r="AN34" s="130">
        <f t="shared" si="38"/>
        <v>0.9954121030015185</v>
      </c>
      <c r="AO34" s="130">
        <f t="shared" si="42"/>
        <v>1</v>
      </c>
      <c r="AP34" s="130">
        <f t="shared" si="39"/>
        <v>1</v>
      </c>
      <c r="AQ34" s="130">
        <f t="shared" si="43"/>
        <v>1</v>
      </c>
      <c r="AR34" s="135">
        <f t="shared" si="40"/>
        <v>0.9758831521739131</v>
      </c>
    </row>
    <row r="35" spans="1:44" ht="15" customHeight="1">
      <c r="A35" s="170" t="s">
        <v>112</v>
      </c>
      <c r="B35" s="12">
        <v>25000000</v>
      </c>
      <c r="C35" s="7"/>
      <c r="D35" s="7"/>
      <c r="E35" s="7"/>
      <c r="F35" s="7"/>
      <c r="G35" s="7"/>
      <c r="H35" s="7">
        <f t="shared" si="23"/>
        <v>25000000</v>
      </c>
      <c r="I35" s="12">
        <v>5000000</v>
      </c>
      <c r="J35" s="34"/>
      <c r="K35" s="7">
        <v>-2881410</v>
      </c>
      <c r="L35" s="7">
        <f t="shared" si="24"/>
        <v>2118590</v>
      </c>
      <c r="M35" s="7">
        <v>5000000</v>
      </c>
      <c r="N35" s="7"/>
      <c r="O35" s="7">
        <f t="shared" si="25"/>
        <v>-3817441</v>
      </c>
      <c r="P35" s="7">
        <f t="shared" si="26"/>
        <v>1182559</v>
      </c>
      <c r="Q35" s="7">
        <v>5000000</v>
      </c>
      <c r="R35" s="7"/>
      <c r="S35" s="7">
        <v>-717306</v>
      </c>
      <c r="T35" s="7">
        <f t="shared" si="27"/>
        <v>-2283600</v>
      </c>
      <c r="U35" s="7">
        <f t="shared" si="28"/>
        <v>1999094</v>
      </c>
      <c r="V35" s="7">
        <v>19699757</v>
      </c>
      <c r="W35" s="7"/>
      <c r="X35" s="7"/>
      <c r="Y35" s="7"/>
      <c r="Z35" s="7">
        <f t="shared" si="29"/>
        <v>19699757</v>
      </c>
      <c r="AA35" s="7">
        <f t="shared" si="30"/>
        <v>25000000</v>
      </c>
      <c r="AB35" s="357">
        <f>+'[4]FUN ENE-MAR-11'!$G$271</f>
        <v>2118590</v>
      </c>
      <c r="AC35" s="357">
        <f>+'[4]FUN ABR-JUN-11'!$G$308</f>
        <v>1182559</v>
      </c>
      <c r="AD35" s="357">
        <f>+'[4]FUN JUL-SEP-11'!$G$291</f>
        <v>1999094</v>
      </c>
      <c r="AE35" s="357">
        <f>+'[4]FUN OCT-DIC-11'!$G$285</f>
        <v>11641767</v>
      </c>
      <c r="AF35" s="357">
        <f t="shared" si="31"/>
        <v>16942010</v>
      </c>
      <c r="AG35" s="7">
        <f t="shared" si="32"/>
        <v>0</v>
      </c>
      <c r="AH35" s="7">
        <f t="shared" si="33"/>
        <v>0</v>
      </c>
      <c r="AI35" s="7">
        <f t="shared" si="34"/>
        <v>0</v>
      </c>
      <c r="AJ35" s="7">
        <f t="shared" si="35"/>
        <v>8057990</v>
      </c>
      <c r="AK35" s="7">
        <f t="shared" si="41"/>
        <v>25000000</v>
      </c>
      <c r="AL35" s="141">
        <f t="shared" si="36"/>
        <v>0</v>
      </c>
      <c r="AM35" s="7">
        <f t="shared" si="37"/>
        <v>8057990</v>
      </c>
      <c r="AN35" s="130">
        <f t="shared" si="38"/>
        <v>0.6776804</v>
      </c>
      <c r="AO35" s="130">
        <f t="shared" si="42"/>
        <v>1</v>
      </c>
      <c r="AP35" s="130">
        <f t="shared" si="39"/>
        <v>1</v>
      </c>
      <c r="AQ35" s="130">
        <f t="shared" si="43"/>
        <v>1</v>
      </c>
      <c r="AR35" s="135">
        <f t="shared" si="40"/>
        <v>0.590959929099633</v>
      </c>
    </row>
    <row r="36" spans="1:44" ht="15" customHeight="1">
      <c r="A36" s="170" t="s">
        <v>48</v>
      </c>
      <c r="B36" s="12">
        <v>18570600</v>
      </c>
      <c r="C36" s="7"/>
      <c r="D36" s="7"/>
      <c r="E36" s="7"/>
      <c r="F36" s="7"/>
      <c r="G36" s="7">
        <v>-6500000</v>
      </c>
      <c r="H36" s="7">
        <f t="shared" si="23"/>
        <v>12070600</v>
      </c>
      <c r="I36" s="12">
        <v>5342000</v>
      </c>
      <c r="J36" s="34">
        <v>-1241772</v>
      </c>
      <c r="K36" s="7">
        <f>+(I36+J36-AB36)*-1</f>
        <v>-172303</v>
      </c>
      <c r="L36" s="7">
        <f t="shared" si="24"/>
        <v>3927925</v>
      </c>
      <c r="M36" s="7">
        <v>4342000</v>
      </c>
      <c r="N36" s="7"/>
      <c r="O36" s="7">
        <f t="shared" si="25"/>
        <v>-2729068</v>
      </c>
      <c r="P36" s="7">
        <f t="shared" si="26"/>
        <v>1612932</v>
      </c>
      <c r="Q36" s="7">
        <v>4342000</v>
      </c>
      <c r="R36" s="7"/>
      <c r="S36" s="7"/>
      <c r="T36" s="7">
        <f t="shared" si="27"/>
        <v>-2157421</v>
      </c>
      <c r="U36" s="7">
        <f t="shared" si="28"/>
        <v>2184579</v>
      </c>
      <c r="V36" s="7">
        <v>10845164</v>
      </c>
      <c r="W36" s="7">
        <v>-6500000</v>
      </c>
      <c r="X36" s="7"/>
      <c r="Y36" s="7"/>
      <c r="Z36" s="7">
        <f t="shared" si="29"/>
        <v>4345164</v>
      </c>
      <c r="AA36" s="7">
        <f t="shared" si="30"/>
        <v>12070600</v>
      </c>
      <c r="AB36" s="357">
        <f>+'[4]FUN ENE-MAR-11'!$G$282</f>
        <v>3927925</v>
      </c>
      <c r="AC36" s="357">
        <f>+'[4]FUN ABR-JUN-11'!$G$323</f>
        <v>1612932</v>
      </c>
      <c r="AD36" s="357">
        <f>+'[4]FUN JUL-SEP-11'!$G$301</f>
        <v>2184579</v>
      </c>
      <c r="AE36" s="357">
        <f>+'[4]FUN OCT-DIC-11'!$G$296</f>
        <v>2556372</v>
      </c>
      <c r="AF36" s="357">
        <f t="shared" si="31"/>
        <v>10281808</v>
      </c>
      <c r="AG36" s="7">
        <f t="shared" si="32"/>
        <v>0</v>
      </c>
      <c r="AH36" s="7">
        <f t="shared" si="33"/>
        <v>0</v>
      </c>
      <c r="AI36" s="7">
        <f t="shared" si="34"/>
        <v>0</v>
      </c>
      <c r="AJ36" s="7">
        <f t="shared" si="35"/>
        <v>1788792</v>
      </c>
      <c r="AK36" s="7">
        <f t="shared" si="41"/>
        <v>12070600</v>
      </c>
      <c r="AL36" s="141">
        <f t="shared" si="36"/>
        <v>0</v>
      </c>
      <c r="AM36" s="7">
        <f t="shared" si="37"/>
        <v>1788792</v>
      </c>
      <c r="AN36" s="130">
        <f t="shared" si="38"/>
        <v>0.8518058754328699</v>
      </c>
      <c r="AO36" s="130">
        <v>0</v>
      </c>
      <c r="AP36" s="130">
        <f t="shared" si="39"/>
        <v>1</v>
      </c>
      <c r="AQ36" s="130">
        <f t="shared" si="43"/>
        <v>1</v>
      </c>
      <c r="AR36" s="135">
        <f t="shared" si="40"/>
        <v>0.5883257801086449</v>
      </c>
    </row>
    <row r="37" spans="1:44" ht="15" customHeight="1">
      <c r="A37" s="170" t="s">
        <v>49</v>
      </c>
      <c r="B37" s="12">
        <v>55000000</v>
      </c>
      <c r="C37" s="7"/>
      <c r="D37" s="7"/>
      <c r="E37" s="7"/>
      <c r="F37" s="7"/>
      <c r="G37" s="7">
        <v>6500000</v>
      </c>
      <c r="H37" s="7">
        <f t="shared" si="23"/>
        <v>61500000</v>
      </c>
      <c r="I37" s="12">
        <v>13750000</v>
      </c>
      <c r="J37" s="34">
        <v>1241772</v>
      </c>
      <c r="K37" s="7">
        <v>0</v>
      </c>
      <c r="L37" s="7">
        <f t="shared" si="24"/>
        <v>14991772</v>
      </c>
      <c r="M37" s="7">
        <v>15000000</v>
      </c>
      <c r="N37" s="7">
        <v>544566</v>
      </c>
      <c r="O37" s="7">
        <f t="shared" si="25"/>
        <v>0.13000000081956387</v>
      </c>
      <c r="P37" s="7">
        <f t="shared" si="26"/>
        <v>15544566.13</v>
      </c>
      <c r="Q37" s="7">
        <v>15000000</v>
      </c>
      <c r="R37" s="7"/>
      <c r="S37" s="7">
        <f>-Q37+AD37</f>
        <v>717305.5099999998</v>
      </c>
      <c r="T37" s="7">
        <f t="shared" si="27"/>
        <v>0</v>
      </c>
      <c r="U37" s="7">
        <f t="shared" si="28"/>
        <v>15717305.51</v>
      </c>
      <c r="V37" s="7">
        <v>8746356.359999998</v>
      </c>
      <c r="W37" s="7">
        <v>6500000</v>
      </c>
      <c r="X37" s="7"/>
      <c r="Y37" s="7"/>
      <c r="Z37" s="7">
        <f t="shared" si="29"/>
        <v>15246356.359999998</v>
      </c>
      <c r="AA37" s="7">
        <f t="shared" si="30"/>
        <v>61500000</v>
      </c>
      <c r="AB37" s="357">
        <f>+'[4]FUN ENE-MAR-11'!$G$301</f>
        <v>14991772.000000002</v>
      </c>
      <c r="AC37" s="357">
        <f>+'[4]FUN ABR-JUN-11'!$G$336</f>
        <v>15544566.13</v>
      </c>
      <c r="AD37" s="357">
        <f>+'[4]FUN JUL-SEP-11'!$G$309</f>
        <v>15717305.51</v>
      </c>
      <c r="AE37" s="357">
        <f>+'[4]FUN OCT-DIC-11'!$G$307</f>
        <v>14800073.819999998</v>
      </c>
      <c r="AF37" s="357">
        <f t="shared" si="31"/>
        <v>61053717.46</v>
      </c>
      <c r="AG37" s="7">
        <f t="shared" si="32"/>
        <v>0</v>
      </c>
      <c r="AH37" s="139">
        <v>0</v>
      </c>
      <c r="AI37" s="7">
        <f t="shared" si="34"/>
        <v>0</v>
      </c>
      <c r="AJ37" s="7">
        <f t="shared" si="35"/>
        <v>446282.5399999991</v>
      </c>
      <c r="AK37" s="7">
        <f t="shared" si="41"/>
        <v>61500000</v>
      </c>
      <c r="AL37" s="141">
        <f>+H37-AK37</f>
        <v>0</v>
      </c>
      <c r="AM37" s="7">
        <f t="shared" si="37"/>
        <v>446282.5399999991</v>
      </c>
      <c r="AN37" s="130">
        <f t="shared" si="38"/>
        <v>0.9927433733333334</v>
      </c>
      <c r="AO37" s="130">
        <f>+AB37/L37</f>
        <v>1.0000000000000002</v>
      </c>
      <c r="AP37" s="130">
        <f t="shared" si="39"/>
        <v>1</v>
      </c>
      <c r="AQ37" s="130">
        <f t="shared" si="43"/>
        <v>1</v>
      </c>
      <c r="AR37" s="135">
        <f t="shared" si="40"/>
        <v>0.9707285774081172</v>
      </c>
    </row>
    <row r="38" spans="1:44" ht="15" customHeight="1" thickBot="1">
      <c r="A38" s="170" t="s">
        <v>50</v>
      </c>
      <c r="B38" s="12">
        <v>31186455</v>
      </c>
      <c r="C38" s="47"/>
      <c r="D38" s="47"/>
      <c r="E38" s="47"/>
      <c r="F38" s="47"/>
      <c r="G38" s="47"/>
      <c r="H38" s="7">
        <f t="shared" si="23"/>
        <v>31186455</v>
      </c>
      <c r="I38" s="72">
        <v>0</v>
      </c>
      <c r="J38" s="128"/>
      <c r="K38" s="7">
        <v>0</v>
      </c>
      <c r="L38" s="7">
        <f t="shared" si="24"/>
        <v>0</v>
      </c>
      <c r="M38" s="47"/>
      <c r="N38" s="47"/>
      <c r="O38" s="7"/>
      <c r="P38" s="7">
        <f t="shared" si="26"/>
        <v>0</v>
      </c>
      <c r="Q38" s="47">
        <v>30000000</v>
      </c>
      <c r="R38" s="47"/>
      <c r="S38" s="7"/>
      <c r="T38" s="7">
        <f t="shared" si="27"/>
        <v>-2609157</v>
      </c>
      <c r="U38" s="7">
        <f t="shared" si="28"/>
        <v>27390843</v>
      </c>
      <c r="V38" s="7">
        <v>3795612</v>
      </c>
      <c r="W38" s="47"/>
      <c r="X38" s="47"/>
      <c r="Y38" s="47"/>
      <c r="Z38" s="7">
        <f t="shared" si="29"/>
        <v>3795612</v>
      </c>
      <c r="AA38" s="7">
        <f t="shared" si="30"/>
        <v>31186455</v>
      </c>
      <c r="AB38" s="357">
        <f>+'[4]FUN ENE-MAR-11'!$G$317</f>
        <v>0</v>
      </c>
      <c r="AC38" s="357">
        <f>+'[4]FUN ABR-JUN-11'!$G$352</f>
        <v>0</v>
      </c>
      <c r="AD38" s="357">
        <f>+'[4]FUN JUL-SEP-11'!$G$325</f>
        <v>27390843</v>
      </c>
      <c r="AE38" s="357">
        <f>+'[4]FUN OCT-DIC-11'!$G$327</f>
        <v>0</v>
      </c>
      <c r="AF38" s="357">
        <f t="shared" si="31"/>
        <v>27390843</v>
      </c>
      <c r="AG38" s="7">
        <f t="shared" si="32"/>
        <v>0</v>
      </c>
      <c r="AH38" s="7">
        <f>+P38-AC38</f>
        <v>0</v>
      </c>
      <c r="AI38" s="7">
        <f t="shared" si="34"/>
        <v>0</v>
      </c>
      <c r="AJ38" s="7">
        <f t="shared" si="35"/>
        <v>3795612</v>
      </c>
      <c r="AK38" s="7">
        <f t="shared" si="41"/>
        <v>31186455</v>
      </c>
      <c r="AL38" s="141">
        <f t="shared" si="36"/>
        <v>0</v>
      </c>
      <c r="AM38" s="7">
        <f t="shared" si="37"/>
        <v>3795612</v>
      </c>
      <c r="AN38" s="132">
        <f t="shared" si="38"/>
        <v>0.8782929319796046</v>
      </c>
      <c r="AO38" s="132">
        <v>0</v>
      </c>
      <c r="AP38" s="132">
        <v>0</v>
      </c>
      <c r="AQ38" s="132">
        <f t="shared" si="43"/>
        <v>1</v>
      </c>
      <c r="AR38" s="197">
        <f t="shared" si="40"/>
        <v>0</v>
      </c>
    </row>
    <row r="39" spans="1:44" ht="15" customHeight="1" thickBot="1">
      <c r="A39" s="50" t="s">
        <v>51</v>
      </c>
      <c r="B39" s="50">
        <f>SUM(B25:B38)</f>
        <v>369017569.9694</v>
      </c>
      <c r="C39" s="50">
        <f aca="true" t="shared" si="44" ref="C39:AL39">SUM(C25:C38)</f>
        <v>0</v>
      </c>
      <c r="D39" s="50">
        <f>SUM(D25:D38)</f>
        <v>0</v>
      </c>
      <c r="E39" s="50">
        <f>SUM(E25:E38)</f>
        <v>0</v>
      </c>
      <c r="F39" s="50">
        <f>SUM(F25:F38)</f>
        <v>0</v>
      </c>
      <c r="G39" s="50">
        <f>SUM(G25:G38)</f>
        <v>-2350100</v>
      </c>
      <c r="H39" s="50">
        <f t="shared" si="44"/>
        <v>366667469.9694</v>
      </c>
      <c r="I39" s="50">
        <f t="shared" si="44"/>
        <v>89272120.42500001</v>
      </c>
      <c r="J39" s="50">
        <f t="shared" si="44"/>
        <v>0</v>
      </c>
      <c r="K39" s="50">
        <f t="shared" si="44"/>
        <v>-10751368.785</v>
      </c>
      <c r="L39" s="50">
        <f t="shared" si="44"/>
        <v>78520751.64</v>
      </c>
      <c r="M39" s="50">
        <f t="shared" si="44"/>
        <v>100466869.33405</v>
      </c>
      <c r="N39" s="50">
        <f>SUM(N25:N38)</f>
        <v>0</v>
      </c>
      <c r="O39" s="50">
        <f t="shared" si="44"/>
        <v>-16882674.40405</v>
      </c>
      <c r="P39" s="50">
        <f t="shared" si="44"/>
        <v>83584194.92999999</v>
      </c>
      <c r="Q39" s="50">
        <f t="shared" si="44"/>
        <v>103101471.83405</v>
      </c>
      <c r="R39" s="50">
        <f>SUM(R25:R38)</f>
        <v>0</v>
      </c>
      <c r="S39" s="50">
        <f>SUM(S25:S38)</f>
        <v>-0.4900000002235174</v>
      </c>
      <c r="T39" s="50">
        <f>SUM(T25:T38)</f>
        <v>-15680029.93405</v>
      </c>
      <c r="U39" s="50">
        <f t="shared" si="44"/>
        <v>87421441.41</v>
      </c>
      <c r="V39" s="50">
        <f t="shared" si="44"/>
        <v>119491181.9894</v>
      </c>
      <c r="W39" s="50">
        <f t="shared" si="44"/>
        <v>-2350100</v>
      </c>
      <c r="X39" s="50"/>
      <c r="Y39" s="50">
        <f t="shared" si="44"/>
        <v>0</v>
      </c>
      <c r="Z39" s="50">
        <f t="shared" si="44"/>
        <v>117141081.9894</v>
      </c>
      <c r="AA39" s="50">
        <f t="shared" si="44"/>
        <v>366667469.9694</v>
      </c>
      <c r="AB39" s="50">
        <f t="shared" si="44"/>
        <v>78520751.64</v>
      </c>
      <c r="AC39" s="50">
        <f t="shared" si="44"/>
        <v>83584194.92999999</v>
      </c>
      <c r="AD39" s="50">
        <f t="shared" si="44"/>
        <v>87421441.41</v>
      </c>
      <c r="AE39" s="50">
        <f t="shared" si="44"/>
        <v>77421469.82</v>
      </c>
      <c r="AF39" s="50">
        <f t="shared" si="44"/>
        <v>326947857.8</v>
      </c>
      <c r="AG39" s="50">
        <f t="shared" si="44"/>
        <v>0</v>
      </c>
      <c r="AH39" s="50">
        <f t="shared" si="44"/>
        <v>0</v>
      </c>
      <c r="AI39" s="50">
        <f t="shared" si="44"/>
        <v>0</v>
      </c>
      <c r="AJ39" s="50">
        <f>SUM(AJ25:AJ38)</f>
        <v>39719612.1694</v>
      </c>
      <c r="AK39" s="50">
        <f t="shared" si="44"/>
        <v>366667469.9694</v>
      </c>
      <c r="AL39" s="194">
        <f t="shared" si="44"/>
        <v>0</v>
      </c>
      <c r="AM39" s="50">
        <f>SUM(AM25:AM38)</f>
        <v>39719612.1694</v>
      </c>
      <c r="AN39" s="148">
        <f t="shared" si="38"/>
        <v>0.8916740223158746</v>
      </c>
      <c r="AO39" s="148">
        <f>+AB39/L39</f>
        <v>1</v>
      </c>
      <c r="AP39" s="148">
        <f>+AC39/P39</f>
        <v>1</v>
      </c>
      <c r="AQ39" s="148">
        <f>+AD39/U39</f>
        <v>1</v>
      </c>
      <c r="AR39" s="148">
        <f t="shared" si="40"/>
        <v>0.6609250017598932</v>
      </c>
    </row>
    <row r="40" spans="1:44" ht="15" customHeight="1">
      <c r="A40" s="171"/>
      <c r="B40" s="47"/>
      <c r="C40" s="47"/>
      <c r="D40" s="47"/>
      <c r="E40" s="47"/>
      <c r="F40" s="47"/>
      <c r="G40" s="47"/>
      <c r="H40" s="37"/>
      <c r="I40" s="37"/>
      <c r="J40" s="37"/>
      <c r="K40" s="37"/>
      <c r="L40" s="37"/>
      <c r="M40" s="37"/>
      <c r="N40" s="4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44"/>
      <c r="AI40" s="44"/>
      <c r="AJ40" s="44"/>
      <c r="AK40" s="44"/>
      <c r="AL40" s="44"/>
      <c r="AM40" s="44"/>
      <c r="AN40" s="113"/>
      <c r="AO40" s="113"/>
      <c r="AP40" s="113"/>
      <c r="AQ40" s="198"/>
      <c r="AR40" s="199"/>
    </row>
    <row r="41" spans="1:44" ht="15" customHeight="1">
      <c r="A41" s="173" t="s">
        <v>58</v>
      </c>
      <c r="B41" s="19">
        <v>927081953.1505461</v>
      </c>
      <c r="C41" s="36"/>
      <c r="D41" s="36"/>
      <c r="E41" s="36"/>
      <c r="F41" s="36">
        <v>44389398.842745595</v>
      </c>
      <c r="G41" s="36"/>
      <c r="H41" s="36">
        <f>SUM(B41:G41)</f>
        <v>971471351.9932916</v>
      </c>
      <c r="I41" s="36">
        <v>202211418.9</v>
      </c>
      <c r="J41" s="36"/>
      <c r="K41" s="7">
        <v>14321177.099999994</v>
      </c>
      <c r="L41" s="36">
        <f>SUM(I41:K41)</f>
        <v>216532596</v>
      </c>
      <c r="M41" s="36">
        <v>229171781.8</v>
      </c>
      <c r="N41" s="36"/>
      <c r="O41" s="7">
        <f>+AC41-M41-N41</f>
        <v>7783884.699999988</v>
      </c>
      <c r="P41" s="36">
        <f>+SUM(M41:O41)</f>
        <v>236955666.5</v>
      </c>
      <c r="Q41" s="36">
        <v>240802528.8</v>
      </c>
      <c r="R41" s="36"/>
      <c r="S41" s="36"/>
      <c r="T41" s="7">
        <f>-Q41-R41-S41+AD41</f>
        <v>10988726.199999988</v>
      </c>
      <c r="U41" s="36">
        <f>+SUM(Q41:T41)</f>
        <v>251791255</v>
      </c>
      <c r="V41" s="36">
        <v>262766302.00054613</v>
      </c>
      <c r="W41" s="36"/>
      <c r="X41" s="36"/>
      <c r="Y41" s="36"/>
      <c r="Z41" s="36">
        <f>+SUM(V41:Y41)</f>
        <v>262766302.00054613</v>
      </c>
      <c r="AA41" s="36">
        <f>+L41+P41+U41+Z41</f>
        <v>968045819.5005461</v>
      </c>
      <c r="AB41" s="373">
        <f>+'[4]FUN ENE-MAR-11'!$G$322</f>
        <v>216532596</v>
      </c>
      <c r="AC41" s="373">
        <f>+'[4]FUN ABR-JUN-11'!$G$357</f>
        <v>236955666.5</v>
      </c>
      <c r="AD41" s="373">
        <f>+'[4]FUN JUL-SEP-11'!$G$331</f>
        <v>251791255</v>
      </c>
      <c r="AE41" s="373">
        <f>+'[4]FUN OCT-DIC-11'!$G$334</f>
        <v>269310139</v>
      </c>
      <c r="AF41" s="373">
        <f>SUM(AB41:AE41)</f>
        <v>974589656.5</v>
      </c>
      <c r="AG41" s="36">
        <f>+L41-AB41</f>
        <v>0</v>
      </c>
      <c r="AH41" s="36">
        <f>+P41-AC41</f>
        <v>0</v>
      </c>
      <c r="AI41" s="36">
        <f>+U41-AD41</f>
        <v>0</v>
      </c>
      <c r="AJ41" s="36">
        <f>+Z41-AE41</f>
        <v>-6543836.999453872</v>
      </c>
      <c r="AK41" s="36">
        <f>+AA41</f>
        <v>968045819.5005461</v>
      </c>
      <c r="AL41" s="142">
        <f>+H41-AK41</f>
        <v>3425532.4927455187</v>
      </c>
      <c r="AM41" s="36">
        <f>+AK41-AF41</f>
        <v>-6543836.999453902</v>
      </c>
      <c r="AN41" s="405">
        <f>+AF41/H41</f>
        <v>1.0032098779859129</v>
      </c>
      <c r="AO41" s="133">
        <f>+AB41/L41</f>
        <v>1</v>
      </c>
      <c r="AP41" s="133">
        <f>+AC41/P41</f>
        <v>1</v>
      </c>
      <c r="AQ41" s="133">
        <f>+AD41/U41</f>
        <v>1</v>
      </c>
      <c r="AR41" s="136">
        <f>+AE41/Z41</f>
        <v>1.024903638516937</v>
      </c>
    </row>
    <row r="42" spans="1:44" ht="15" customHeight="1">
      <c r="A42" s="170"/>
      <c r="B42" s="19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36"/>
      <c r="R42" s="36"/>
      <c r="S42" s="36"/>
      <c r="T42" s="36"/>
      <c r="U42" s="36"/>
      <c r="V42" s="7"/>
      <c r="W42" s="7"/>
      <c r="X42" s="7"/>
      <c r="Y42" s="7"/>
      <c r="Z42" s="7"/>
      <c r="AA42" s="7"/>
      <c r="AB42" s="357"/>
      <c r="AC42" s="357"/>
      <c r="AD42" s="357"/>
      <c r="AE42" s="357"/>
      <c r="AF42" s="357"/>
      <c r="AG42" s="7"/>
      <c r="AH42" s="36"/>
      <c r="AI42" s="36"/>
      <c r="AJ42" s="36"/>
      <c r="AK42" s="7"/>
      <c r="AL42" s="141"/>
      <c r="AM42" s="36"/>
      <c r="AN42" s="64"/>
      <c r="AO42" s="64"/>
      <c r="AP42" s="64"/>
      <c r="AQ42" s="64"/>
      <c r="AR42" s="183"/>
    </row>
    <row r="43" spans="1:83" s="77" customFormat="1" ht="15" customHeight="1">
      <c r="A43" s="173" t="s">
        <v>59</v>
      </c>
      <c r="B43" s="36">
        <f aca="true" t="shared" si="45" ref="B43:G43">+SUM(B44:B45)</f>
        <v>718642359</v>
      </c>
      <c r="C43" s="36">
        <f t="shared" si="45"/>
        <v>69812645</v>
      </c>
      <c r="D43" s="36">
        <f t="shared" si="45"/>
        <v>-2664985</v>
      </c>
      <c r="E43" s="36">
        <f t="shared" si="45"/>
        <v>40400000</v>
      </c>
      <c r="F43" s="36">
        <f t="shared" si="45"/>
        <v>350553824</v>
      </c>
      <c r="G43" s="36">
        <f t="shared" si="45"/>
        <v>-277000000</v>
      </c>
      <c r="H43" s="36">
        <f>SUM(B43:G43)</f>
        <v>899743843</v>
      </c>
      <c r="I43" s="58">
        <f aca="true" t="shared" si="46" ref="I43:AK43">+SUM(I44:I45)</f>
        <v>0</v>
      </c>
      <c r="J43" s="58">
        <f t="shared" si="46"/>
        <v>0</v>
      </c>
      <c r="K43" s="58">
        <f t="shared" si="46"/>
        <v>0</v>
      </c>
      <c r="L43" s="58">
        <f t="shared" si="46"/>
        <v>0</v>
      </c>
      <c r="M43" s="58">
        <f t="shared" si="46"/>
        <v>0</v>
      </c>
      <c r="N43" s="36">
        <f>+SUM(N44:N45)</f>
        <v>0</v>
      </c>
      <c r="O43" s="58">
        <f t="shared" si="46"/>
        <v>0</v>
      </c>
      <c r="P43" s="58">
        <f t="shared" si="46"/>
        <v>0</v>
      </c>
      <c r="Q43" s="58">
        <f t="shared" si="46"/>
        <v>0</v>
      </c>
      <c r="R43" s="58">
        <v>0</v>
      </c>
      <c r="S43" s="58">
        <v>0</v>
      </c>
      <c r="T43" s="58">
        <v>0</v>
      </c>
      <c r="U43" s="58">
        <f t="shared" si="46"/>
        <v>0</v>
      </c>
      <c r="V43" s="58">
        <f t="shared" si="46"/>
        <v>0</v>
      </c>
      <c r="W43" s="58">
        <f t="shared" si="46"/>
        <v>0</v>
      </c>
      <c r="X43" s="58"/>
      <c r="Y43" s="58">
        <f t="shared" si="46"/>
        <v>0</v>
      </c>
      <c r="Z43" s="58">
        <f t="shared" si="46"/>
        <v>0</v>
      </c>
      <c r="AA43" s="58">
        <f t="shared" si="46"/>
        <v>0</v>
      </c>
      <c r="AB43" s="58">
        <f t="shared" si="46"/>
        <v>0</v>
      </c>
      <c r="AC43" s="58">
        <f t="shared" si="46"/>
        <v>0</v>
      </c>
      <c r="AD43" s="58">
        <f t="shared" si="46"/>
        <v>0</v>
      </c>
      <c r="AE43" s="58">
        <f t="shared" si="46"/>
        <v>0</v>
      </c>
      <c r="AF43" s="58">
        <f t="shared" si="46"/>
        <v>0</v>
      </c>
      <c r="AG43" s="58">
        <f t="shared" si="46"/>
        <v>0</v>
      </c>
      <c r="AH43" s="58">
        <f t="shared" si="46"/>
        <v>0</v>
      </c>
      <c r="AI43" s="58">
        <f t="shared" si="46"/>
        <v>0</v>
      </c>
      <c r="AJ43" s="58">
        <f>+SUM(AJ44:AJ45)</f>
        <v>0</v>
      </c>
      <c r="AK43" s="58">
        <f t="shared" si="46"/>
        <v>0</v>
      </c>
      <c r="AL43" s="141">
        <f>+SUM(AL44:AL45)</f>
        <v>899743843</v>
      </c>
      <c r="AM43" s="58">
        <f>+AM44+AM45</f>
        <v>0</v>
      </c>
      <c r="AN43" s="74"/>
      <c r="AO43" s="74"/>
      <c r="AP43" s="74"/>
      <c r="AQ43" s="74"/>
      <c r="AR43" s="110"/>
      <c r="AS43" s="66"/>
      <c r="AT43" s="66"/>
      <c r="AU43" s="6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</row>
    <row r="44" spans="1:44" ht="15" customHeight="1">
      <c r="A44" s="170" t="s">
        <v>60</v>
      </c>
      <c r="B44" s="7">
        <v>159414236</v>
      </c>
      <c r="C44" s="7">
        <v>-159414236</v>
      </c>
      <c r="D44" s="7"/>
      <c r="E44" s="7"/>
      <c r="F44" s="326">
        <f>233044344+19800000-6900500+37613813-8500000-15000000-6000000-33000000-25000000-136057657-20000000-20000000-20000000</f>
        <v>0</v>
      </c>
      <c r="G44" s="7"/>
      <c r="H44" s="7">
        <f>SUM(B44:G44)</f>
        <v>0</v>
      </c>
      <c r="I44" s="7"/>
      <c r="J44" s="7"/>
      <c r="K44" s="7">
        <v>0</v>
      </c>
      <c r="L44" s="7">
        <f>SUM(I44:J44)</f>
        <v>0</v>
      </c>
      <c r="M44" s="7"/>
      <c r="N44" s="7">
        <v>0</v>
      </c>
      <c r="O44" s="7">
        <f>+AC44-M44-N44</f>
        <v>0</v>
      </c>
      <c r="P44" s="7">
        <f>+SUM(M44:O44)</f>
        <v>0</v>
      </c>
      <c r="Q44" s="7"/>
      <c r="R44" s="7"/>
      <c r="S44" s="7"/>
      <c r="T44" s="7"/>
      <c r="U44" s="7">
        <f>+SUM(Q44:T44)</f>
        <v>0</v>
      </c>
      <c r="V44" s="7"/>
      <c r="W44" s="7">
        <v>0</v>
      </c>
      <c r="X44" s="7"/>
      <c r="Y44" s="7"/>
      <c r="Z44" s="7">
        <f>+SUM(V44:Y44)</f>
        <v>0</v>
      </c>
      <c r="AA44" s="7">
        <f>+L44+P44+U44+Z44</f>
        <v>0</v>
      </c>
      <c r="AB44" s="7">
        <v>0</v>
      </c>
      <c r="AC44" s="7">
        <v>0</v>
      </c>
      <c r="AD44" s="7">
        <v>0</v>
      </c>
      <c r="AE44" s="7"/>
      <c r="AF44" s="7">
        <f>SUM(AB44:AE44)</f>
        <v>0</v>
      </c>
      <c r="AG44" s="7">
        <f>+L44-AB44</f>
        <v>0</v>
      </c>
      <c r="AH44" s="7">
        <f>+P44-AC44</f>
        <v>0</v>
      </c>
      <c r="AI44" s="7">
        <f>+U44-AD44</f>
        <v>0</v>
      </c>
      <c r="AJ44" s="7">
        <f>+Z44-AE44</f>
        <v>0</v>
      </c>
      <c r="AK44" s="7">
        <f>+AA44</f>
        <v>0</v>
      </c>
      <c r="AL44" s="141">
        <f>+H44-AK44</f>
        <v>0</v>
      </c>
      <c r="AM44" s="7">
        <f>+AK44-AF44</f>
        <v>0</v>
      </c>
      <c r="AN44" s="363">
        <v>0</v>
      </c>
      <c r="AO44" s="130">
        <v>0</v>
      </c>
      <c r="AP44" s="130">
        <v>0</v>
      </c>
      <c r="AQ44" s="130">
        <v>0</v>
      </c>
      <c r="AR44" s="135">
        <v>0</v>
      </c>
    </row>
    <row r="45" spans="1:44" ht="15" customHeight="1">
      <c r="A45" s="170" t="s">
        <v>113</v>
      </c>
      <c r="B45" s="7">
        <v>559228123</v>
      </c>
      <c r="C45" s="7">
        <v>229226881</v>
      </c>
      <c r="D45" s="237">
        <v>-2664985</v>
      </c>
      <c r="E45" s="7">
        <v>40400000</v>
      </c>
      <c r="F45" s="327">
        <f>99876147+152020122+36700000+61957555</f>
        <v>350553824</v>
      </c>
      <c r="G45" s="8">
        <f>-7000000-270000000</f>
        <v>-277000000</v>
      </c>
      <c r="H45" s="7">
        <f>SUM(B45:G45)</f>
        <v>899743843</v>
      </c>
      <c r="I45" s="7"/>
      <c r="J45" s="7"/>
      <c r="K45" s="7">
        <v>0</v>
      </c>
      <c r="L45" s="7">
        <f>SUM(I45:J45)</f>
        <v>0</v>
      </c>
      <c r="M45" s="7"/>
      <c r="N45" s="7">
        <v>0</v>
      </c>
      <c r="O45" s="7">
        <f>+AC45-M45-N45</f>
        <v>0</v>
      </c>
      <c r="P45" s="7">
        <f>+SUM(M45:O45)</f>
        <v>0</v>
      </c>
      <c r="Q45" s="7"/>
      <c r="R45" s="7"/>
      <c r="S45" s="7"/>
      <c r="T45" s="7"/>
      <c r="U45" s="7">
        <f>+SUM(Q45:T45)</f>
        <v>0</v>
      </c>
      <c r="V45" s="7"/>
      <c r="W45" s="7">
        <v>0</v>
      </c>
      <c r="X45" s="7"/>
      <c r="Y45" s="7"/>
      <c r="Z45" s="7">
        <f>+SUM(V45:Y45)</f>
        <v>0</v>
      </c>
      <c r="AA45" s="7">
        <f>+L45+P45+U45+Z45</f>
        <v>0</v>
      </c>
      <c r="AB45" s="7">
        <v>0</v>
      </c>
      <c r="AC45" s="7">
        <v>0</v>
      </c>
      <c r="AD45" s="7">
        <v>0</v>
      </c>
      <c r="AE45" s="7"/>
      <c r="AF45" s="7">
        <f>SUM(AB45:AE45)</f>
        <v>0</v>
      </c>
      <c r="AG45" s="7">
        <f>+L45-AB45</f>
        <v>0</v>
      </c>
      <c r="AH45" s="7">
        <f>+P45-AC45</f>
        <v>0</v>
      </c>
      <c r="AI45" s="7">
        <f>+U45-AD45</f>
        <v>0</v>
      </c>
      <c r="AJ45" s="7">
        <f>+Z45-AE45</f>
        <v>0</v>
      </c>
      <c r="AK45" s="7">
        <f>+AA45</f>
        <v>0</v>
      </c>
      <c r="AL45" s="141">
        <f>+H45-AK45</f>
        <v>899743843</v>
      </c>
      <c r="AM45" s="7">
        <f>+AK45-AF45</f>
        <v>0</v>
      </c>
      <c r="AN45" s="130">
        <f>+AF45/H45</f>
        <v>0</v>
      </c>
      <c r="AO45" s="130">
        <v>0</v>
      </c>
      <c r="AP45" s="130">
        <v>0</v>
      </c>
      <c r="AQ45" s="130">
        <v>0</v>
      </c>
      <c r="AR45" s="135">
        <v>0</v>
      </c>
    </row>
    <row r="46" spans="1:44" ht="15" customHeight="1" thickBot="1">
      <c r="A46" s="171"/>
      <c r="B46" s="47"/>
      <c r="C46" s="47"/>
      <c r="D46" s="47"/>
      <c r="E46" s="47"/>
      <c r="F46" s="47"/>
      <c r="G46" s="47"/>
      <c r="H46" s="11"/>
      <c r="I46" s="11"/>
      <c r="J46" s="11"/>
      <c r="K46" s="11"/>
      <c r="L46" s="11"/>
      <c r="M46" s="11"/>
      <c r="N46" s="47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97"/>
      <c r="AI46" s="97"/>
      <c r="AJ46" s="97"/>
      <c r="AK46" s="11"/>
      <c r="AL46" s="129"/>
      <c r="AM46" s="11"/>
      <c r="AN46" s="68"/>
      <c r="AO46" s="68"/>
      <c r="AP46" s="68"/>
      <c r="AQ46" s="68"/>
      <c r="AR46" s="116"/>
    </row>
    <row r="47" spans="1:44" ht="15" customHeight="1" thickBot="1">
      <c r="A47" s="50" t="s">
        <v>62</v>
      </c>
      <c r="B47" s="50">
        <f aca="true" t="shared" si="47" ref="B47:H47">+B22+B39+B41+B43</f>
        <v>2276894861.119946</v>
      </c>
      <c r="C47" s="50">
        <f t="shared" si="47"/>
        <v>69812645</v>
      </c>
      <c r="D47" s="50">
        <f t="shared" si="47"/>
        <v>-2664985</v>
      </c>
      <c r="E47" s="50">
        <f t="shared" si="47"/>
        <v>40400000</v>
      </c>
      <c r="F47" s="50">
        <f t="shared" si="47"/>
        <v>390243222.8427456</v>
      </c>
      <c r="G47" s="50">
        <f>+G22+G39+G41+G43</f>
        <v>-277000000</v>
      </c>
      <c r="H47" s="50">
        <f t="shared" si="47"/>
        <v>2497685743.9626913</v>
      </c>
      <c r="I47" s="50">
        <f aca="true" t="shared" si="48" ref="I47:AL47">+I22+I39+I41+I43</f>
        <v>357678990.13494915</v>
      </c>
      <c r="J47" s="50">
        <f>+J22+J39+J41+J43</f>
        <v>0</v>
      </c>
      <c r="K47" s="50">
        <f>+K22+K39+K41+K43</f>
        <v>-6928663.494949132</v>
      </c>
      <c r="L47" s="50">
        <f t="shared" si="48"/>
        <v>350750326.64</v>
      </c>
      <c r="M47" s="50">
        <f t="shared" si="48"/>
        <v>413828598.1125994</v>
      </c>
      <c r="N47" s="50">
        <f>+N22+N39+N41+N43</f>
        <v>0</v>
      </c>
      <c r="O47" s="50">
        <f t="shared" si="48"/>
        <v>-19485135.68259935</v>
      </c>
      <c r="P47" s="50">
        <f t="shared" si="48"/>
        <v>394343462.43</v>
      </c>
      <c r="Q47" s="50">
        <f t="shared" si="48"/>
        <v>404893947.6125994</v>
      </c>
      <c r="R47" s="50">
        <f t="shared" si="48"/>
        <v>0</v>
      </c>
      <c r="S47" s="50">
        <f>+S22+S39+S41+S43</f>
        <v>-0.22866954022902064</v>
      </c>
      <c r="T47" s="50">
        <f t="shared" si="48"/>
        <v>-6310709.973929811</v>
      </c>
      <c r="U47" s="50">
        <f t="shared" si="48"/>
        <v>398583237.40999997</v>
      </c>
      <c r="V47" s="50">
        <f t="shared" si="48"/>
        <v>450839341.9899461</v>
      </c>
      <c r="W47" s="50">
        <f t="shared" si="48"/>
        <v>0</v>
      </c>
      <c r="X47" s="50"/>
      <c r="Y47" s="50">
        <f t="shared" si="48"/>
        <v>0</v>
      </c>
      <c r="Z47" s="50">
        <f t="shared" si="48"/>
        <v>450839341.9899461</v>
      </c>
      <c r="AA47" s="50">
        <f t="shared" si="48"/>
        <v>1594516368.469946</v>
      </c>
      <c r="AB47" s="50">
        <f t="shared" si="48"/>
        <v>350750326.64</v>
      </c>
      <c r="AC47" s="50">
        <f t="shared" si="48"/>
        <v>394343462.43</v>
      </c>
      <c r="AD47" s="50">
        <f t="shared" si="48"/>
        <v>398583237.40999997</v>
      </c>
      <c r="AE47" s="50">
        <f t="shared" si="48"/>
        <v>406966926.82</v>
      </c>
      <c r="AF47" s="50">
        <f t="shared" si="48"/>
        <v>1550643953.3</v>
      </c>
      <c r="AG47" s="50">
        <f t="shared" si="48"/>
        <v>0</v>
      </c>
      <c r="AH47" s="50">
        <f t="shared" si="48"/>
        <v>0</v>
      </c>
      <c r="AI47" s="50">
        <f t="shared" si="48"/>
        <v>0</v>
      </c>
      <c r="AJ47" s="50">
        <f>+AJ22+AJ39+AJ41+AJ43</f>
        <v>43872415.16994613</v>
      </c>
      <c r="AK47" s="50">
        <f t="shared" si="48"/>
        <v>1594516368.469946</v>
      </c>
      <c r="AL47" s="50">
        <f t="shared" si="48"/>
        <v>903169375.4927455</v>
      </c>
      <c r="AM47" s="50">
        <f>+AM22+AM39+AM41+AM43</f>
        <v>43872415.1699461</v>
      </c>
      <c r="AN47" s="148">
        <f>+AF47/(H47-H43)</f>
        <v>0.9704007087903531</v>
      </c>
      <c r="AO47" s="148">
        <f>+AB47/L47</f>
        <v>1</v>
      </c>
      <c r="AP47" s="148">
        <f>+AC47/P47</f>
        <v>1</v>
      </c>
      <c r="AQ47" s="148">
        <f>+AD47/U47</f>
        <v>1</v>
      </c>
      <c r="AR47" s="148">
        <f>+AE47/Z47</f>
        <v>0.902687252234246</v>
      </c>
    </row>
    <row r="48" ht="15" customHeight="1"/>
    <row r="49" spans="5:29" ht="15" customHeight="1">
      <c r="E49" s="3" t="e">
        <f>+B47+C47+D47+E47+F47-H47+#REF!+G47</f>
        <v>#REF!</v>
      </c>
      <c r="AC49" s="83"/>
    </row>
    <row r="50" spans="8:27" ht="15" customHeight="1">
      <c r="H50" s="80"/>
      <c r="AA50" s="254"/>
    </row>
    <row r="51" spans="27:31" ht="15" customHeight="1">
      <c r="AA51" s="255" t="s">
        <v>276</v>
      </c>
      <c r="AB51" s="2">
        <f>+AB41*25%</f>
        <v>54133149</v>
      </c>
      <c r="AC51" s="2">
        <f>+AC41*25%</f>
        <v>59238916.625</v>
      </c>
      <c r="AD51" s="2">
        <f>+AD41*25%</f>
        <v>62947813.75</v>
      </c>
      <c r="AE51" s="2">
        <f>+AE41*25%</f>
        <v>67327534.75</v>
      </c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mergeCells count="15">
    <mergeCell ref="V7:Z7"/>
    <mergeCell ref="A5:O5"/>
    <mergeCell ref="C7:C8"/>
    <mergeCell ref="Q7:U7"/>
    <mergeCell ref="I7:L7"/>
    <mergeCell ref="M7:P7"/>
    <mergeCell ref="E7:E8"/>
    <mergeCell ref="D7:D8"/>
    <mergeCell ref="F7:F8"/>
    <mergeCell ref="G7:G8"/>
    <mergeCell ref="A7:A8"/>
    <mergeCell ref="A1:O1"/>
    <mergeCell ref="A2:O2"/>
    <mergeCell ref="A3:O3"/>
    <mergeCell ref="A4:O4"/>
  </mergeCells>
  <printOptions/>
  <pageMargins left="0.66" right="0.1968503937007874" top="0.39" bottom="0.2362204724409449" header="0" footer="0"/>
  <pageSetup horizontalDpi="600" verticalDpi="600" orientation="landscape" scale="75" r:id="rId3"/>
  <rowBreaks count="1" manualBreakCount="1">
    <brk id="49" max="43" man="1"/>
  </rowBreaks>
  <colBreaks count="1" manualBreakCount="1">
    <brk id="44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74"/>
  <sheetViews>
    <sheetView view="pageBreakPreview" zoomScale="91" zoomScaleNormal="85" zoomScaleSheetLayoutView="91" workbookViewId="0" topLeftCell="A22">
      <pane xSplit="1" topLeftCell="B1" activePane="topRight" state="frozen"/>
      <selection pane="topLeft" activeCell="A1" sqref="A1"/>
      <selection pane="topRight" activeCell="G67" sqref="G67"/>
    </sheetView>
  </sheetViews>
  <sheetFormatPr defaultColWidth="11.421875" defaultRowHeight="12.75"/>
  <cols>
    <col min="1" max="1" width="46.8515625" style="509" customWidth="1"/>
    <col min="2" max="2" width="23.140625" style="509" customWidth="1"/>
    <col min="3" max="7" width="20.28125" style="509" customWidth="1"/>
    <col min="8" max="8" width="14.140625" style="509" bestFit="1" customWidth="1"/>
    <col min="9" max="16384" width="11.421875" style="509" customWidth="1"/>
  </cols>
  <sheetData>
    <row r="1" spans="1:7" ht="14.25">
      <c r="A1" s="508"/>
      <c r="B1" s="508"/>
      <c r="C1" s="508"/>
      <c r="D1" s="508"/>
      <c r="E1" s="508"/>
      <c r="F1" s="508"/>
      <c r="G1" s="508"/>
    </row>
    <row r="2" spans="1:7" ht="15">
      <c r="A2" s="774" t="s">
        <v>0</v>
      </c>
      <c r="B2" s="774"/>
      <c r="C2" s="774"/>
      <c r="D2" s="774"/>
      <c r="E2" s="774"/>
      <c r="F2" s="774"/>
      <c r="G2" s="774"/>
    </row>
    <row r="3" spans="1:7" ht="15">
      <c r="A3" s="774" t="s">
        <v>298</v>
      </c>
      <c r="B3" s="774"/>
      <c r="C3" s="774"/>
      <c r="D3" s="774"/>
      <c r="E3" s="774"/>
      <c r="F3" s="774"/>
      <c r="G3" s="774"/>
    </row>
    <row r="4" spans="1:7" ht="15">
      <c r="A4" s="774" t="s">
        <v>387</v>
      </c>
      <c r="B4" s="774"/>
      <c r="C4" s="774"/>
      <c r="D4" s="774"/>
      <c r="E4" s="774"/>
      <c r="F4" s="774"/>
      <c r="G4" s="774"/>
    </row>
    <row r="5" spans="1:7" ht="14.25">
      <c r="A5" s="508"/>
      <c r="B5" s="508"/>
      <c r="C5" s="508"/>
      <c r="D5" s="508"/>
      <c r="E5" s="508"/>
      <c r="F5" s="508"/>
      <c r="G5" s="508"/>
    </row>
    <row r="6" spans="1:7" ht="15">
      <c r="A6" s="772" t="s">
        <v>299</v>
      </c>
      <c r="B6" s="773"/>
      <c r="C6" s="375" t="s">
        <v>12</v>
      </c>
      <c r="D6" s="375" t="s">
        <v>13</v>
      </c>
      <c r="E6" s="375" t="s">
        <v>14</v>
      </c>
      <c r="F6" s="375" t="s">
        <v>15</v>
      </c>
      <c r="G6" s="375" t="s">
        <v>7</v>
      </c>
    </row>
    <row r="7" spans="1:7" ht="14.25">
      <c r="A7" s="510" t="s">
        <v>300</v>
      </c>
      <c r="B7" s="511">
        <v>48051301</v>
      </c>
      <c r="C7" s="512">
        <v>2294414</v>
      </c>
      <c r="D7" s="513">
        <v>10050155</v>
      </c>
      <c r="E7" s="513">
        <v>18057468</v>
      </c>
      <c r="F7" s="512">
        <v>17473596</v>
      </c>
      <c r="G7" s="512">
        <f aca="true" t="shared" si="0" ref="G7:G12">SUM(C7:F7)</f>
        <v>47875633</v>
      </c>
    </row>
    <row r="8" spans="1:7" ht="14.25">
      <c r="A8" s="510" t="s">
        <v>301</v>
      </c>
      <c r="B8" s="511">
        <v>48100701</v>
      </c>
      <c r="C8" s="512"/>
      <c r="D8" s="513"/>
      <c r="E8" s="513">
        <v>0</v>
      </c>
      <c r="F8" s="512">
        <v>1554</v>
      </c>
      <c r="G8" s="512">
        <f t="shared" si="0"/>
        <v>1554</v>
      </c>
    </row>
    <row r="9" spans="1:7" ht="14.25">
      <c r="A9" s="510" t="s">
        <v>310</v>
      </c>
      <c r="B9" s="511">
        <v>48104701</v>
      </c>
      <c r="C9" s="512">
        <v>29894</v>
      </c>
      <c r="D9" s="513">
        <v>1019653</v>
      </c>
      <c r="E9" s="513">
        <v>5844</v>
      </c>
      <c r="F9" s="512">
        <v>52799</v>
      </c>
      <c r="G9" s="512">
        <f>SUM(C9:F9)</f>
        <v>1108190</v>
      </c>
    </row>
    <row r="10" spans="1:7" ht="14.25">
      <c r="A10" s="510" t="s">
        <v>388</v>
      </c>
      <c r="B10" s="511">
        <v>48109012</v>
      </c>
      <c r="C10" s="512">
        <v>1482</v>
      </c>
      <c r="D10" s="513">
        <v>810</v>
      </c>
      <c r="E10" s="513">
        <v>263</v>
      </c>
      <c r="F10" s="512">
        <v>1257</v>
      </c>
      <c r="G10" s="512">
        <f t="shared" si="0"/>
        <v>3812</v>
      </c>
    </row>
    <row r="11" spans="1:7" ht="14.25">
      <c r="A11" s="510" t="s">
        <v>302</v>
      </c>
      <c r="B11" s="511">
        <v>48060101</v>
      </c>
      <c r="C11" s="512"/>
      <c r="D11" s="513">
        <v>3498</v>
      </c>
      <c r="E11" s="513">
        <v>10823</v>
      </c>
      <c r="F11" s="512">
        <v>66262</v>
      </c>
      <c r="G11" s="512">
        <f t="shared" si="0"/>
        <v>80583</v>
      </c>
    </row>
    <row r="12" spans="1:7" ht="14.25">
      <c r="A12" s="510" t="s">
        <v>324</v>
      </c>
      <c r="B12" s="511">
        <v>4810901301</v>
      </c>
      <c r="C12" s="512"/>
      <c r="D12" s="513">
        <v>260000</v>
      </c>
      <c r="E12" s="512"/>
      <c r="F12" s="512">
        <v>0</v>
      </c>
      <c r="G12" s="512">
        <f t="shared" si="0"/>
        <v>260000</v>
      </c>
    </row>
    <row r="13" spans="1:7" ht="15">
      <c r="A13" s="768" t="s">
        <v>303</v>
      </c>
      <c r="B13" s="769"/>
      <c r="C13" s="514">
        <f>SUM(C7:C12)</f>
        <v>2325790</v>
      </c>
      <c r="D13" s="514">
        <f>SUM(D7:D12)</f>
        <v>11334116</v>
      </c>
      <c r="E13" s="514">
        <f>SUM(E7:E12)</f>
        <v>18074398</v>
      </c>
      <c r="F13" s="514">
        <f>SUM(F7:F12)</f>
        <v>17595468</v>
      </c>
      <c r="G13" s="514">
        <f>SUM(G7:G12)</f>
        <v>49329772</v>
      </c>
    </row>
    <row r="14" spans="1:7" ht="14.25">
      <c r="A14" s="508"/>
      <c r="B14" s="508"/>
      <c r="C14" s="508"/>
      <c r="D14" s="508"/>
      <c r="E14" s="508"/>
      <c r="F14" s="508"/>
      <c r="G14" s="508"/>
    </row>
    <row r="15" spans="1:7" ht="14.25">
      <c r="A15" s="508"/>
      <c r="B15" s="508"/>
      <c r="C15" s="508"/>
      <c r="D15" s="508"/>
      <c r="E15" s="508"/>
      <c r="F15" s="508"/>
      <c r="G15" s="508"/>
    </row>
    <row r="16" spans="1:7" ht="14.25">
      <c r="A16" s="508"/>
      <c r="B16" s="508"/>
      <c r="C16" s="508"/>
      <c r="D16" s="508"/>
      <c r="E16" s="508"/>
      <c r="F16" s="508"/>
      <c r="G16" s="508"/>
    </row>
    <row r="17" spans="1:7" ht="14.25">
      <c r="A17" s="508"/>
      <c r="B17" s="508"/>
      <c r="C17" s="508"/>
      <c r="D17" s="508"/>
      <c r="E17" s="508"/>
      <c r="F17" s="508"/>
      <c r="G17" s="508"/>
    </row>
    <row r="18" spans="1:7" ht="14.25">
      <c r="A18" s="508"/>
      <c r="B18" s="508"/>
      <c r="C18" s="508"/>
      <c r="D18" s="508"/>
      <c r="E18" s="508"/>
      <c r="F18" s="508"/>
      <c r="G18" s="508"/>
    </row>
    <row r="19" spans="1:7" ht="14.25">
      <c r="A19" s="508"/>
      <c r="B19" s="508"/>
      <c r="C19" s="508"/>
      <c r="D19" s="508"/>
      <c r="E19" s="508"/>
      <c r="F19" s="508"/>
      <c r="G19" s="508"/>
    </row>
    <row r="20" spans="1:7" ht="21" customHeight="1">
      <c r="A20" s="772" t="s">
        <v>304</v>
      </c>
      <c r="B20" s="773"/>
      <c r="C20" s="375" t="s">
        <v>12</v>
      </c>
      <c r="D20" s="375" t="s">
        <v>13</v>
      </c>
      <c r="E20" s="375" t="s">
        <v>14</v>
      </c>
      <c r="F20" s="375" t="s">
        <v>15</v>
      </c>
      <c r="G20" s="375" t="s">
        <v>7</v>
      </c>
    </row>
    <row r="21" spans="1:7" ht="12.75" customHeight="1">
      <c r="A21" s="510" t="s">
        <v>305</v>
      </c>
      <c r="B21" s="511">
        <v>48155901</v>
      </c>
      <c r="C21" s="512">
        <v>6727029</v>
      </c>
      <c r="D21" s="513">
        <v>1427643</v>
      </c>
      <c r="E21" s="512">
        <v>64197558</v>
      </c>
      <c r="F21" s="512">
        <v>22076349</v>
      </c>
      <c r="G21" s="512">
        <f>SUM(C21:F21)</f>
        <v>94428579</v>
      </c>
    </row>
    <row r="22" spans="1:7" ht="12.75" customHeight="1">
      <c r="A22" s="510" t="s">
        <v>306</v>
      </c>
      <c r="B22" s="511">
        <v>43900401</v>
      </c>
      <c r="C22" s="512">
        <v>0</v>
      </c>
      <c r="D22" s="513">
        <v>0</v>
      </c>
      <c r="E22" s="513">
        <v>490175</v>
      </c>
      <c r="F22" s="512">
        <v>560000</v>
      </c>
      <c r="G22" s="512">
        <f>SUM(C22:F22)</f>
        <v>1050175</v>
      </c>
    </row>
    <row r="23" spans="1:7" ht="12.75" customHeight="1">
      <c r="A23" s="510" t="s">
        <v>307</v>
      </c>
      <c r="B23" s="511">
        <v>43900503</v>
      </c>
      <c r="C23" s="512">
        <v>0</v>
      </c>
      <c r="D23" s="513">
        <v>0</v>
      </c>
      <c r="E23" s="513">
        <v>0</v>
      </c>
      <c r="F23" s="512">
        <v>0</v>
      </c>
      <c r="G23" s="512">
        <f>SUM(C23:F23)</f>
        <v>0</v>
      </c>
    </row>
    <row r="24" spans="1:7" ht="12.75" customHeight="1">
      <c r="A24" s="510" t="s">
        <v>389</v>
      </c>
      <c r="B24" s="511" t="s">
        <v>390</v>
      </c>
      <c r="C24" s="512"/>
      <c r="D24" s="513"/>
      <c r="E24" s="513"/>
      <c r="F24" s="512"/>
      <c r="G24" s="512">
        <f>SUM(C24:F24)</f>
        <v>0</v>
      </c>
    </row>
    <row r="25" spans="1:7" ht="12.75" customHeight="1">
      <c r="A25" s="510" t="s">
        <v>391</v>
      </c>
      <c r="B25" s="511">
        <v>43900507</v>
      </c>
      <c r="C25" s="512"/>
      <c r="D25" s="513">
        <v>0</v>
      </c>
      <c r="E25" s="513">
        <v>0</v>
      </c>
      <c r="F25" s="512">
        <v>0</v>
      </c>
      <c r="G25" s="512">
        <f>SUM(C25:F25)</f>
        <v>0</v>
      </c>
    </row>
    <row r="26" spans="1:7" ht="12.75" customHeight="1">
      <c r="A26" s="510" t="s">
        <v>322</v>
      </c>
      <c r="B26" s="511">
        <v>43900508</v>
      </c>
      <c r="C26" s="512"/>
      <c r="D26" s="513">
        <v>0</v>
      </c>
      <c r="E26" s="513">
        <v>0</v>
      </c>
      <c r="F26" s="512">
        <v>0</v>
      </c>
      <c r="G26" s="512">
        <f aca="true" t="shared" si="1" ref="G26:G36">SUM(C26:F26)</f>
        <v>0</v>
      </c>
    </row>
    <row r="27" spans="1:7" ht="12.75" customHeight="1">
      <c r="A27" s="510" t="s">
        <v>392</v>
      </c>
      <c r="B27" s="511">
        <v>43900509</v>
      </c>
      <c r="C27" s="512"/>
      <c r="D27" s="513"/>
      <c r="E27" s="513">
        <v>15500000</v>
      </c>
      <c r="F27" s="512">
        <v>0</v>
      </c>
      <c r="G27" s="512">
        <f t="shared" si="1"/>
        <v>15500000</v>
      </c>
    </row>
    <row r="28" spans="1:7" ht="12.75" customHeight="1">
      <c r="A28" s="510" t="s">
        <v>393</v>
      </c>
      <c r="B28" s="511">
        <v>43900510</v>
      </c>
      <c r="C28" s="512"/>
      <c r="D28" s="513"/>
      <c r="E28" s="513">
        <v>26400000</v>
      </c>
      <c r="F28" s="512">
        <v>0</v>
      </c>
      <c r="G28" s="512">
        <f t="shared" si="1"/>
        <v>26400000</v>
      </c>
    </row>
    <row r="29" spans="1:7" ht="12.75" customHeight="1">
      <c r="A29" s="510" t="s">
        <v>394</v>
      </c>
      <c r="B29" s="511">
        <v>43900511</v>
      </c>
      <c r="C29" s="512"/>
      <c r="D29" s="513"/>
      <c r="E29" s="513"/>
      <c r="F29" s="512">
        <v>11370667</v>
      </c>
      <c r="G29" s="512">
        <f t="shared" si="1"/>
        <v>11370667</v>
      </c>
    </row>
    <row r="30" spans="1:7" ht="12.75" customHeight="1">
      <c r="A30" s="510" t="s">
        <v>308</v>
      </c>
      <c r="B30" s="511">
        <v>421004</v>
      </c>
      <c r="C30" s="512">
        <v>25000</v>
      </c>
      <c r="D30" s="513">
        <v>495000</v>
      </c>
      <c r="E30" s="513">
        <v>3295000</v>
      </c>
      <c r="F30" s="512">
        <f>675474-310474</f>
        <v>365000</v>
      </c>
      <c r="G30" s="512">
        <f t="shared" si="1"/>
        <v>4180000</v>
      </c>
    </row>
    <row r="31" spans="1:7" ht="12.75" customHeight="1">
      <c r="A31" s="510" t="s">
        <v>309</v>
      </c>
      <c r="B31" s="511">
        <v>420101</v>
      </c>
      <c r="C31" s="512">
        <v>0</v>
      </c>
      <c r="D31" s="513">
        <v>0</v>
      </c>
      <c r="E31" s="513">
        <v>730000</v>
      </c>
      <c r="F31" s="512">
        <v>1825000</v>
      </c>
      <c r="G31" s="512">
        <f t="shared" si="1"/>
        <v>2555000</v>
      </c>
    </row>
    <row r="32" spans="1:7" ht="15">
      <c r="A32" s="515" t="s">
        <v>395</v>
      </c>
      <c r="B32" s="516">
        <v>48052201</v>
      </c>
      <c r="C32" s="517">
        <v>20998371</v>
      </c>
      <c r="D32" s="517">
        <v>28745207</v>
      </c>
      <c r="E32" s="517">
        <v>33814839</v>
      </c>
      <c r="F32" s="517">
        <v>26602355</v>
      </c>
      <c r="G32" s="517">
        <f t="shared" si="1"/>
        <v>110160772</v>
      </c>
    </row>
    <row r="33" spans="1:8" ht="15">
      <c r="A33" s="518" t="s">
        <v>396</v>
      </c>
      <c r="B33" s="519">
        <v>48100803</v>
      </c>
      <c r="C33" s="517"/>
      <c r="D33" s="517"/>
      <c r="E33" s="517"/>
      <c r="F33" s="517">
        <f>418596623-175961865</f>
        <v>242634758</v>
      </c>
      <c r="G33" s="517">
        <f t="shared" si="1"/>
        <v>242634758</v>
      </c>
      <c r="H33" s="750"/>
    </row>
    <row r="34" spans="1:8" ht="12.75" customHeight="1">
      <c r="A34" s="510" t="s">
        <v>397</v>
      </c>
      <c r="B34" s="511">
        <v>48109020</v>
      </c>
      <c r="C34" s="512">
        <v>0</v>
      </c>
      <c r="D34" s="513">
        <v>20000</v>
      </c>
      <c r="E34" s="513">
        <v>60000</v>
      </c>
      <c r="F34" s="512">
        <v>60000</v>
      </c>
      <c r="G34" s="512">
        <f t="shared" si="1"/>
        <v>140000</v>
      </c>
      <c r="H34" s="750"/>
    </row>
    <row r="35" spans="1:7" ht="12.75" customHeight="1">
      <c r="A35" s="510" t="s">
        <v>323</v>
      </c>
      <c r="B35" s="511">
        <v>48104901</v>
      </c>
      <c r="C35" s="512">
        <v>0</v>
      </c>
      <c r="D35" s="513">
        <v>0</v>
      </c>
      <c r="E35" s="513">
        <v>403487</v>
      </c>
      <c r="F35" s="512">
        <v>4772761</v>
      </c>
      <c r="G35" s="512">
        <f t="shared" si="1"/>
        <v>5176248</v>
      </c>
    </row>
    <row r="36" spans="1:7" ht="12.75" customHeight="1">
      <c r="A36" s="510" t="s">
        <v>321</v>
      </c>
      <c r="B36" s="511">
        <v>4810900301</v>
      </c>
      <c r="C36" s="512">
        <v>31049209</v>
      </c>
      <c r="D36" s="513"/>
      <c r="E36" s="512">
        <v>0</v>
      </c>
      <c r="F36" s="512">
        <v>0</v>
      </c>
      <c r="G36" s="512">
        <f t="shared" si="1"/>
        <v>31049209</v>
      </c>
    </row>
    <row r="37" spans="1:7" ht="29.25" customHeight="1">
      <c r="A37" s="768" t="s">
        <v>311</v>
      </c>
      <c r="B37" s="769"/>
      <c r="C37" s="514">
        <f>SUM(C21:C36)</f>
        <v>58799609</v>
      </c>
      <c r="D37" s="514">
        <f>SUM(D21:D36)</f>
        <v>30687850</v>
      </c>
      <c r="E37" s="514">
        <f>SUM(E21:E36)</f>
        <v>144891059</v>
      </c>
      <c r="F37" s="514">
        <f>SUM(F21:F36)</f>
        <v>310266890</v>
      </c>
      <c r="G37" s="514">
        <f>SUM(G21:G36)</f>
        <v>544645408</v>
      </c>
    </row>
    <row r="38" spans="1:8" s="520" customFormat="1" ht="15.75" customHeight="1">
      <c r="A38" s="770"/>
      <c r="B38" s="770"/>
      <c r="C38" s="770"/>
      <c r="H38" s="749"/>
    </row>
    <row r="39" spans="1:3" s="520" customFormat="1" ht="14.25">
      <c r="A39" s="770"/>
      <c r="B39" s="770"/>
      <c r="C39" s="770"/>
    </row>
    <row r="40" spans="1:41" ht="15">
      <c r="A40" s="377"/>
      <c r="B40" s="377"/>
      <c r="C40" s="377"/>
      <c r="D40" s="377"/>
      <c r="E40" s="377"/>
      <c r="F40" s="377"/>
      <c r="G40" s="377"/>
      <c r="H40" s="521"/>
      <c r="I40" s="521"/>
      <c r="J40" s="521"/>
      <c r="K40" s="521"/>
      <c r="L40" s="521"/>
      <c r="M40" s="521"/>
      <c r="N40" s="521"/>
      <c r="O40" s="521"/>
      <c r="P40" s="521"/>
      <c r="Q40" s="521"/>
      <c r="R40" s="521"/>
      <c r="S40" s="521"/>
      <c r="T40" s="521"/>
      <c r="U40" s="521"/>
      <c r="V40" s="521"/>
      <c r="W40" s="521"/>
      <c r="X40" s="521"/>
      <c r="Y40" s="521"/>
      <c r="Z40" s="521"/>
      <c r="AA40" s="521"/>
      <c r="AB40" s="521"/>
      <c r="AC40" s="521"/>
      <c r="AD40" s="521"/>
      <c r="AE40" s="521"/>
      <c r="AF40" s="521"/>
      <c r="AG40" s="521"/>
      <c r="AH40" s="521"/>
      <c r="AI40" s="521"/>
      <c r="AJ40" s="521"/>
      <c r="AK40" s="521"/>
      <c r="AL40" s="521"/>
      <c r="AM40" s="521"/>
      <c r="AN40" s="521"/>
      <c r="AO40" s="521"/>
    </row>
    <row r="41" spans="1:7" ht="28.5" customHeight="1">
      <c r="A41" s="767" t="s">
        <v>312</v>
      </c>
      <c r="B41" s="767"/>
      <c r="C41" s="375" t="s">
        <v>12</v>
      </c>
      <c r="D41" s="375" t="s">
        <v>13</v>
      </c>
      <c r="E41" s="375" t="s">
        <v>14</v>
      </c>
      <c r="F41" s="375" t="s">
        <v>15</v>
      </c>
      <c r="G41" s="375" t="s">
        <v>7</v>
      </c>
    </row>
    <row r="42" spans="1:7" ht="14.25">
      <c r="A42" s="510" t="s">
        <v>313</v>
      </c>
      <c r="B42" s="511">
        <v>48109018</v>
      </c>
      <c r="C42" s="512">
        <v>0</v>
      </c>
      <c r="D42" s="513">
        <v>1499600</v>
      </c>
      <c r="E42" s="512">
        <v>0</v>
      </c>
      <c r="F42" s="522">
        <v>0</v>
      </c>
      <c r="G42" s="512">
        <f aca="true" t="shared" si="2" ref="G42:G50">SUM(C42:F42)</f>
        <v>1499600</v>
      </c>
    </row>
    <row r="43" spans="1:9" ht="28.5">
      <c r="A43" s="510" t="s">
        <v>398</v>
      </c>
      <c r="B43" s="511" t="s">
        <v>399</v>
      </c>
      <c r="C43" s="512">
        <f>32370789-1637169</f>
        <v>30733620</v>
      </c>
      <c r="D43" s="513">
        <v>39935225</v>
      </c>
      <c r="E43" s="513">
        <v>19763540</v>
      </c>
      <c r="F43" s="522">
        <v>10487600</v>
      </c>
      <c r="G43" s="512">
        <f t="shared" si="2"/>
        <v>100919985</v>
      </c>
      <c r="H43" s="521"/>
      <c r="I43" s="521"/>
    </row>
    <row r="44" spans="1:9" ht="14.25">
      <c r="A44" s="510" t="s">
        <v>314</v>
      </c>
      <c r="B44" s="511">
        <v>481006</v>
      </c>
      <c r="C44" s="512">
        <v>0</v>
      </c>
      <c r="D44" s="513">
        <v>0</v>
      </c>
      <c r="E44" s="513">
        <v>12750000</v>
      </c>
      <c r="F44" s="522">
        <v>0</v>
      </c>
      <c r="G44" s="512">
        <f t="shared" si="2"/>
        <v>12750000</v>
      </c>
      <c r="H44" s="521"/>
      <c r="I44" s="521"/>
    </row>
    <row r="45" spans="1:9" ht="14.25">
      <c r="A45" s="510" t="s">
        <v>543</v>
      </c>
      <c r="B45" s="511"/>
      <c r="C45" s="522">
        <f>23204291+139526841</f>
        <v>162731132</v>
      </c>
      <c r="D45" s="522">
        <f>15461006+83350383</f>
        <v>98811389</v>
      </c>
      <c r="E45" s="512">
        <v>0</v>
      </c>
      <c r="F45" s="522">
        <v>0</v>
      </c>
      <c r="G45" s="512">
        <f t="shared" si="2"/>
        <v>261542521</v>
      </c>
      <c r="H45" s="521"/>
      <c r="I45" s="521"/>
    </row>
    <row r="46" spans="1:9" ht="14.25">
      <c r="A46" s="510" t="s">
        <v>315</v>
      </c>
      <c r="B46" s="511" t="s">
        <v>400</v>
      </c>
      <c r="C46" s="522">
        <v>0</v>
      </c>
      <c r="D46" s="523">
        <v>0</v>
      </c>
      <c r="E46" s="513">
        <v>235691019</v>
      </c>
      <c r="F46" s="522">
        <v>0</v>
      </c>
      <c r="G46" s="512">
        <f t="shared" si="2"/>
        <v>235691019</v>
      </c>
      <c r="H46" s="521"/>
      <c r="I46" s="521"/>
    </row>
    <row r="47" spans="1:9" ht="28.5">
      <c r="A47" s="510" t="s">
        <v>316</v>
      </c>
      <c r="B47" s="511">
        <v>43900506</v>
      </c>
      <c r="C47" s="524"/>
      <c r="D47" s="525"/>
      <c r="E47" s="525">
        <v>8743350</v>
      </c>
      <c r="F47" s="526">
        <v>20100500</v>
      </c>
      <c r="G47" s="512">
        <f t="shared" si="2"/>
        <v>28843850</v>
      </c>
      <c r="H47" s="521"/>
      <c r="I47" s="521"/>
    </row>
    <row r="48" spans="1:9" ht="14.25">
      <c r="A48" s="527" t="s">
        <v>401</v>
      </c>
      <c r="B48" s="528" t="s">
        <v>402</v>
      </c>
      <c r="C48" s="524"/>
      <c r="D48" s="525"/>
      <c r="E48" s="525"/>
      <c r="F48" s="526">
        <v>2165453</v>
      </c>
      <c r="G48" s="512">
        <f t="shared" si="2"/>
        <v>2165453</v>
      </c>
      <c r="H48" s="521"/>
      <c r="I48" s="521"/>
    </row>
    <row r="49" spans="1:9" ht="14.25">
      <c r="A49" s="527" t="s">
        <v>403</v>
      </c>
      <c r="B49" s="528" t="s">
        <v>404</v>
      </c>
      <c r="C49" s="524"/>
      <c r="D49" s="525"/>
      <c r="E49" s="525"/>
      <c r="F49" s="526">
        <v>100000000</v>
      </c>
      <c r="G49" s="512">
        <f t="shared" si="2"/>
        <v>100000000</v>
      </c>
      <c r="H49" s="521"/>
      <c r="I49" s="521"/>
    </row>
    <row r="50" spans="1:9" ht="14.25">
      <c r="A50" s="527" t="s">
        <v>405</v>
      </c>
      <c r="B50" s="528" t="s">
        <v>406</v>
      </c>
      <c r="C50" s="524"/>
      <c r="D50" s="525"/>
      <c r="E50" s="525"/>
      <c r="F50" s="526">
        <v>10000000</v>
      </c>
      <c r="G50" s="512">
        <f t="shared" si="2"/>
        <v>10000000</v>
      </c>
      <c r="H50" s="521"/>
      <c r="I50" s="521"/>
    </row>
    <row r="51" spans="1:9" ht="34.5" customHeight="1">
      <c r="A51" s="768" t="s">
        <v>317</v>
      </c>
      <c r="B51" s="769"/>
      <c r="C51" s="514">
        <f>SUM(C42:C50)</f>
        <v>193464752</v>
      </c>
      <c r="D51" s="514">
        <f>SUM(D42:D50)</f>
        <v>140246214</v>
      </c>
      <c r="E51" s="514">
        <f>SUM(E42:E50)</f>
        <v>276947909</v>
      </c>
      <c r="F51" s="514">
        <f>SUM(F42:F50)</f>
        <v>142753553</v>
      </c>
      <c r="G51" s="514">
        <f>SUM(G42:G50)</f>
        <v>753412428</v>
      </c>
      <c r="H51" s="521"/>
      <c r="I51" s="521"/>
    </row>
    <row r="52" spans="1:9" s="520" customFormat="1" ht="14.25">
      <c r="A52" s="770"/>
      <c r="B52" s="770"/>
      <c r="C52" s="770"/>
      <c r="D52" s="529"/>
      <c r="E52" s="529"/>
      <c r="F52" s="529"/>
      <c r="G52" s="529"/>
      <c r="H52" s="529"/>
      <c r="I52" s="529"/>
    </row>
    <row r="53" spans="1:9" s="520" customFormat="1" ht="14.25">
      <c r="A53" s="771"/>
      <c r="B53" s="771"/>
      <c r="C53" s="771"/>
      <c r="D53" s="529"/>
      <c r="E53" s="529"/>
      <c r="F53" s="529"/>
      <c r="G53" s="529"/>
      <c r="H53" s="529"/>
      <c r="I53" s="529"/>
    </row>
    <row r="54" spans="1:41" ht="15">
      <c r="A54" s="376"/>
      <c r="B54" s="376"/>
      <c r="C54" s="376"/>
      <c r="D54" s="376"/>
      <c r="E54" s="376"/>
      <c r="F54" s="376"/>
      <c r="G54" s="376"/>
      <c r="H54" s="521"/>
      <c r="I54" s="521"/>
      <c r="J54" s="521"/>
      <c r="K54" s="521"/>
      <c r="L54" s="521"/>
      <c r="M54" s="521"/>
      <c r="N54" s="521"/>
      <c r="O54" s="521"/>
      <c r="P54" s="521"/>
      <c r="Q54" s="521"/>
      <c r="R54" s="521"/>
      <c r="S54" s="521"/>
      <c r="T54" s="521"/>
      <c r="U54" s="521"/>
      <c r="V54" s="521"/>
      <c r="W54" s="521"/>
      <c r="X54" s="521"/>
      <c r="Y54" s="521"/>
      <c r="Z54" s="521"/>
      <c r="AA54" s="521"/>
      <c r="AB54" s="521"/>
      <c r="AC54" s="521"/>
      <c r="AD54" s="521"/>
      <c r="AE54" s="521"/>
      <c r="AF54" s="521"/>
      <c r="AG54" s="521"/>
      <c r="AH54" s="521"/>
      <c r="AI54" s="521"/>
      <c r="AJ54" s="521"/>
      <c r="AK54" s="521"/>
      <c r="AL54" s="521"/>
      <c r="AM54" s="521"/>
      <c r="AN54" s="521"/>
      <c r="AO54" s="521"/>
    </row>
    <row r="55" spans="1:41" ht="26.25" customHeight="1">
      <c r="A55" s="772" t="s">
        <v>318</v>
      </c>
      <c r="B55" s="773"/>
      <c r="C55" s="375" t="s">
        <v>12</v>
      </c>
      <c r="D55" s="375" t="s">
        <v>13</v>
      </c>
      <c r="E55" s="375" t="s">
        <v>14</v>
      </c>
      <c r="F55" s="375" t="s">
        <v>15</v>
      </c>
      <c r="G55" s="375" t="s">
        <v>7</v>
      </c>
      <c r="H55" s="521"/>
      <c r="I55" s="521"/>
      <c r="J55" s="521"/>
      <c r="K55" s="521"/>
      <c r="L55" s="521"/>
      <c r="M55" s="521"/>
      <c r="N55" s="521"/>
      <c r="O55" s="521"/>
      <c r="P55" s="521"/>
      <c r="Q55" s="521"/>
      <c r="R55" s="521"/>
      <c r="S55" s="521"/>
      <c r="T55" s="521"/>
      <c r="U55" s="521"/>
      <c r="V55" s="521"/>
      <c r="W55" s="521"/>
      <c r="X55" s="521"/>
      <c r="Y55" s="521"/>
      <c r="Z55" s="521"/>
      <c r="AA55" s="521"/>
      <c r="AB55" s="521"/>
      <c r="AC55" s="521"/>
      <c r="AD55" s="521"/>
      <c r="AE55" s="521"/>
      <c r="AF55" s="521"/>
      <c r="AG55" s="521"/>
      <c r="AH55" s="521"/>
      <c r="AI55" s="521"/>
      <c r="AJ55" s="521"/>
      <c r="AK55" s="521"/>
      <c r="AL55" s="521"/>
      <c r="AM55" s="521"/>
      <c r="AN55" s="521"/>
      <c r="AO55" s="521"/>
    </row>
    <row r="56" spans="1:41" ht="14.25">
      <c r="A56" s="510" t="s">
        <v>300</v>
      </c>
      <c r="B56" s="511">
        <v>48051301</v>
      </c>
      <c r="C56" s="512">
        <v>117375</v>
      </c>
      <c r="D56" s="513">
        <v>1566147</v>
      </c>
      <c r="E56" s="512">
        <v>702509</v>
      </c>
      <c r="F56" s="512">
        <v>1239523</v>
      </c>
      <c r="G56" s="522">
        <f aca="true" t="shared" si="3" ref="G56:G66">SUM(C56:F56)</f>
        <v>3625554</v>
      </c>
      <c r="H56" s="521"/>
      <c r="I56" s="521"/>
      <c r="J56" s="521"/>
      <c r="K56" s="521"/>
      <c r="L56" s="521"/>
      <c r="M56" s="521"/>
      <c r="N56" s="521"/>
      <c r="O56" s="521"/>
      <c r="P56" s="521"/>
      <c r="Q56" s="521"/>
      <c r="R56" s="521"/>
      <c r="S56" s="521"/>
      <c r="T56" s="521"/>
      <c r="U56" s="521"/>
      <c r="V56" s="521"/>
      <c r="W56" s="521"/>
      <c r="X56" s="521"/>
      <c r="Y56" s="521"/>
      <c r="Z56" s="521"/>
      <c r="AA56" s="521"/>
      <c r="AB56" s="521"/>
      <c r="AC56" s="521"/>
      <c r="AD56" s="521"/>
      <c r="AE56" s="521"/>
      <c r="AF56" s="521"/>
      <c r="AG56" s="521"/>
      <c r="AH56" s="521"/>
      <c r="AI56" s="521"/>
      <c r="AJ56" s="521"/>
      <c r="AK56" s="521"/>
      <c r="AL56" s="521"/>
      <c r="AM56" s="521"/>
      <c r="AN56" s="521"/>
      <c r="AO56" s="521"/>
    </row>
    <row r="57" spans="1:41" ht="15">
      <c r="A57" s="515" t="s">
        <v>395</v>
      </c>
      <c r="B57" s="516">
        <v>48052201</v>
      </c>
      <c r="C57" s="517">
        <v>3541046</v>
      </c>
      <c r="D57" s="517">
        <v>8828138</v>
      </c>
      <c r="E57" s="517">
        <v>22503540</v>
      </c>
      <c r="F57" s="517">
        <v>33064925</v>
      </c>
      <c r="G57" s="530">
        <f t="shared" si="3"/>
        <v>67937649</v>
      </c>
      <c r="H57" s="521"/>
      <c r="I57" s="521"/>
      <c r="J57" s="521"/>
      <c r="K57" s="521"/>
      <c r="L57" s="521"/>
      <c r="M57" s="521"/>
      <c r="N57" s="521"/>
      <c r="O57" s="521"/>
      <c r="P57" s="521"/>
      <c r="Q57" s="521"/>
      <c r="R57" s="521"/>
      <c r="S57" s="521"/>
      <c r="T57" s="521"/>
      <c r="U57" s="521"/>
      <c r="V57" s="521"/>
      <c r="W57" s="521"/>
      <c r="X57" s="521"/>
      <c r="Y57" s="521"/>
      <c r="Z57" s="521"/>
      <c r="AA57" s="521"/>
      <c r="AB57" s="521"/>
      <c r="AC57" s="521"/>
      <c r="AD57" s="521"/>
      <c r="AE57" s="521"/>
      <c r="AF57" s="521"/>
      <c r="AG57" s="521"/>
      <c r="AH57" s="521"/>
      <c r="AI57" s="521"/>
      <c r="AJ57" s="521"/>
      <c r="AK57" s="521"/>
      <c r="AL57" s="521"/>
      <c r="AM57" s="521"/>
      <c r="AN57" s="521"/>
      <c r="AO57" s="521"/>
    </row>
    <row r="58" spans="1:41" ht="14.25">
      <c r="A58" s="510" t="s">
        <v>302</v>
      </c>
      <c r="B58" s="511">
        <v>48060101</v>
      </c>
      <c r="C58" s="512">
        <v>7047553</v>
      </c>
      <c r="D58" s="513">
        <v>2192977</v>
      </c>
      <c r="E58" s="512">
        <v>13951</v>
      </c>
      <c r="F58" s="512">
        <v>1347774</v>
      </c>
      <c r="G58" s="522">
        <f t="shared" si="3"/>
        <v>10602255</v>
      </c>
      <c r="H58" s="521"/>
      <c r="I58" s="521"/>
      <c r="J58" s="521"/>
      <c r="K58" s="521"/>
      <c r="L58" s="521"/>
      <c r="M58" s="521"/>
      <c r="N58" s="521"/>
      <c r="O58" s="521"/>
      <c r="P58" s="521"/>
      <c r="Q58" s="521"/>
      <c r="R58" s="521"/>
      <c r="S58" s="521"/>
      <c r="T58" s="521"/>
      <c r="U58" s="521"/>
      <c r="V58" s="521"/>
      <c r="W58" s="521"/>
      <c r="X58" s="521"/>
      <c r="Y58" s="521"/>
      <c r="Z58" s="521"/>
      <c r="AA58" s="521"/>
      <c r="AB58" s="521"/>
      <c r="AC58" s="521"/>
      <c r="AD58" s="521"/>
      <c r="AE58" s="521"/>
      <c r="AF58" s="521"/>
      <c r="AG58" s="521"/>
      <c r="AH58" s="521"/>
      <c r="AI58" s="521"/>
      <c r="AJ58" s="521"/>
      <c r="AK58" s="521"/>
      <c r="AL58" s="521"/>
      <c r="AM58" s="521"/>
      <c r="AN58" s="521"/>
      <c r="AO58" s="521"/>
    </row>
    <row r="59" spans="1:41" ht="14.25">
      <c r="A59" s="510" t="s">
        <v>407</v>
      </c>
      <c r="B59" s="511">
        <v>48060201</v>
      </c>
      <c r="C59" s="512">
        <v>0</v>
      </c>
      <c r="D59" s="513">
        <v>455418</v>
      </c>
      <c r="E59" s="512">
        <v>1298</v>
      </c>
      <c r="F59" s="512"/>
      <c r="G59" s="522">
        <f t="shared" si="3"/>
        <v>456716</v>
      </c>
      <c r="H59" s="521"/>
      <c r="I59" s="521"/>
      <c r="J59" s="521"/>
      <c r="K59" s="521"/>
      <c r="L59" s="521"/>
      <c r="M59" s="521"/>
      <c r="N59" s="521"/>
      <c r="O59" s="521"/>
      <c r="P59" s="521"/>
      <c r="Q59" s="521"/>
      <c r="R59" s="521"/>
      <c r="S59" s="521"/>
      <c r="T59" s="521"/>
      <c r="U59" s="521"/>
      <c r="V59" s="521"/>
      <c r="W59" s="521"/>
      <c r="X59" s="521"/>
      <c r="Y59" s="521"/>
      <c r="Z59" s="521"/>
      <c r="AA59" s="521"/>
      <c r="AB59" s="521"/>
      <c r="AC59" s="521"/>
      <c r="AD59" s="521"/>
      <c r="AE59" s="521"/>
      <c r="AF59" s="521"/>
      <c r="AG59" s="521"/>
      <c r="AH59" s="521"/>
      <c r="AI59" s="521"/>
      <c r="AJ59" s="521"/>
      <c r="AK59" s="521"/>
      <c r="AL59" s="521"/>
      <c r="AM59" s="521"/>
      <c r="AN59" s="521"/>
      <c r="AO59" s="521"/>
    </row>
    <row r="60" spans="1:41" ht="14.25">
      <c r="A60" s="510" t="s">
        <v>301</v>
      </c>
      <c r="B60" s="511">
        <v>48100701</v>
      </c>
      <c r="C60" s="512">
        <v>108</v>
      </c>
      <c r="D60" s="513">
        <v>0</v>
      </c>
      <c r="E60" s="512">
        <v>1598</v>
      </c>
      <c r="F60" s="512">
        <v>112090</v>
      </c>
      <c r="G60" s="522">
        <f t="shared" si="3"/>
        <v>113796</v>
      </c>
      <c r="H60" s="521"/>
      <c r="I60" s="521"/>
      <c r="J60" s="521"/>
      <c r="K60" s="521"/>
      <c r="L60" s="521"/>
      <c r="M60" s="521"/>
      <c r="N60" s="521"/>
      <c r="O60" s="521"/>
      <c r="P60" s="521"/>
      <c r="Q60" s="521"/>
      <c r="R60" s="521"/>
      <c r="S60" s="521"/>
      <c r="T60" s="521"/>
      <c r="U60" s="521"/>
      <c r="V60" s="521"/>
      <c r="W60" s="521"/>
      <c r="X60" s="521"/>
      <c r="Y60" s="521"/>
      <c r="Z60" s="521"/>
      <c r="AA60" s="521"/>
      <c r="AB60" s="521"/>
      <c r="AC60" s="521"/>
      <c r="AD60" s="521"/>
      <c r="AE60" s="521"/>
      <c r="AF60" s="521"/>
      <c r="AG60" s="521"/>
      <c r="AH60" s="521"/>
      <c r="AI60" s="521"/>
      <c r="AJ60" s="521"/>
      <c r="AK60" s="521"/>
      <c r="AL60" s="521"/>
      <c r="AM60" s="521"/>
      <c r="AN60" s="521"/>
      <c r="AO60" s="521"/>
    </row>
    <row r="61" spans="1:41" ht="14.25">
      <c r="A61" s="510" t="s">
        <v>310</v>
      </c>
      <c r="B61" s="511">
        <v>48104701</v>
      </c>
      <c r="C61" s="512">
        <v>628</v>
      </c>
      <c r="D61" s="513">
        <v>54449</v>
      </c>
      <c r="E61" s="512">
        <v>0</v>
      </c>
      <c r="F61" s="512">
        <v>419060</v>
      </c>
      <c r="G61" s="522">
        <f t="shared" si="3"/>
        <v>474137</v>
      </c>
      <c r="H61" s="521"/>
      <c r="I61" s="521"/>
      <c r="J61" s="521"/>
      <c r="K61" s="521"/>
      <c r="L61" s="521"/>
      <c r="M61" s="521"/>
      <c r="N61" s="521"/>
      <c r="O61" s="521"/>
      <c r="P61" s="521"/>
      <c r="Q61" s="521"/>
      <c r="R61" s="521"/>
      <c r="S61" s="521"/>
      <c r="T61" s="521"/>
      <c r="U61" s="521"/>
      <c r="V61" s="521"/>
      <c r="W61" s="521"/>
      <c r="X61" s="521"/>
      <c r="Y61" s="521"/>
      <c r="Z61" s="521"/>
      <c r="AA61" s="521"/>
      <c r="AB61" s="521"/>
      <c r="AC61" s="521"/>
      <c r="AD61" s="521"/>
      <c r="AE61" s="521"/>
      <c r="AF61" s="521"/>
      <c r="AG61" s="521"/>
      <c r="AH61" s="521"/>
      <c r="AI61" s="521"/>
      <c r="AJ61" s="521"/>
      <c r="AK61" s="521"/>
      <c r="AL61" s="521"/>
      <c r="AM61" s="521"/>
      <c r="AN61" s="521"/>
      <c r="AO61" s="521"/>
    </row>
    <row r="62" spans="1:41" ht="14.25">
      <c r="A62" s="510" t="s">
        <v>323</v>
      </c>
      <c r="B62" s="511">
        <v>48104901</v>
      </c>
      <c r="C62" s="512"/>
      <c r="D62" s="513">
        <v>259316</v>
      </c>
      <c r="E62" s="512"/>
      <c r="F62" s="512">
        <v>430293</v>
      </c>
      <c r="G62" s="522">
        <f t="shared" si="3"/>
        <v>689609</v>
      </c>
      <c r="H62" s="521"/>
      <c r="I62" s="521"/>
      <c r="J62" s="521"/>
      <c r="K62" s="521"/>
      <c r="L62" s="521"/>
      <c r="M62" s="521"/>
      <c r="N62" s="521"/>
      <c r="O62" s="521"/>
      <c r="P62" s="521"/>
      <c r="Q62" s="521"/>
      <c r="R62" s="521"/>
      <c r="S62" s="521"/>
      <c r="T62" s="521"/>
      <c r="U62" s="521"/>
      <c r="V62" s="521"/>
      <c r="W62" s="521"/>
      <c r="X62" s="521"/>
      <c r="Y62" s="521"/>
      <c r="Z62" s="521"/>
      <c r="AA62" s="521"/>
      <c r="AB62" s="521"/>
      <c r="AC62" s="521"/>
      <c r="AD62" s="521"/>
      <c r="AE62" s="521"/>
      <c r="AF62" s="521"/>
      <c r="AG62" s="521"/>
      <c r="AH62" s="521"/>
      <c r="AI62" s="521"/>
      <c r="AJ62" s="521"/>
      <c r="AK62" s="521"/>
      <c r="AL62" s="521"/>
      <c r="AM62" s="521"/>
      <c r="AN62" s="521"/>
      <c r="AO62" s="521"/>
    </row>
    <row r="63" spans="1:41" ht="14.25">
      <c r="A63" s="510" t="s">
        <v>408</v>
      </c>
      <c r="B63" s="511">
        <v>48100802</v>
      </c>
      <c r="C63" s="512">
        <v>0</v>
      </c>
      <c r="D63" s="513">
        <v>12231</v>
      </c>
      <c r="E63" s="512">
        <v>0</v>
      </c>
      <c r="F63" s="512">
        <v>6806</v>
      </c>
      <c r="G63" s="522">
        <f t="shared" si="3"/>
        <v>19037</v>
      </c>
      <c r="H63" s="521"/>
      <c r="I63" s="521"/>
      <c r="J63" s="521"/>
      <c r="K63" s="521"/>
      <c r="L63" s="521"/>
      <c r="M63" s="521"/>
      <c r="N63" s="521"/>
      <c r="O63" s="521"/>
      <c r="P63" s="521"/>
      <c r="Q63" s="521"/>
      <c r="R63" s="521"/>
      <c r="S63" s="521"/>
      <c r="T63" s="521"/>
      <c r="U63" s="521"/>
      <c r="V63" s="521"/>
      <c r="W63" s="521"/>
      <c r="X63" s="521"/>
      <c r="Y63" s="521"/>
      <c r="Z63" s="521"/>
      <c r="AA63" s="521"/>
      <c r="AB63" s="521"/>
      <c r="AC63" s="521"/>
      <c r="AD63" s="521"/>
      <c r="AE63" s="521"/>
      <c r="AF63" s="521"/>
      <c r="AG63" s="521"/>
      <c r="AH63" s="521"/>
      <c r="AI63" s="521"/>
      <c r="AJ63" s="521"/>
      <c r="AK63" s="521"/>
      <c r="AL63" s="521"/>
      <c r="AM63" s="521"/>
      <c r="AN63" s="521"/>
      <c r="AO63" s="521"/>
    </row>
    <row r="64" spans="1:41" ht="14.25">
      <c r="A64" s="510" t="s">
        <v>257</v>
      </c>
      <c r="B64" s="511">
        <v>4810900301</v>
      </c>
      <c r="C64" s="512">
        <v>680</v>
      </c>
      <c r="D64" s="513">
        <v>1559589</v>
      </c>
      <c r="E64" s="512">
        <v>1685</v>
      </c>
      <c r="F64" s="512">
        <v>123481</v>
      </c>
      <c r="G64" s="522">
        <f t="shared" si="3"/>
        <v>1685435</v>
      </c>
      <c r="H64" s="521"/>
      <c r="I64" s="521"/>
      <c r="J64" s="521"/>
      <c r="K64" s="521"/>
      <c r="L64" s="521"/>
      <c r="M64" s="521"/>
      <c r="N64" s="521"/>
      <c r="O64" s="521"/>
      <c r="P64" s="521"/>
      <c r="Q64" s="521"/>
      <c r="R64" s="521"/>
      <c r="S64" s="521"/>
      <c r="T64" s="521"/>
      <c r="U64" s="521"/>
      <c r="V64" s="521"/>
      <c r="W64" s="521"/>
      <c r="X64" s="521"/>
      <c r="Y64" s="521"/>
      <c r="Z64" s="521"/>
      <c r="AA64" s="521"/>
      <c r="AB64" s="521"/>
      <c r="AC64" s="521"/>
      <c r="AD64" s="521"/>
      <c r="AE64" s="521"/>
      <c r="AF64" s="521"/>
      <c r="AG64" s="521"/>
      <c r="AH64" s="521"/>
      <c r="AI64" s="521"/>
      <c r="AJ64" s="521"/>
      <c r="AK64" s="521"/>
      <c r="AL64" s="521"/>
      <c r="AM64" s="521"/>
      <c r="AN64" s="521"/>
      <c r="AO64" s="521"/>
    </row>
    <row r="65" spans="1:41" ht="14.25">
      <c r="A65" s="510" t="s">
        <v>319</v>
      </c>
      <c r="B65" s="511">
        <v>4810901201</v>
      </c>
      <c r="C65" s="512">
        <v>867</v>
      </c>
      <c r="D65" s="513">
        <v>1097</v>
      </c>
      <c r="E65" s="512">
        <v>625</v>
      </c>
      <c r="F65" s="512">
        <v>1915</v>
      </c>
      <c r="G65" s="522">
        <f t="shared" si="3"/>
        <v>4504</v>
      </c>
      <c r="H65" s="521"/>
      <c r="I65" s="521"/>
      <c r="J65" s="521"/>
      <c r="K65" s="521"/>
      <c r="L65" s="521"/>
      <c r="M65" s="521"/>
      <c r="N65" s="521"/>
      <c r="O65" s="521"/>
      <c r="P65" s="521"/>
      <c r="Q65" s="521"/>
      <c r="R65" s="521"/>
      <c r="S65" s="521"/>
      <c r="T65" s="521"/>
      <c r="U65" s="521"/>
      <c r="V65" s="521"/>
      <c r="W65" s="521"/>
      <c r="X65" s="521"/>
      <c r="Y65" s="521"/>
      <c r="Z65" s="521"/>
      <c r="AA65" s="521"/>
      <c r="AB65" s="521"/>
      <c r="AC65" s="521"/>
      <c r="AD65" s="521"/>
      <c r="AE65" s="521"/>
      <c r="AF65" s="521"/>
      <c r="AG65" s="521"/>
      <c r="AH65" s="521"/>
      <c r="AI65" s="521"/>
      <c r="AJ65" s="521"/>
      <c r="AK65" s="521"/>
      <c r="AL65" s="521"/>
      <c r="AM65" s="521"/>
      <c r="AN65" s="521"/>
      <c r="AO65" s="521"/>
    </row>
    <row r="66" spans="1:41" ht="14.25">
      <c r="A66" s="510" t="s">
        <v>321</v>
      </c>
      <c r="B66" s="511">
        <v>48155902</v>
      </c>
      <c r="C66" s="512"/>
      <c r="D66" s="513">
        <v>227259</v>
      </c>
      <c r="E66" s="512"/>
      <c r="F66" s="512"/>
      <c r="G66" s="522">
        <f t="shared" si="3"/>
        <v>227259</v>
      </c>
      <c r="H66" s="521"/>
      <c r="I66" s="521"/>
      <c r="J66" s="521"/>
      <c r="K66" s="521"/>
      <c r="L66" s="521"/>
      <c r="M66" s="521"/>
      <c r="N66" s="521"/>
      <c r="O66" s="521"/>
      <c r="P66" s="521"/>
      <c r="Q66" s="521"/>
      <c r="R66" s="521"/>
      <c r="S66" s="521"/>
      <c r="T66" s="521"/>
      <c r="U66" s="521"/>
      <c r="V66" s="521"/>
      <c r="W66" s="521"/>
      <c r="X66" s="521"/>
      <c r="Y66" s="521"/>
      <c r="Z66" s="521"/>
      <c r="AA66" s="521"/>
      <c r="AB66" s="521"/>
      <c r="AC66" s="521"/>
      <c r="AD66" s="521"/>
      <c r="AE66" s="521"/>
      <c r="AF66" s="521"/>
      <c r="AG66" s="521"/>
      <c r="AH66" s="521"/>
      <c r="AI66" s="521"/>
      <c r="AJ66" s="521"/>
      <c r="AK66" s="521"/>
      <c r="AL66" s="521"/>
      <c r="AM66" s="521"/>
      <c r="AN66" s="521"/>
      <c r="AO66" s="521"/>
    </row>
    <row r="67" spans="1:41" ht="32.25" customHeight="1">
      <c r="A67" s="766" t="s">
        <v>320</v>
      </c>
      <c r="B67" s="766"/>
      <c r="C67" s="514">
        <f>SUM(C56:C65)</f>
        <v>10708257</v>
      </c>
      <c r="D67" s="514">
        <f>SUM(D56:D66)</f>
        <v>15156621</v>
      </c>
      <c r="E67" s="514">
        <f>SUM(E56:E65)</f>
        <v>23225206</v>
      </c>
      <c r="F67" s="514">
        <f>SUM(F56:F65)</f>
        <v>36745867</v>
      </c>
      <c r="G67" s="514">
        <f>SUM(G56:G65)</f>
        <v>85608692</v>
      </c>
      <c r="H67" s="521"/>
      <c r="I67" s="521"/>
      <c r="J67" s="521"/>
      <c r="K67" s="521"/>
      <c r="L67" s="521"/>
      <c r="M67" s="521"/>
      <c r="N67" s="521"/>
      <c r="O67" s="521"/>
      <c r="P67" s="521"/>
      <c r="Q67" s="521"/>
      <c r="R67" s="521"/>
      <c r="S67" s="521"/>
      <c r="T67" s="521"/>
      <c r="U67" s="521"/>
      <c r="V67" s="521"/>
      <c r="W67" s="521"/>
      <c r="X67" s="521"/>
      <c r="Y67" s="521"/>
      <c r="Z67" s="521"/>
      <c r="AA67" s="521"/>
      <c r="AB67" s="521"/>
      <c r="AC67" s="521"/>
      <c r="AD67" s="521"/>
      <c r="AE67" s="521"/>
      <c r="AF67" s="521"/>
      <c r="AG67" s="521"/>
      <c r="AH67" s="521"/>
      <c r="AI67" s="521"/>
      <c r="AJ67" s="521"/>
      <c r="AK67" s="521"/>
      <c r="AL67" s="521"/>
      <c r="AM67" s="521"/>
      <c r="AN67" s="521"/>
      <c r="AO67" s="521"/>
    </row>
    <row r="68" spans="1:41" ht="15">
      <c r="A68" s="377"/>
      <c r="B68" s="377"/>
      <c r="C68" s="377"/>
      <c r="D68" s="377"/>
      <c r="E68" s="377"/>
      <c r="F68" s="377"/>
      <c r="G68" s="377"/>
      <c r="H68" s="521"/>
      <c r="I68" s="521"/>
      <c r="J68" s="521"/>
      <c r="K68" s="521"/>
      <c r="L68" s="521"/>
      <c r="M68" s="521"/>
      <c r="N68" s="521"/>
      <c r="O68" s="521"/>
      <c r="P68" s="521"/>
      <c r="Q68" s="521"/>
      <c r="R68" s="521"/>
      <c r="S68" s="521"/>
      <c r="T68" s="521"/>
      <c r="U68" s="521"/>
      <c r="V68" s="521"/>
      <c r="W68" s="521"/>
      <c r="X68" s="521"/>
      <c r="Y68" s="521"/>
      <c r="Z68" s="521"/>
      <c r="AA68" s="521"/>
      <c r="AB68" s="521"/>
      <c r="AC68" s="521"/>
      <c r="AD68" s="521"/>
      <c r="AE68" s="521"/>
      <c r="AF68" s="521"/>
      <c r="AG68" s="521"/>
      <c r="AH68" s="521"/>
      <c r="AI68" s="521"/>
      <c r="AJ68" s="521"/>
      <c r="AK68" s="521"/>
      <c r="AL68" s="521"/>
      <c r="AM68" s="521"/>
      <c r="AN68" s="521"/>
      <c r="AO68" s="521"/>
    </row>
    <row r="69" spans="1:7" ht="16.5">
      <c r="A69" s="379"/>
      <c r="B69" s="379"/>
      <c r="C69" s="379"/>
      <c r="D69" s="379"/>
      <c r="E69" s="379"/>
      <c r="F69" s="379"/>
      <c r="G69" s="379"/>
    </row>
    <row r="70" spans="1:7" ht="15">
      <c r="A70" s="767" t="s">
        <v>325</v>
      </c>
      <c r="B70" s="767"/>
      <c r="C70" s="375" t="s">
        <v>12</v>
      </c>
      <c r="D70" s="375" t="s">
        <v>13</v>
      </c>
      <c r="E70" s="375" t="s">
        <v>14</v>
      </c>
      <c r="F70" s="375" t="s">
        <v>15</v>
      </c>
      <c r="G70" s="375" t="s">
        <v>7</v>
      </c>
    </row>
    <row r="71" spans="1:7" ht="14.25">
      <c r="A71" s="510" t="s">
        <v>326</v>
      </c>
      <c r="B71" s="511">
        <v>48109025</v>
      </c>
      <c r="C71" s="512"/>
      <c r="D71" s="512"/>
      <c r="E71" s="512"/>
      <c r="F71" s="522">
        <v>0</v>
      </c>
      <c r="G71" s="522">
        <f>SUM(C71:F71)</f>
        <v>0</v>
      </c>
    </row>
    <row r="72" spans="1:7" ht="14.25">
      <c r="A72" s="510" t="s">
        <v>327</v>
      </c>
      <c r="B72" s="511">
        <v>4810902401</v>
      </c>
      <c r="C72" s="512"/>
      <c r="D72" s="512"/>
      <c r="E72" s="512"/>
      <c r="F72" s="522">
        <v>0</v>
      </c>
      <c r="G72" s="522">
        <f>SUM(C72:F72)</f>
        <v>0</v>
      </c>
    </row>
    <row r="73" spans="1:7" ht="15">
      <c r="A73" s="766" t="s">
        <v>317</v>
      </c>
      <c r="B73" s="766"/>
      <c r="C73" s="514">
        <f>SUM(C71:C72)</f>
        <v>0</v>
      </c>
      <c r="D73" s="514">
        <f>SUM(D71:D72)</f>
        <v>0</v>
      </c>
      <c r="E73" s="514">
        <f>SUM(E71:E72)</f>
        <v>0</v>
      </c>
      <c r="F73" s="514">
        <f>SUM(F71:F72)</f>
        <v>0</v>
      </c>
      <c r="G73" s="514">
        <f>SUM(G71:G72)</f>
        <v>0</v>
      </c>
    </row>
    <row r="74" spans="1:7" ht="16.5">
      <c r="A74" s="379"/>
      <c r="B74" s="379"/>
      <c r="C74" s="379"/>
      <c r="D74" s="379"/>
      <c r="E74" s="379"/>
      <c r="F74" s="379"/>
      <c r="G74" s="379"/>
    </row>
  </sheetData>
  <sheetProtection/>
  <mergeCells count="15">
    <mergeCell ref="A2:G2"/>
    <mergeCell ref="A3:G3"/>
    <mergeCell ref="A4:G4"/>
    <mergeCell ref="A6:B6"/>
    <mergeCell ref="A13:B13"/>
    <mergeCell ref="A20:B20"/>
    <mergeCell ref="A67:B67"/>
    <mergeCell ref="A70:B70"/>
    <mergeCell ref="A73:B73"/>
    <mergeCell ref="A37:B37"/>
    <mergeCell ref="A38:C39"/>
    <mergeCell ref="A41:B41"/>
    <mergeCell ref="A51:B51"/>
    <mergeCell ref="A52:C53"/>
    <mergeCell ref="A55:B55"/>
  </mergeCells>
  <printOptions/>
  <pageMargins left="0.31496062992125984" right="0.31496062992125984" top="0.15748031496062992" bottom="0.35433070866141736" header="0.31496062992125984" footer="0.31496062992125984"/>
  <pageSetup horizontalDpi="600" verticalDpi="600" orientation="portrait" paperSize="9" scale="49" r:id="rId3"/>
  <colBreaks count="1" manualBreakCount="1">
    <brk id="7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C214"/>
  <sheetViews>
    <sheetView zoomScale="75" zoomScaleNormal="75" zoomScaleSheetLayoutView="90" workbookViewId="0" topLeftCell="A112">
      <selection activeCell="AF194" sqref="AF194"/>
    </sheetView>
  </sheetViews>
  <sheetFormatPr defaultColWidth="11.421875" defaultRowHeight="12.75" outlineLevelRow="2" outlineLevelCol="1"/>
  <cols>
    <col min="1" max="1" width="70.8515625" style="0" customWidth="1"/>
    <col min="2" max="2" width="17.28125" style="0" hidden="1" customWidth="1" outlineLevel="1"/>
    <col min="3" max="3" width="15.28125" style="0" hidden="1" customWidth="1" outlineLevel="1"/>
    <col min="4" max="4" width="21.00390625" style="0" hidden="1" customWidth="1" outlineLevel="1"/>
    <col min="5" max="5" width="14.7109375" style="0" hidden="1" customWidth="1" outlineLevel="1"/>
    <col min="6" max="6" width="16.28125" style="0" hidden="1" customWidth="1" outlineLevel="1"/>
    <col min="7" max="7" width="15.7109375" style="0" hidden="1" customWidth="1" outlineLevel="1"/>
    <col min="8" max="8" width="19.57421875" style="0" hidden="1" customWidth="1" outlineLevel="1"/>
    <col min="9" max="9" width="20.7109375" style="0" customWidth="1" collapsed="1"/>
    <col min="10" max="11" width="15.421875" style="0" hidden="1" customWidth="1" outlineLevel="1"/>
    <col min="12" max="12" width="13.8515625" style="0" hidden="1" customWidth="1" outlineLevel="1"/>
    <col min="13" max="13" width="15.8515625" style="0" hidden="1" customWidth="1" outlineLevel="1"/>
    <col min="14" max="14" width="20.140625" style="0" customWidth="1" collapsed="1"/>
    <col min="15" max="15" width="17.57421875" style="0" hidden="1" customWidth="1" outlineLevel="1"/>
    <col min="16" max="16" width="17.00390625" style="0" hidden="1" customWidth="1" outlineLevel="1"/>
    <col min="17" max="17" width="19.00390625" style="0" hidden="1" customWidth="1" outlineLevel="1"/>
    <col min="18" max="18" width="19.57421875" style="0" hidden="1" customWidth="1" outlineLevel="1"/>
    <col min="19" max="19" width="16.57421875" style="0" bestFit="1" customWidth="1" collapsed="1"/>
    <col min="20" max="20" width="15.57421875" style="0" bestFit="1" customWidth="1"/>
    <col min="21" max="21" width="16.8515625" style="0" hidden="1" customWidth="1"/>
    <col min="22" max="24" width="13.7109375" style="0" hidden="1" customWidth="1"/>
    <col min="25" max="25" width="15.140625" style="0" hidden="1" customWidth="1"/>
    <col min="26" max="26" width="13.421875" style="0" hidden="1" customWidth="1"/>
    <col min="27" max="27" width="14.57421875" style="0" hidden="1" customWidth="1"/>
    <col min="28" max="30" width="14.57421875" style="0" customWidth="1"/>
  </cols>
  <sheetData>
    <row r="1" spans="1:29" ht="15" outlineLevel="1">
      <c r="A1" s="765" t="s">
        <v>328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  <c r="N1" s="765"/>
      <c r="O1" s="765"/>
      <c r="P1" s="765"/>
      <c r="Q1" s="765"/>
      <c r="R1" s="765"/>
      <c r="S1" s="765"/>
      <c r="T1" s="765"/>
      <c r="U1" s="603"/>
      <c r="V1" s="603"/>
      <c r="W1" s="603"/>
      <c r="X1" s="603"/>
      <c r="Y1" s="603"/>
      <c r="Z1" s="521"/>
      <c r="AA1" s="521"/>
      <c r="AB1" s="521"/>
      <c r="AC1" s="521"/>
    </row>
    <row r="2" spans="1:29" ht="15" outlineLevel="1">
      <c r="A2" s="765" t="s">
        <v>298</v>
      </c>
      <c r="B2" s="765"/>
      <c r="C2" s="765"/>
      <c r="D2" s="765"/>
      <c r="E2" s="765"/>
      <c r="F2" s="765"/>
      <c r="G2" s="765"/>
      <c r="H2" s="765"/>
      <c r="I2" s="765"/>
      <c r="J2" s="765"/>
      <c r="K2" s="765"/>
      <c r="L2" s="765"/>
      <c r="M2" s="765"/>
      <c r="N2" s="765"/>
      <c r="O2" s="765"/>
      <c r="P2" s="765"/>
      <c r="Q2" s="765"/>
      <c r="R2" s="765"/>
      <c r="S2" s="765"/>
      <c r="T2" s="765"/>
      <c r="U2" s="604"/>
      <c r="V2" s="603"/>
      <c r="W2" s="603"/>
      <c r="X2" s="603"/>
      <c r="Y2" s="603"/>
      <c r="Z2" s="521"/>
      <c r="AA2" s="521"/>
      <c r="AB2" s="521"/>
      <c r="AC2" s="521"/>
    </row>
    <row r="3" spans="1:29" ht="15" outlineLevel="1">
      <c r="A3" s="765" t="s">
        <v>507</v>
      </c>
      <c r="B3" s="765"/>
      <c r="C3" s="765"/>
      <c r="D3" s="765"/>
      <c r="E3" s="765"/>
      <c r="F3" s="765"/>
      <c r="G3" s="765"/>
      <c r="H3" s="765"/>
      <c r="I3" s="765"/>
      <c r="J3" s="765"/>
      <c r="K3" s="765"/>
      <c r="L3" s="765"/>
      <c r="M3" s="765"/>
      <c r="N3" s="765"/>
      <c r="O3" s="765"/>
      <c r="P3" s="765"/>
      <c r="Q3" s="765"/>
      <c r="R3" s="765"/>
      <c r="S3" s="765"/>
      <c r="T3" s="765"/>
      <c r="U3" s="603"/>
      <c r="V3" s="603"/>
      <c r="W3" s="603"/>
      <c r="X3" s="603"/>
      <c r="Y3" s="603"/>
      <c r="Z3" s="521"/>
      <c r="AA3" s="521"/>
      <c r="AB3" s="521"/>
      <c r="AC3" s="521"/>
    </row>
    <row r="4" spans="1:29" ht="15" outlineLevel="1">
      <c r="A4" s="765" t="s">
        <v>329</v>
      </c>
      <c r="B4" s="765"/>
      <c r="C4" s="765"/>
      <c r="D4" s="765"/>
      <c r="E4" s="765"/>
      <c r="F4" s="765"/>
      <c r="G4" s="765"/>
      <c r="H4" s="765"/>
      <c r="I4" s="765"/>
      <c r="J4" s="765"/>
      <c r="K4" s="765"/>
      <c r="L4" s="765"/>
      <c r="M4" s="765"/>
      <c r="N4" s="765"/>
      <c r="O4" s="765"/>
      <c r="P4" s="765"/>
      <c r="Q4" s="765"/>
      <c r="R4" s="765"/>
      <c r="S4" s="765"/>
      <c r="T4" s="765"/>
      <c r="U4" s="603"/>
      <c r="V4" s="603"/>
      <c r="W4" s="603"/>
      <c r="X4" s="603"/>
      <c r="Y4" s="603"/>
      <c r="Z4" s="521"/>
      <c r="AA4" s="521"/>
      <c r="AB4" s="521"/>
      <c r="AC4" s="521"/>
    </row>
    <row r="5" spans="1:29" ht="15.75" outlineLevel="1" thickBot="1">
      <c r="A5" s="605"/>
      <c r="B5" s="606"/>
      <c r="C5" s="607"/>
      <c r="D5" s="607"/>
      <c r="E5" s="606"/>
      <c r="F5" s="606"/>
      <c r="G5" s="606"/>
      <c r="H5" s="606"/>
      <c r="I5" s="608"/>
      <c r="J5" s="608"/>
      <c r="K5" s="608"/>
      <c r="L5" s="608"/>
      <c r="M5" s="608"/>
      <c r="N5" s="609"/>
      <c r="O5" s="609"/>
      <c r="P5" s="609"/>
      <c r="Q5" s="609"/>
      <c r="R5" s="609"/>
      <c r="S5" s="609"/>
      <c r="T5" s="609"/>
      <c r="U5" s="609"/>
      <c r="V5" s="609"/>
      <c r="W5" s="609"/>
      <c r="X5" s="609"/>
      <c r="Y5" s="609"/>
      <c r="Z5" s="521"/>
      <c r="AA5" s="521"/>
      <c r="AB5" s="521"/>
      <c r="AC5" s="521"/>
    </row>
    <row r="6" spans="1:29" ht="58.5" customHeight="1" thickTop="1">
      <c r="A6" s="610" t="s">
        <v>235</v>
      </c>
      <c r="B6" s="611" t="s">
        <v>330</v>
      </c>
      <c r="C6" s="611" t="s">
        <v>331</v>
      </c>
      <c r="D6" s="611" t="s">
        <v>409</v>
      </c>
      <c r="E6" s="611" t="s">
        <v>332</v>
      </c>
      <c r="F6" s="611" t="s">
        <v>333</v>
      </c>
      <c r="G6" s="611" t="s">
        <v>334</v>
      </c>
      <c r="H6" s="611" t="s">
        <v>335</v>
      </c>
      <c r="I6" s="612" t="s">
        <v>508</v>
      </c>
      <c r="J6" s="612" t="s">
        <v>375</v>
      </c>
      <c r="K6" s="612" t="s">
        <v>509</v>
      </c>
      <c r="L6" s="612" t="s">
        <v>376</v>
      </c>
      <c r="M6" s="612" t="s">
        <v>510</v>
      </c>
      <c r="N6" s="613" t="s">
        <v>511</v>
      </c>
      <c r="O6" s="614" t="s">
        <v>512</v>
      </c>
      <c r="P6" s="614" t="s">
        <v>513</v>
      </c>
      <c r="Q6" s="614" t="s">
        <v>514</v>
      </c>
      <c r="R6" s="614" t="s">
        <v>515</v>
      </c>
      <c r="S6" s="613" t="s">
        <v>526</v>
      </c>
      <c r="T6" s="615" t="s">
        <v>81</v>
      </c>
      <c r="U6" s="616"/>
      <c r="V6" s="616"/>
      <c r="W6" s="616"/>
      <c r="X6" s="616"/>
      <c r="Y6" s="616"/>
      <c r="Z6" s="617"/>
      <c r="AA6" s="521"/>
      <c r="AB6" s="521"/>
      <c r="AC6" s="521"/>
    </row>
    <row r="7" spans="1:29" ht="15">
      <c r="A7" s="618" t="s">
        <v>22</v>
      </c>
      <c r="B7" s="619"/>
      <c r="C7" s="619"/>
      <c r="D7" s="619"/>
      <c r="E7" s="619"/>
      <c r="F7" s="619"/>
      <c r="G7" s="619"/>
      <c r="H7" s="619"/>
      <c r="I7" s="620"/>
      <c r="J7" s="620"/>
      <c r="K7" s="620"/>
      <c r="L7" s="620"/>
      <c r="M7" s="620"/>
      <c r="N7" s="621"/>
      <c r="O7" s="622"/>
      <c r="P7" s="622"/>
      <c r="Q7" s="622"/>
      <c r="R7" s="623"/>
      <c r="S7" s="622"/>
      <c r="T7" s="624"/>
      <c r="U7" s="778" t="s">
        <v>172</v>
      </c>
      <c r="V7" s="778"/>
      <c r="W7" s="778"/>
      <c r="X7" s="778"/>
      <c r="Y7" s="779"/>
      <c r="Z7" s="521"/>
      <c r="AA7" s="521"/>
      <c r="AB7" s="521"/>
      <c r="AC7" s="521"/>
    </row>
    <row r="8" spans="1:29" ht="15">
      <c r="A8" s="618" t="s">
        <v>23</v>
      </c>
      <c r="B8" s="625">
        <f>+B9+B10+B11+B12+B13+B15+B16+B17</f>
        <v>841854722.0094917</v>
      </c>
      <c r="C8" s="625">
        <f>+C9+C10+C11+C12+C13+C15+C16+C17</f>
        <v>297853387.26715547</v>
      </c>
      <c r="D8" s="625">
        <f>+D9+D10+D11+D12+D13+D15+D16+D17</f>
        <v>142734709.8383719</v>
      </c>
      <c r="E8" s="625">
        <f>+E9+E10+E11+E12+E13+E15+E16+E17</f>
        <v>915661400.4445759</v>
      </c>
      <c r="F8" s="625">
        <f>+F9+F10+F11+F12+F13+F15+F16+F17</f>
        <v>285596697.8321537</v>
      </c>
      <c r="G8" s="625">
        <f>+B8+C8+E8+F8+D8</f>
        <v>2483700917.3917484</v>
      </c>
      <c r="H8" s="625">
        <f aca="true" t="shared" si="0" ref="H8:Q8">+H9+H10+H11+H12+H13+H15+H16+H17</f>
        <v>281098486.9460349</v>
      </c>
      <c r="I8" s="625">
        <f t="shared" si="0"/>
        <v>2764799404.3377833</v>
      </c>
      <c r="J8" s="623">
        <f t="shared" si="0"/>
        <v>0</v>
      </c>
      <c r="K8" s="623">
        <f t="shared" si="0"/>
        <v>0</v>
      </c>
      <c r="L8" s="625">
        <f>+L9+L10+L11+L12+L13+L15+L16+L17</f>
        <v>7432645.099010872</v>
      </c>
      <c r="M8" s="626">
        <f t="shared" si="0"/>
        <v>0</v>
      </c>
      <c r="N8" s="625">
        <f t="shared" si="0"/>
        <v>2772232049.4367943</v>
      </c>
      <c r="O8" s="625">
        <f t="shared" si="0"/>
        <v>621548483</v>
      </c>
      <c r="P8" s="625">
        <f t="shared" si="0"/>
        <v>683137057</v>
      </c>
      <c r="Q8" s="625">
        <f t="shared" si="0"/>
        <v>678699456</v>
      </c>
      <c r="R8" s="623">
        <f>+R9+R10+R11+R12+R13+R15+R16+R17</f>
        <v>656463390</v>
      </c>
      <c r="S8" s="623">
        <f>SUM(O8:R8)</f>
        <v>2639848386</v>
      </c>
      <c r="T8" s="627">
        <f aca="true" t="shared" si="1" ref="T8:T71">+S8/N8</f>
        <v>0.9522465431911844</v>
      </c>
      <c r="U8" s="628" t="s">
        <v>12</v>
      </c>
      <c r="V8" s="629" t="s">
        <v>13</v>
      </c>
      <c r="W8" s="629" t="s">
        <v>516</v>
      </c>
      <c r="X8" s="629" t="s">
        <v>15</v>
      </c>
      <c r="Y8" s="630" t="s">
        <v>7</v>
      </c>
      <c r="Z8" s="631"/>
      <c r="AA8" s="631"/>
      <c r="AB8" s="521"/>
      <c r="AC8" s="521"/>
    </row>
    <row r="9" spans="1:29" ht="14.25">
      <c r="A9" s="632" t="s">
        <v>24</v>
      </c>
      <c r="B9" s="633">
        <v>564572368.3082768</v>
      </c>
      <c r="C9" s="633">
        <v>211021083.57451004</v>
      </c>
      <c r="D9" s="633">
        <v>107888636.27842666</v>
      </c>
      <c r="E9" s="633">
        <v>617680129.9727833</v>
      </c>
      <c r="F9" s="633">
        <v>203856916.80456668</v>
      </c>
      <c r="G9" s="634">
        <f aca="true" t="shared" si="2" ref="G9:G19">+B9+C9+E9+F9+D9</f>
        <v>1705019134.9385633</v>
      </c>
      <c r="H9" s="633">
        <v>190469125.13267672</v>
      </c>
      <c r="I9" s="635">
        <f>+G9+H9</f>
        <v>1895488260.07124</v>
      </c>
      <c r="J9" s="635"/>
      <c r="K9" s="635"/>
      <c r="L9" s="635">
        <v>4975428.209443334</v>
      </c>
      <c r="M9" s="635"/>
      <c r="N9" s="635">
        <f aca="true" t="shared" si="3" ref="N9:N20">+I9+J9+L9+M9</f>
        <v>1900463688.2806833</v>
      </c>
      <c r="O9" s="635">
        <v>421808094</v>
      </c>
      <c r="P9" s="635">
        <v>468652031</v>
      </c>
      <c r="Q9" s="635">
        <v>465964717</v>
      </c>
      <c r="R9" s="636">
        <v>448246549</v>
      </c>
      <c r="S9" s="635">
        <f>SUM(O9:R9)</f>
        <v>1804671391</v>
      </c>
      <c r="T9" s="637">
        <f t="shared" si="1"/>
        <v>0.9495953025193842</v>
      </c>
      <c r="U9" s="638">
        <v>149140056</v>
      </c>
      <c r="V9" s="639">
        <v>153474882</v>
      </c>
      <c r="W9" s="639">
        <v>151970848</v>
      </c>
      <c r="X9" s="639">
        <v>147661121</v>
      </c>
      <c r="Y9" s="640">
        <f>SUM(U9:X9)</f>
        <v>602246907</v>
      </c>
      <c r="Z9" s="641"/>
      <c r="AA9" s="521"/>
      <c r="AB9" s="521"/>
      <c r="AC9" s="642"/>
    </row>
    <row r="10" spans="1:29" ht="14.25">
      <c r="A10" s="632" t="s">
        <v>25</v>
      </c>
      <c r="B10" s="633">
        <v>42323077.49630001</v>
      </c>
      <c r="C10" s="633">
        <v>10696702.947300002</v>
      </c>
      <c r="D10" s="633">
        <v>2411326.2488</v>
      </c>
      <c r="E10" s="633">
        <v>43963658.72350001</v>
      </c>
      <c r="F10" s="633">
        <v>9573918.017000003</v>
      </c>
      <c r="G10" s="634">
        <f>+B10+C10+E10+F10+D10</f>
        <v>108968683.43290003</v>
      </c>
      <c r="H10" s="633">
        <v>14128359.152300002</v>
      </c>
      <c r="I10" s="635">
        <f>+G10+H10</f>
        <v>123097042.58520003</v>
      </c>
      <c r="J10" s="635"/>
      <c r="K10" s="635"/>
      <c r="L10" s="635">
        <v>414619.01745361113</v>
      </c>
      <c r="M10" s="635"/>
      <c r="N10" s="635">
        <f t="shared" si="3"/>
        <v>123511661.60265364</v>
      </c>
      <c r="O10" s="635">
        <v>28430705</v>
      </c>
      <c r="P10" s="635">
        <v>29839423</v>
      </c>
      <c r="Q10" s="635">
        <v>29619467</v>
      </c>
      <c r="R10" s="636">
        <v>29176354</v>
      </c>
      <c r="S10" s="635">
        <f aca="true" t="shared" si="4" ref="S10:S18">SUM(O10:R10)</f>
        <v>117065949</v>
      </c>
      <c r="T10" s="637">
        <f t="shared" si="1"/>
        <v>0.9478129229336256</v>
      </c>
      <c r="U10" s="638">
        <v>10989782</v>
      </c>
      <c r="V10" s="639">
        <v>10990915</v>
      </c>
      <c r="W10" s="639">
        <v>10952432</v>
      </c>
      <c r="X10" s="639">
        <v>10978380</v>
      </c>
      <c r="Y10" s="640">
        <f aca="true" t="shared" si="5" ref="Y10:Y19">SUM(U10:X10)</f>
        <v>43911509</v>
      </c>
      <c r="Z10" s="641"/>
      <c r="AA10" s="643"/>
      <c r="AB10" s="644"/>
      <c r="AC10" s="644"/>
    </row>
    <row r="11" spans="1:29" ht="14.25">
      <c r="A11" s="632" t="s">
        <v>26</v>
      </c>
      <c r="B11" s="633">
        <v>5078769.299556</v>
      </c>
      <c r="C11" s="633">
        <v>1283604.3536760001</v>
      </c>
      <c r="D11" s="633">
        <v>289359.14985600003</v>
      </c>
      <c r="E11" s="633">
        <v>5275639.046819999</v>
      </c>
      <c r="F11" s="633">
        <v>1148870.16204</v>
      </c>
      <c r="G11" s="634">
        <f t="shared" si="2"/>
        <v>13076242.011948</v>
      </c>
      <c r="H11" s="633">
        <v>1695403.098276</v>
      </c>
      <c r="I11" s="635">
        <f aca="true" t="shared" si="6" ref="I11:I17">+G11+H11</f>
        <v>14771645.110224001</v>
      </c>
      <c r="J11" s="635"/>
      <c r="K11" s="635"/>
      <c r="L11" s="635">
        <v>49754.282094433336</v>
      </c>
      <c r="M11" s="635"/>
      <c r="N11" s="635">
        <f t="shared" si="3"/>
        <v>14821399.392318435</v>
      </c>
      <c r="O11" s="635">
        <v>3411685</v>
      </c>
      <c r="P11" s="635">
        <v>3580731</v>
      </c>
      <c r="Q11" s="635">
        <v>3554334</v>
      </c>
      <c r="R11" s="636">
        <v>2135629</v>
      </c>
      <c r="S11" s="635">
        <f t="shared" si="4"/>
        <v>12682379</v>
      </c>
      <c r="T11" s="637">
        <f t="shared" si="1"/>
        <v>0.8556802677197245</v>
      </c>
      <c r="U11" s="638">
        <v>1318775</v>
      </c>
      <c r="V11" s="639">
        <v>1318910</v>
      </c>
      <c r="W11" s="639">
        <v>1314291</v>
      </c>
      <c r="X11" s="639">
        <v>1223805</v>
      </c>
      <c r="Y11" s="640">
        <f t="shared" si="5"/>
        <v>5175781</v>
      </c>
      <c r="Z11" s="641"/>
      <c r="AA11" s="643"/>
      <c r="AB11" s="644"/>
      <c r="AC11" s="644"/>
    </row>
    <row r="12" spans="1:29" ht="14.25">
      <c r="A12" s="632" t="s">
        <v>27</v>
      </c>
      <c r="B12" s="633">
        <v>42323077.49630001</v>
      </c>
      <c r="C12" s="633">
        <v>10696702.947300002</v>
      </c>
      <c r="D12" s="633">
        <v>2411326.2488</v>
      </c>
      <c r="E12" s="633">
        <v>43963658.72350001</v>
      </c>
      <c r="F12" s="633">
        <v>9573918.017000003</v>
      </c>
      <c r="G12" s="634">
        <f t="shared" si="2"/>
        <v>108968683.43290003</v>
      </c>
      <c r="H12" s="633">
        <v>14128359.152300002</v>
      </c>
      <c r="I12" s="635">
        <f t="shared" si="6"/>
        <v>123097042.58520003</v>
      </c>
      <c r="J12" s="635"/>
      <c r="K12" s="635"/>
      <c r="L12" s="635">
        <v>414619.01745361113</v>
      </c>
      <c r="M12" s="635"/>
      <c r="N12" s="635">
        <f t="shared" si="3"/>
        <v>123511661.60265364</v>
      </c>
      <c r="O12" s="635">
        <v>28430705</v>
      </c>
      <c r="P12" s="635">
        <v>29839423</v>
      </c>
      <c r="Q12" s="635">
        <v>29619467</v>
      </c>
      <c r="R12" s="636">
        <v>29176359</v>
      </c>
      <c r="S12" s="635">
        <f t="shared" si="4"/>
        <v>117065954</v>
      </c>
      <c r="T12" s="637">
        <f t="shared" si="1"/>
        <v>0.947812963415633</v>
      </c>
      <c r="U12" s="638">
        <v>10989782</v>
      </c>
      <c r="V12" s="639">
        <v>10990915</v>
      </c>
      <c r="W12" s="639">
        <v>10952432</v>
      </c>
      <c r="X12" s="639">
        <v>10978380</v>
      </c>
      <c r="Y12" s="640">
        <f t="shared" si="5"/>
        <v>43911509</v>
      </c>
      <c r="Z12" s="641"/>
      <c r="AA12" s="643"/>
      <c r="AB12" s="521"/>
      <c r="AC12" s="521"/>
    </row>
    <row r="13" spans="1:29" ht="14.25">
      <c r="A13" s="632" t="s">
        <v>28</v>
      </c>
      <c r="B13" s="633">
        <v>24845088.748150006</v>
      </c>
      <c r="C13" s="633">
        <v>9031901.473650001</v>
      </c>
      <c r="D13" s="633">
        <v>4889213.1244</v>
      </c>
      <c r="E13" s="633">
        <v>25665379.361750007</v>
      </c>
      <c r="F13" s="633">
        <v>8470509.0085</v>
      </c>
      <c r="G13" s="634">
        <f t="shared" si="2"/>
        <v>72902091.71645002</v>
      </c>
      <c r="H13" s="633">
        <v>7064179.576150001</v>
      </c>
      <c r="I13" s="635">
        <f>+G13+H13</f>
        <v>79966271.29260002</v>
      </c>
      <c r="J13" s="635"/>
      <c r="K13" s="635"/>
      <c r="L13" s="635">
        <v>207309.50872680556</v>
      </c>
      <c r="M13" s="635"/>
      <c r="N13" s="635">
        <f t="shared" si="3"/>
        <v>80173580.80132683</v>
      </c>
      <c r="O13" s="635">
        <v>17763919</v>
      </c>
      <c r="P13" s="635">
        <v>19473031</v>
      </c>
      <c r="Q13" s="635">
        <v>19323589</v>
      </c>
      <c r="R13" s="636">
        <v>19118008</v>
      </c>
      <c r="S13" s="635">
        <f t="shared" si="4"/>
        <v>75678547</v>
      </c>
      <c r="T13" s="637">
        <f t="shared" si="1"/>
        <v>0.9439337278390285</v>
      </c>
      <c r="U13" s="638">
        <v>6390921</v>
      </c>
      <c r="V13" s="639">
        <v>6390954</v>
      </c>
      <c r="W13" s="639">
        <v>6372622</v>
      </c>
      <c r="X13" s="639">
        <v>5994768</v>
      </c>
      <c r="Y13" s="640">
        <f t="shared" si="5"/>
        <v>25149265</v>
      </c>
      <c r="Z13" s="641"/>
      <c r="AA13" s="643"/>
      <c r="AB13" s="521"/>
      <c r="AC13" s="521"/>
    </row>
    <row r="14" spans="1:29" ht="14.25">
      <c r="A14" s="632" t="s">
        <v>29</v>
      </c>
      <c r="B14" s="633"/>
      <c r="C14" s="633"/>
      <c r="D14" s="633"/>
      <c r="E14" s="633"/>
      <c r="F14" s="633"/>
      <c r="G14" s="634">
        <f>+B14+C14+E14+F14+D14</f>
        <v>0</v>
      </c>
      <c r="H14" s="633">
        <v>25000000</v>
      </c>
      <c r="I14" s="635">
        <f>+G14+H14</f>
        <v>25000000</v>
      </c>
      <c r="J14" s="635"/>
      <c r="K14" s="635"/>
      <c r="L14" s="635"/>
      <c r="M14" s="635"/>
      <c r="N14" s="635">
        <f t="shared" si="3"/>
        <v>25000000</v>
      </c>
      <c r="O14" s="635">
        <v>11653940</v>
      </c>
      <c r="P14" s="635">
        <v>655600</v>
      </c>
      <c r="Q14" s="635">
        <v>5000000</v>
      </c>
      <c r="R14" s="636">
        <v>6924000</v>
      </c>
      <c r="S14" s="635">
        <f t="shared" si="4"/>
        <v>24233540</v>
      </c>
      <c r="T14" s="637">
        <f>+S14/N14</f>
        <v>0.9693416</v>
      </c>
      <c r="U14" s="638">
        <v>0</v>
      </c>
      <c r="V14" s="639">
        <v>0</v>
      </c>
      <c r="W14" s="639">
        <v>0</v>
      </c>
      <c r="X14" s="639">
        <v>0</v>
      </c>
      <c r="Y14" s="640">
        <f>SUM(U14:X14)</f>
        <v>0</v>
      </c>
      <c r="Z14" s="641"/>
      <c r="AA14" s="643"/>
      <c r="AB14" s="521"/>
      <c r="AC14" s="521"/>
    </row>
    <row r="15" spans="1:29" ht="14.25">
      <c r="A15" s="632" t="s">
        <v>30</v>
      </c>
      <c r="B15" s="633">
        <v>114325111.70316407</v>
      </c>
      <c r="C15" s="633">
        <v>38598492.639013484</v>
      </c>
      <c r="D15" s="633">
        <v>17396856.013030857</v>
      </c>
      <c r="E15" s="633">
        <v>126135575.90867202</v>
      </c>
      <c r="F15" s="633">
        <v>37092441.500636004</v>
      </c>
      <c r="G15" s="634">
        <f t="shared" si="2"/>
        <v>333548477.7645165</v>
      </c>
      <c r="H15" s="633">
        <v>38605757.4723913</v>
      </c>
      <c r="I15" s="635">
        <f t="shared" si="6"/>
        <v>372154235.2369078</v>
      </c>
      <c r="J15" s="635"/>
      <c r="K15" s="635"/>
      <c r="L15" s="635">
        <v>959941.9249891777</v>
      </c>
      <c r="M15" s="635"/>
      <c r="N15" s="635">
        <f t="shared" si="3"/>
        <v>373114177.16189694</v>
      </c>
      <c r="O15" s="635">
        <v>85802525</v>
      </c>
      <c r="P15" s="635">
        <v>92806667</v>
      </c>
      <c r="Q15" s="635">
        <v>92021632</v>
      </c>
      <c r="R15" s="636">
        <v>90779141</v>
      </c>
      <c r="S15" s="635">
        <f t="shared" si="4"/>
        <v>361409965</v>
      </c>
      <c r="T15" s="637">
        <f t="shared" si="1"/>
        <v>0.9686310173177408</v>
      </c>
      <c r="U15" s="638">
        <v>31400731</v>
      </c>
      <c r="V15" s="639">
        <v>31445131</v>
      </c>
      <c r="W15" s="639">
        <v>31312891</v>
      </c>
      <c r="X15" s="639">
        <v>31357158</v>
      </c>
      <c r="Y15" s="640">
        <f t="shared" si="5"/>
        <v>125515911</v>
      </c>
      <c r="Z15" s="641"/>
      <c r="AA15" s="643"/>
      <c r="AB15" s="521"/>
      <c r="AC15" s="521"/>
    </row>
    <row r="16" spans="1:29" ht="14.25">
      <c r="A16" s="632" t="s">
        <v>31</v>
      </c>
      <c r="B16" s="633">
        <v>21505435.09233107</v>
      </c>
      <c r="C16" s="633">
        <v>7344399.702980401</v>
      </c>
      <c r="D16" s="633">
        <v>3310219.011137067</v>
      </c>
      <c r="E16" s="633">
        <v>23545492.75891133</v>
      </c>
      <c r="F16" s="633">
        <v>7057833.032182667</v>
      </c>
      <c r="G16" s="634">
        <f t="shared" si="2"/>
        <v>62763379.59754254</v>
      </c>
      <c r="H16" s="633">
        <v>6669912.605307068</v>
      </c>
      <c r="I16" s="635">
        <f>+G16+H16</f>
        <v>69433292.20284961</v>
      </c>
      <c r="J16" s="635"/>
      <c r="K16" s="635"/>
      <c r="L16" s="635">
        <v>182654.72837773335</v>
      </c>
      <c r="M16" s="635"/>
      <c r="N16" s="635">
        <f t="shared" si="3"/>
        <v>69615946.93122734</v>
      </c>
      <c r="O16" s="635">
        <v>15958500</v>
      </c>
      <c r="P16" s="635">
        <v>17311267</v>
      </c>
      <c r="Q16" s="635">
        <v>17156371</v>
      </c>
      <c r="R16" s="636">
        <v>16816700</v>
      </c>
      <c r="S16" s="635">
        <f t="shared" si="4"/>
        <v>67242838</v>
      </c>
      <c r="T16" s="637">
        <f t="shared" si="1"/>
        <v>0.9659114177736934</v>
      </c>
      <c r="U16" s="638">
        <v>5863300</v>
      </c>
      <c r="V16" s="639">
        <v>5870067</v>
      </c>
      <c r="W16" s="639">
        <v>5811410</v>
      </c>
      <c r="X16" s="639">
        <v>5840600</v>
      </c>
      <c r="Y16" s="640">
        <f t="shared" si="5"/>
        <v>23385377</v>
      </c>
      <c r="Z16" s="641"/>
      <c r="AA16" s="643"/>
      <c r="AB16" s="521"/>
      <c r="AC16" s="521"/>
    </row>
    <row r="17" spans="1:27" ht="14.25">
      <c r="A17" s="632" t="s">
        <v>32</v>
      </c>
      <c r="B17" s="633">
        <v>26881793.865413837</v>
      </c>
      <c r="C17" s="633">
        <v>9180499.6287255</v>
      </c>
      <c r="D17" s="633">
        <v>4137773.763921334</v>
      </c>
      <c r="E17" s="633">
        <v>29431865.94863917</v>
      </c>
      <c r="F17" s="633">
        <v>8822291.290228335</v>
      </c>
      <c r="G17" s="634">
        <f t="shared" si="2"/>
        <v>78454224.49692817</v>
      </c>
      <c r="H17" s="633">
        <v>8337390.756633833</v>
      </c>
      <c r="I17" s="635">
        <f t="shared" si="6"/>
        <v>86791615.253562</v>
      </c>
      <c r="J17" s="635"/>
      <c r="K17" s="635"/>
      <c r="L17" s="635">
        <v>228318.41047216672</v>
      </c>
      <c r="M17" s="635"/>
      <c r="N17" s="635">
        <f t="shared" si="3"/>
        <v>87019933.66403417</v>
      </c>
      <c r="O17" s="635">
        <v>19942350</v>
      </c>
      <c r="P17" s="635">
        <v>21634484</v>
      </c>
      <c r="Q17" s="635">
        <v>21439879</v>
      </c>
      <c r="R17" s="636">
        <v>21014650</v>
      </c>
      <c r="S17" s="635">
        <f t="shared" si="4"/>
        <v>84031363</v>
      </c>
      <c r="T17" s="637">
        <f t="shared" si="1"/>
        <v>0.9656564819323763</v>
      </c>
      <c r="U17" s="638">
        <v>7327600</v>
      </c>
      <c r="V17" s="639">
        <v>7337584</v>
      </c>
      <c r="W17" s="639">
        <v>7262860</v>
      </c>
      <c r="X17" s="639">
        <v>7299100</v>
      </c>
      <c r="Y17" s="640">
        <f t="shared" si="5"/>
        <v>29227144</v>
      </c>
      <c r="Z17" s="641"/>
      <c r="AA17" s="643"/>
    </row>
    <row r="18" spans="1:27" ht="14.25">
      <c r="A18" s="632" t="s">
        <v>33</v>
      </c>
      <c r="B18" s="633">
        <v>450000</v>
      </c>
      <c r="C18" s="633">
        <v>450000</v>
      </c>
      <c r="D18" s="633">
        <v>450000</v>
      </c>
      <c r="E18" s="633">
        <v>1350000</v>
      </c>
      <c r="F18" s="633">
        <v>450000</v>
      </c>
      <c r="G18" s="634">
        <f t="shared" si="2"/>
        <v>3150000</v>
      </c>
      <c r="H18" s="633">
        <v>1800000</v>
      </c>
      <c r="I18" s="635">
        <f>+G18+H18</f>
        <v>4950000</v>
      </c>
      <c r="J18" s="635"/>
      <c r="K18" s="635"/>
      <c r="L18" s="635"/>
      <c r="M18" s="635"/>
      <c r="N18" s="635">
        <f t="shared" si="3"/>
        <v>4950000</v>
      </c>
      <c r="O18" s="635">
        <v>0</v>
      </c>
      <c r="P18" s="635">
        <v>4499099</v>
      </c>
      <c r="Q18" s="635">
        <v>419250</v>
      </c>
      <c r="R18" s="636">
        <v>0</v>
      </c>
      <c r="S18" s="635">
        <f t="shared" si="4"/>
        <v>4918349</v>
      </c>
      <c r="T18" s="637">
        <f t="shared" si="1"/>
        <v>0.9936058585858586</v>
      </c>
      <c r="U18" s="638">
        <v>0</v>
      </c>
      <c r="V18" s="639">
        <v>1350000</v>
      </c>
      <c r="W18" s="639">
        <v>0</v>
      </c>
      <c r="X18" s="639">
        <v>0</v>
      </c>
      <c r="Y18" s="640">
        <f t="shared" si="5"/>
        <v>1350000</v>
      </c>
      <c r="Z18" s="641"/>
      <c r="AA18" s="643"/>
    </row>
    <row r="19" spans="1:27" ht="14.25">
      <c r="A19" s="632" t="s">
        <v>34</v>
      </c>
      <c r="B19" s="633">
        <v>62387049.77350001</v>
      </c>
      <c r="C19" s="645"/>
      <c r="D19" s="645"/>
      <c r="E19" s="633"/>
      <c r="F19" s="633"/>
      <c r="G19" s="634">
        <f t="shared" si="2"/>
        <v>62387049.77350001</v>
      </c>
      <c r="H19" s="633">
        <v>96196080</v>
      </c>
      <c r="I19" s="635">
        <f>+G19+H19</f>
        <v>158583129.77350003</v>
      </c>
      <c r="J19" s="635"/>
      <c r="K19" s="635"/>
      <c r="L19" s="635">
        <v>8000000</v>
      </c>
      <c r="M19" s="635"/>
      <c r="N19" s="635">
        <f t="shared" si="3"/>
        <v>166583129.77350003</v>
      </c>
      <c r="O19" s="635">
        <v>32225084</v>
      </c>
      <c r="P19" s="635">
        <v>35666666</v>
      </c>
      <c r="Q19" s="635">
        <v>35416666</v>
      </c>
      <c r="R19" s="636">
        <v>37812006</v>
      </c>
      <c r="S19" s="635">
        <f aca="true" t="shared" si="7" ref="S19:S82">SUM(O19:R19)</f>
        <v>141120422</v>
      </c>
      <c r="T19" s="637">
        <f t="shared" si="1"/>
        <v>0.8471471402409044</v>
      </c>
      <c r="U19" s="638">
        <v>0</v>
      </c>
      <c r="V19" s="639">
        <v>0</v>
      </c>
      <c r="W19" s="639"/>
      <c r="X19" s="639"/>
      <c r="Y19" s="640">
        <f t="shared" si="5"/>
        <v>0</v>
      </c>
      <c r="Z19" s="641"/>
      <c r="AA19" s="643"/>
    </row>
    <row r="20" spans="1:27" ht="15">
      <c r="A20" s="646" t="s">
        <v>336</v>
      </c>
      <c r="B20" s="647">
        <f>SUM(B9:B19)</f>
        <v>904691771.7829916</v>
      </c>
      <c r="C20" s="647">
        <f>SUM(C9:C19)</f>
        <v>298303387.26715547</v>
      </c>
      <c r="D20" s="647">
        <f>SUM(D9:D19)</f>
        <v>143184709.8383719</v>
      </c>
      <c r="E20" s="647">
        <f>SUM(E9:E19)</f>
        <v>917011400.4445759</v>
      </c>
      <c r="F20" s="647">
        <f>SUM(F9:F19)</f>
        <v>286046697.8321537</v>
      </c>
      <c r="G20" s="647">
        <f>+B20+C20+E20+F20+D20</f>
        <v>2549237967.1652484</v>
      </c>
      <c r="H20" s="647">
        <f aca="true" t="shared" si="8" ref="H20:M20">SUM(H9:H19)</f>
        <v>404094566.94603485</v>
      </c>
      <c r="I20" s="648">
        <f t="shared" si="8"/>
        <v>2953332534.1112833</v>
      </c>
      <c r="J20" s="623">
        <f t="shared" si="8"/>
        <v>0</v>
      </c>
      <c r="K20" s="623">
        <f t="shared" si="8"/>
        <v>0</v>
      </c>
      <c r="L20" s="626">
        <f t="shared" si="8"/>
        <v>15432645.099010872</v>
      </c>
      <c r="M20" s="626">
        <f t="shared" si="8"/>
        <v>0</v>
      </c>
      <c r="N20" s="623">
        <f t="shared" si="3"/>
        <v>2968765179.2102942</v>
      </c>
      <c r="O20" s="623">
        <f>SUM(O9:O19)</f>
        <v>665427507</v>
      </c>
      <c r="P20" s="623">
        <f>SUM(P9:P19)</f>
        <v>723958422</v>
      </c>
      <c r="Q20" s="623">
        <f>SUM(Q9:Q19)</f>
        <v>719535372</v>
      </c>
      <c r="R20" s="649">
        <f>SUM(R9:R19)</f>
        <v>701199396</v>
      </c>
      <c r="S20" s="623">
        <f t="shared" si="7"/>
        <v>2810120697</v>
      </c>
      <c r="T20" s="627">
        <f t="shared" si="1"/>
        <v>0.9465621318515686</v>
      </c>
      <c r="U20" s="650">
        <f>SUM(U9:U19)</f>
        <v>223420947</v>
      </c>
      <c r="V20" s="651">
        <f>SUM(V9:V19)</f>
        <v>229169358</v>
      </c>
      <c r="W20" s="651">
        <f>SUM(W9:W19)</f>
        <v>225949786</v>
      </c>
      <c r="X20" s="651">
        <f>SUM(X9:X19)</f>
        <v>221333312</v>
      </c>
      <c r="Y20" s="652">
        <f>SUM(Y9:Y19)</f>
        <v>899873403</v>
      </c>
      <c r="Z20" s="653"/>
      <c r="AA20" s="643"/>
    </row>
    <row r="21" spans="1:27" ht="15">
      <c r="A21" s="618" t="s">
        <v>36</v>
      </c>
      <c r="B21" s="654"/>
      <c r="C21" s="654"/>
      <c r="D21" s="654"/>
      <c r="E21" s="654"/>
      <c r="F21" s="654"/>
      <c r="G21" s="633"/>
      <c r="H21" s="647"/>
      <c r="I21" s="635"/>
      <c r="J21" s="635"/>
      <c r="K21" s="655"/>
      <c r="L21" s="655"/>
      <c r="M21" s="655"/>
      <c r="N21" s="623"/>
      <c r="O21" s="623"/>
      <c r="P21" s="623"/>
      <c r="Q21" s="623"/>
      <c r="R21" s="649"/>
      <c r="S21" s="623"/>
      <c r="T21" s="627"/>
      <c r="U21" s="638"/>
      <c r="V21" s="639"/>
      <c r="W21" s="639"/>
      <c r="X21" s="639"/>
      <c r="Y21" s="640"/>
      <c r="Z21" s="653"/>
      <c r="AA21" s="643"/>
    </row>
    <row r="22" spans="1:27" ht="14.25">
      <c r="A22" s="656" t="s">
        <v>105</v>
      </c>
      <c r="B22" s="657">
        <v>400000</v>
      </c>
      <c r="C22" s="658">
        <v>2000000</v>
      </c>
      <c r="D22" s="658">
        <v>12000000</v>
      </c>
      <c r="E22" s="658">
        <v>10000000</v>
      </c>
      <c r="F22" s="658">
        <v>3500000</v>
      </c>
      <c r="G22" s="658">
        <f>+B22+C22+E22+F22+D22</f>
        <v>27900000</v>
      </c>
      <c r="H22" s="633">
        <v>74706190</v>
      </c>
      <c r="I22" s="635">
        <f>+H22+G22</f>
        <v>102606190</v>
      </c>
      <c r="J22" s="635"/>
      <c r="K22" s="635"/>
      <c r="L22" s="635"/>
      <c r="M22" s="635"/>
      <c r="N22" s="635">
        <f aca="true" t="shared" si="9" ref="N22:N37">+I22+J22+L22+M22</f>
        <v>102606190</v>
      </c>
      <c r="O22" s="635">
        <v>51326730</v>
      </c>
      <c r="P22" s="635">
        <v>18979556</v>
      </c>
      <c r="Q22" s="635">
        <v>10767600</v>
      </c>
      <c r="R22" s="659">
        <v>16516584</v>
      </c>
      <c r="S22" s="635">
        <f t="shared" si="7"/>
        <v>97590470</v>
      </c>
      <c r="T22" s="637">
        <f>+S22/N22</f>
        <v>0.9511167893476992</v>
      </c>
      <c r="U22" s="638">
        <v>570720</v>
      </c>
      <c r="V22" s="639">
        <v>1610921</v>
      </c>
      <c r="W22" s="639">
        <v>466794</v>
      </c>
      <c r="X22" s="639">
        <v>3883711</v>
      </c>
      <c r="Y22" s="640">
        <f aca="true" t="shared" si="10" ref="Y22:Y35">SUM(U22:X22)</f>
        <v>6532146</v>
      </c>
      <c r="Z22" s="641"/>
      <c r="AA22" s="643"/>
    </row>
    <row r="23" spans="1:27" ht="14.25">
      <c r="A23" s="656" t="s">
        <v>38</v>
      </c>
      <c r="B23" s="657">
        <v>0</v>
      </c>
      <c r="C23" s="658">
        <v>0</v>
      </c>
      <c r="D23" s="658"/>
      <c r="E23" s="658">
        <v>0</v>
      </c>
      <c r="F23" s="658">
        <v>0</v>
      </c>
      <c r="G23" s="658">
        <f aca="true" t="shared" si="11" ref="G23:G35">+B23+C23+E23+F23+D23</f>
        <v>0</v>
      </c>
      <c r="H23" s="633">
        <v>6840537.088000001</v>
      </c>
      <c r="I23" s="635">
        <f aca="true" t="shared" si="12" ref="I23:I35">+G23+H23</f>
        <v>6840537.088000001</v>
      </c>
      <c r="J23" s="635"/>
      <c r="K23" s="635"/>
      <c r="L23" s="635"/>
      <c r="M23" s="635"/>
      <c r="N23" s="635">
        <f t="shared" si="9"/>
        <v>6840537.088000001</v>
      </c>
      <c r="O23" s="635">
        <v>3266696</v>
      </c>
      <c r="P23" s="635">
        <v>1133226</v>
      </c>
      <c r="Q23" s="635">
        <v>1140243</v>
      </c>
      <c r="R23" s="659">
        <v>1300371</v>
      </c>
      <c r="S23" s="635">
        <f t="shared" si="7"/>
        <v>6840536</v>
      </c>
      <c r="T23" s="637">
        <f t="shared" si="1"/>
        <v>0.9999998409481613</v>
      </c>
      <c r="U23" s="638">
        <v>0</v>
      </c>
      <c r="V23" s="639">
        <v>0</v>
      </c>
      <c r="W23" s="639">
        <v>0</v>
      </c>
      <c r="X23" s="639">
        <v>0</v>
      </c>
      <c r="Y23" s="640">
        <f t="shared" si="10"/>
        <v>0</v>
      </c>
      <c r="Z23" s="641"/>
      <c r="AA23" s="643"/>
    </row>
    <row r="24" spans="1:27" ht="14.25">
      <c r="A24" s="656" t="s">
        <v>39</v>
      </c>
      <c r="B24" s="657">
        <v>0</v>
      </c>
      <c r="C24" s="658">
        <v>0</v>
      </c>
      <c r="D24" s="658"/>
      <c r="E24" s="658">
        <v>6600000</v>
      </c>
      <c r="F24" s="658">
        <v>0</v>
      </c>
      <c r="G24" s="658">
        <f t="shared" si="11"/>
        <v>6600000</v>
      </c>
      <c r="H24" s="633">
        <v>17670405.5</v>
      </c>
      <c r="I24" s="635">
        <f t="shared" si="12"/>
        <v>24270405.5</v>
      </c>
      <c r="J24" s="635"/>
      <c r="K24" s="635"/>
      <c r="L24" s="635"/>
      <c r="M24" s="635"/>
      <c r="N24" s="635">
        <f t="shared" si="9"/>
        <v>24270405.5</v>
      </c>
      <c r="O24" s="635">
        <v>5605563</v>
      </c>
      <c r="P24" s="635">
        <v>5917220</v>
      </c>
      <c r="Q24" s="635">
        <v>4257296</v>
      </c>
      <c r="R24" s="659">
        <v>5808116</v>
      </c>
      <c r="S24" s="635">
        <f t="shared" si="7"/>
        <v>21588195</v>
      </c>
      <c r="T24" s="637">
        <f t="shared" si="1"/>
        <v>0.8894863746714079</v>
      </c>
      <c r="U24" s="638">
        <v>1459462</v>
      </c>
      <c r="V24" s="639">
        <v>1541034</v>
      </c>
      <c r="W24" s="639">
        <v>1389666</v>
      </c>
      <c r="X24" s="639">
        <v>564800</v>
      </c>
      <c r="Y24" s="640">
        <f t="shared" si="10"/>
        <v>4954962</v>
      </c>
      <c r="Z24" s="641"/>
      <c r="AA24" s="643"/>
    </row>
    <row r="25" spans="1:27" ht="14.25">
      <c r="A25" s="656" t="s">
        <v>40</v>
      </c>
      <c r="B25" s="657">
        <v>6861739.500000001</v>
      </c>
      <c r="C25" s="658">
        <v>6861739.500000001</v>
      </c>
      <c r="D25" s="658"/>
      <c r="E25" s="658">
        <v>6861739.500000001</v>
      </c>
      <c r="F25" s="658">
        <v>6861739.500000001</v>
      </c>
      <c r="G25" s="658">
        <f t="shared" si="11"/>
        <v>27446958.000000004</v>
      </c>
      <c r="H25" s="633">
        <v>21405191.2776</v>
      </c>
      <c r="I25" s="635">
        <f t="shared" si="12"/>
        <v>48852149.277600005</v>
      </c>
      <c r="J25" s="635"/>
      <c r="K25" s="635"/>
      <c r="L25" s="635"/>
      <c r="M25" s="635"/>
      <c r="N25" s="635">
        <f t="shared" si="9"/>
        <v>48852149.277600005</v>
      </c>
      <c r="O25" s="635">
        <v>9182498</v>
      </c>
      <c r="P25" s="635">
        <v>11227607</v>
      </c>
      <c r="Q25" s="635">
        <v>12555333</v>
      </c>
      <c r="R25" s="659">
        <v>14209465</v>
      </c>
      <c r="S25" s="635">
        <f t="shared" si="7"/>
        <v>47174903</v>
      </c>
      <c r="T25" s="637">
        <f t="shared" si="1"/>
        <v>0.9656668887162132</v>
      </c>
      <c r="U25" s="638">
        <v>1049209</v>
      </c>
      <c r="V25" s="639">
        <v>1068419</v>
      </c>
      <c r="W25" s="639">
        <v>1715435</v>
      </c>
      <c r="X25" s="639">
        <v>2494510</v>
      </c>
      <c r="Y25" s="640">
        <f t="shared" si="10"/>
        <v>6327573</v>
      </c>
      <c r="Z25" s="641"/>
      <c r="AA25" s="521"/>
    </row>
    <row r="26" spans="1:27" ht="14.25">
      <c r="A26" s="656" t="s">
        <v>41</v>
      </c>
      <c r="B26" s="634">
        <v>9000000</v>
      </c>
      <c r="C26" s="633">
        <v>3500000</v>
      </c>
      <c r="D26" s="633">
        <v>1500000</v>
      </c>
      <c r="E26" s="633">
        <v>7000000</v>
      </c>
      <c r="F26" s="633">
        <v>9000000</v>
      </c>
      <c r="G26" s="658">
        <f>+B26+C26+E26+F26+D26</f>
        <v>30000000</v>
      </c>
      <c r="H26" s="633">
        <v>25500000</v>
      </c>
      <c r="I26" s="635">
        <f t="shared" si="12"/>
        <v>55500000</v>
      </c>
      <c r="J26" s="635"/>
      <c r="K26" s="635"/>
      <c r="L26" s="635"/>
      <c r="M26" s="635"/>
      <c r="N26" s="635">
        <f t="shared" si="9"/>
        <v>55500000</v>
      </c>
      <c r="O26" s="635">
        <v>11089393</v>
      </c>
      <c r="P26" s="635">
        <v>12300884</v>
      </c>
      <c r="Q26" s="635">
        <v>12491796</v>
      </c>
      <c r="R26" s="659">
        <v>16245766</v>
      </c>
      <c r="S26" s="635">
        <f t="shared" si="7"/>
        <v>52127839</v>
      </c>
      <c r="T26" s="637">
        <f t="shared" si="1"/>
        <v>0.9392403423423423</v>
      </c>
      <c r="U26" s="638">
        <v>1376313</v>
      </c>
      <c r="V26" s="660">
        <v>1667778</v>
      </c>
      <c r="W26" s="639">
        <v>1493075</v>
      </c>
      <c r="X26" s="639">
        <v>2434941</v>
      </c>
      <c r="Y26" s="640">
        <f t="shared" si="10"/>
        <v>6972107</v>
      </c>
      <c r="Z26" s="641"/>
      <c r="AA26" s="521"/>
    </row>
    <row r="27" spans="1:27" ht="14.25">
      <c r="A27" s="656" t="s">
        <v>42</v>
      </c>
      <c r="B27" s="657">
        <v>3500000</v>
      </c>
      <c r="C27" s="658">
        <v>0</v>
      </c>
      <c r="D27" s="658"/>
      <c r="E27" s="658">
        <v>5400000</v>
      </c>
      <c r="F27" s="658">
        <v>0</v>
      </c>
      <c r="G27" s="658">
        <f t="shared" si="11"/>
        <v>8900000</v>
      </c>
      <c r="H27" s="633">
        <v>42703047.75</v>
      </c>
      <c r="I27" s="635">
        <f t="shared" si="12"/>
        <v>51603047.75</v>
      </c>
      <c r="J27" s="635"/>
      <c r="K27" s="635"/>
      <c r="L27" s="635"/>
      <c r="M27" s="635"/>
      <c r="N27" s="635">
        <f t="shared" si="9"/>
        <v>51603047.75</v>
      </c>
      <c r="O27" s="635">
        <v>16625299</v>
      </c>
      <c r="P27" s="635">
        <v>11104425</v>
      </c>
      <c r="Q27" s="635">
        <v>11104425</v>
      </c>
      <c r="R27" s="659">
        <v>11104425</v>
      </c>
      <c r="S27" s="635">
        <f t="shared" si="7"/>
        <v>49938574</v>
      </c>
      <c r="T27" s="637">
        <f t="shared" si="1"/>
        <v>0.9677446619419877</v>
      </c>
      <c r="U27" s="638">
        <v>3131513</v>
      </c>
      <c r="V27" s="639">
        <v>428667</v>
      </c>
      <c r="W27" s="639">
        <v>428667</v>
      </c>
      <c r="X27" s="639">
        <v>428667</v>
      </c>
      <c r="Y27" s="640">
        <f t="shared" si="10"/>
        <v>4417514</v>
      </c>
      <c r="Z27" s="641"/>
      <c r="AA27" s="521"/>
    </row>
    <row r="28" spans="1:27" ht="14.25">
      <c r="A28" s="656" t="s">
        <v>43</v>
      </c>
      <c r="B28" s="634">
        <v>12000000</v>
      </c>
      <c r="C28" s="633">
        <v>15559500.000000002</v>
      </c>
      <c r="D28" s="633">
        <v>7300000</v>
      </c>
      <c r="E28" s="633">
        <v>203848160</v>
      </c>
      <c r="F28" s="658">
        <v>20000000</v>
      </c>
      <c r="G28" s="658">
        <f t="shared" si="11"/>
        <v>258707660</v>
      </c>
      <c r="H28" s="633">
        <v>18000000</v>
      </c>
      <c r="I28" s="635">
        <f t="shared" si="12"/>
        <v>276707660</v>
      </c>
      <c r="J28" s="635"/>
      <c r="K28" s="635"/>
      <c r="L28" s="635"/>
      <c r="M28" s="635"/>
      <c r="N28" s="635">
        <f t="shared" si="9"/>
        <v>276707660</v>
      </c>
      <c r="O28" s="635">
        <v>48006051</v>
      </c>
      <c r="P28" s="635">
        <v>60672345</v>
      </c>
      <c r="Q28" s="635">
        <v>65152918</v>
      </c>
      <c r="R28" s="659">
        <v>62127797</v>
      </c>
      <c r="S28" s="635">
        <f t="shared" si="7"/>
        <v>235959111</v>
      </c>
      <c r="T28" s="637">
        <f t="shared" si="1"/>
        <v>0.8527379075808743</v>
      </c>
      <c r="U28" s="638">
        <v>38802181</v>
      </c>
      <c r="V28" s="639">
        <v>46081101</v>
      </c>
      <c r="W28" s="639">
        <v>46072097</v>
      </c>
      <c r="X28" s="639">
        <v>44642926</v>
      </c>
      <c r="Y28" s="640">
        <f t="shared" si="10"/>
        <v>175598305</v>
      </c>
      <c r="Z28" s="641"/>
      <c r="AA28" s="521"/>
    </row>
    <row r="29" spans="1:27" ht="14.25">
      <c r="A29" s="656" t="s">
        <v>44</v>
      </c>
      <c r="B29" s="634">
        <v>19898469.526399996</v>
      </c>
      <c r="C29" s="658">
        <v>0</v>
      </c>
      <c r="D29" s="658">
        <v>0</v>
      </c>
      <c r="E29" s="633">
        <v>12000000</v>
      </c>
      <c r="F29" s="658">
        <v>0</v>
      </c>
      <c r="G29" s="658">
        <f t="shared" si="11"/>
        <v>31898469.526399996</v>
      </c>
      <c r="H29" s="633">
        <v>10464282.400000002</v>
      </c>
      <c r="I29" s="635">
        <f t="shared" si="12"/>
        <v>42362751.9264</v>
      </c>
      <c r="J29" s="635"/>
      <c r="K29" s="635"/>
      <c r="L29" s="635"/>
      <c r="M29" s="635"/>
      <c r="N29" s="635">
        <f t="shared" si="9"/>
        <v>42362751.9264</v>
      </c>
      <c r="O29" s="635">
        <v>4115350</v>
      </c>
      <c r="P29" s="635">
        <v>6727394</v>
      </c>
      <c r="Q29" s="635">
        <v>6546000</v>
      </c>
      <c r="R29" s="659">
        <v>20423637</v>
      </c>
      <c r="S29" s="635">
        <f t="shared" si="7"/>
        <v>37812381</v>
      </c>
      <c r="T29" s="637">
        <f t="shared" si="1"/>
        <v>0.8925855682297104</v>
      </c>
      <c r="U29" s="638">
        <v>1254750</v>
      </c>
      <c r="V29" s="639">
        <v>3000000</v>
      </c>
      <c r="W29" s="639">
        <v>3000000</v>
      </c>
      <c r="X29" s="639">
        <v>5514225</v>
      </c>
      <c r="Y29" s="640">
        <f t="shared" si="10"/>
        <v>12768975</v>
      </c>
      <c r="Z29" s="641"/>
      <c r="AA29" s="521"/>
    </row>
    <row r="30" spans="1:27" ht="14.25">
      <c r="A30" s="656" t="s">
        <v>45</v>
      </c>
      <c r="B30" s="634">
        <v>42440279.68000001</v>
      </c>
      <c r="C30" s="658">
        <v>8210000</v>
      </c>
      <c r="D30" s="658">
        <v>6000000</v>
      </c>
      <c r="E30" s="658">
        <v>42000000</v>
      </c>
      <c r="F30" s="658">
        <v>10373000.000000002</v>
      </c>
      <c r="G30" s="658">
        <f t="shared" si="11"/>
        <v>109023279.68</v>
      </c>
      <c r="H30" s="633">
        <v>25000000</v>
      </c>
      <c r="I30" s="635">
        <f t="shared" si="12"/>
        <v>134023279.68</v>
      </c>
      <c r="J30" s="635"/>
      <c r="K30" s="635"/>
      <c r="L30" s="635"/>
      <c r="M30" s="635"/>
      <c r="N30" s="635">
        <f t="shared" si="9"/>
        <v>134023279.68</v>
      </c>
      <c r="O30" s="635">
        <v>25511705</v>
      </c>
      <c r="P30" s="635">
        <v>25271266</v>
      </c>
      <c r="Q30" s="635">
        <v>23866971</v>
      </c>
      <c r="R30" s="659">
        <v>34837328</v>
      </c>
      <c r="S30" s="635">
        <f t="shared" si="7"/>
        <v>109487270</v>
      </c>
      <c r="T30" s="637">
        <f t="shared" si="1"/>
        <v>0.8169272551859402</v>
      </c>
      <c r="U30" s="638">
        <v>10500000</v>
      </c>
      <c r="V30" s="639">
        <v>11795507</v>
      </c>
      <c r="W30" s="639">
        <v>11754112</v>
      </c>
      <c r="X30" s="639">
        <v>9667530</v>
      </c>
      <c r="Y30" s="640">
        <f t="shared" si="10"/>
        <v>43717149</v>
      </c>
      <c r="Z30" s="641"/>
      <c r="AA30" s="521"/>
    </row>
    <row r="31" spans="1:27" ht="14.25">
      <c r="A31" s="656" t="s">
        <v>46</v>
      </c>
      <c r="B31" s="658">
        <v>2200000</v>
      </c>
      <c r="C31" s="658">
        <v>2160000</v>
      </c>
      <c r="D31" s="658">
        <v>2200000</v>
      </c>
      <c r="E31" s="658">
        <v>4800000</v>
      </c>
      <c r="F31" s="658">
        <v>2200000</v>
      </c>
      <c r="G31" s="658">
        <f t="shared" si="11"/>
        <v>13560000</v>
      </c>
      <c r="H31" s="633">
        <v>3651296.0000000005</v>
      </c>
      <c r="I31" s="635">
        <f t="shared" si="12"/>
        <v>17211296</v>
      </c>
      <c r="J31" s="635"/>
      <c r="K31" s="635"/>
      <c r="L31" s="635"/>
      <c r="M31" s="635"/>
      <c r="N31" s="635">
        <f t="shared" si="9"/>
        <v>17211296</v>
      </c>
      <c r="O31" s="635">
        <v>1454620</v>
      </c>
      <c r="P31" s="635">
        <v>2219740</v>
      </c>
      <c r="Q31" s="635">
        <v>2043200</v>
      </c>
      <c r="R31" s="659">
        <v>2799582</v>
      </c>
      <c r="S31" s="635">
        <f t="shared" si="7"/>
        <v>8517142</v>
      </c>
      <c r="T31" s="637">
        <f t="shared" si="1"/>
        <v>0.4948576795146629</v>
      </c>
      <c r="U31" s="638">
        <v>349820</v>
      </c>
      <c r="V31" s="639">
        <v>460800</v>
      </c>
      <c r="W31" s="639">
        <v>602000</v>
      </c>
      <c r="X31" s="639">
        <v>513300</v>
      </c>
      <c r="Y31" s="640">
        <f t="shared" si="10"/>
        <v>1925920</v>
      </c>
      <c r="Z31" s="641"/>
      <c r="AA31" s="521" t="s">
        <v>544</v>
      </c>
    </row>
    <row r="32" spans="1:27" ht="14.25">
      <c r="A32" s="656" t="s">
        <v>47</v>
      </c>
      <c r="B32" s="657">
        <v>4000000</v>
      </c>
      <c r="C32" s="658">
        <v>1190250</v>
      </c>
      <c r="D32" s="658">
        <v>17000000</v>
      </c>
      <c r="E32" s="658">
        <v>36000000</v>
      </c>
      <c r="F32" s="658">
        <v>0</v>
      </c>
      <c r="G32" s="658">
        <f t="shared" si="11"/>
        <v>58190250</v>
      </c>
      <c r="H32" s="633">
        <v>32600000</v>
      </c>
      <c r="I32" s="635">
        <f t="shared" si="12"/>
        <v>90790250</v>
      </c>
      <c r="J32" s="635"/>
      <c r="K32" s="635"/>
      <c r="L32" s="635"/>
      <c r="M32" s="635">
        <v>-16300000</v>
      </c>
      <c r="N32" s="635">
        <f t="shared" si="9"/>
        <v>74490250</v>
      </c>
      <c r="O32" s="635">
        <v>7790669</v>
      </c>
      <c r="P32" s="635">
        <v>8239205</v>
      </c>
      <c r="Q32" s="635">
        <v>13221187</v>
      </c>
      <c r="R32" s="659">
        <v>29176043</v>
      </c>
      <c r="S32" s="635">
        <f t="shared" si="7"/>
        <v>58427104</v>
      </c>
      <c r="T32" s="637">
        <f t="shared" si="1"/>
        <v>0.7843590805508104</v>
      </c>
      <c r="U32" s="638">
        <v>7295780</v>
      </c>
      <c r="V32" s="639">
        <v>7245645</v>
      </c>
      <c r="W32" s="639">
        <v>12512187</v>
      </c>
      <c r="X32" s="639">
        <v>14923946</v>
      </c>
      <c r="Y32" s="640">
        <f t="shared" si="10"/>
        <v>41977558</v>
      </c>
      <c r="Z32" s="641"/>
      <c r="AA32" s="521"/>
    </row>
    <row r="33" spans="1:27" ht="14.25">
      <c r="A33" s="656" t="s">
        <v>48</v>
      </c>
      <c r="B33" s="657">
        <v>0</v>
      </c>
      <c r="C33" s="658">
        <v>0</v>
      </c>
      <c r="D33" s="658"/>
      <c r="E33" s="658">
        <v>0</v>
      </c>
      <c r="F33" s="658">
        <v>0</v>
      </c>
      <c r="G33" s="658">
        <f t="shared" si="11"/>
        <v>0</v>
      </c>
      <c r="H33" s="633">
        <v>19345645</v>
      </c>
      <c r="I33" s="635">
        <f t="shared" si="12"/>
        <v>19345645</v>
      </c>
      <c r="J33" s="635"/>
      <c r="K33" s="635"/>
      <c r="L33" s="635"/>
      <c r="M33" s="635"/>
      <c r="N33" s="635">
        <f t="shared" si="9"/>
        <v>19345645</v>
      </c>
      <c r="O33" s="635">
        <v>3308692</v>
      </c>
      <c r="P33" s="635">
        <v>1930940</v>
      </c>
      <c r="Q33" s="635">
        <v>0</v>
      </c>
      <c r="R33" s="659">
        <v>4438292</v>
      </c>
      <c r="S33" s="635">
        <f t="shared" si="7"/>
        <v>9677924</v>
      </c>
      <c r="T33" s="637">
        <f t="shared" si="1"/>
        <v>0.500263702761009</v>
      </c>
      <c r="U33" s="638">
        <v>0</v>
      </c>
      <c r="V33" s="639">
        <v>0</v>
      </c>
      <c r="W33" s="639">
        <v>0</v>
      </c>
      <c r="X33" s="639">
        <v>0</v>
      </c>
      <c r="Y33" s="640">
        <f t="shared" si="10"/>
        <v>0</v>
      </c>
      <c r="Z33" s="641"/>
      <c r="AA33" s="521" t="s">
        <v>544</v>
      </c>
    </row>
    <row r="34" spans="1:27" ht="14.25">
      <c r="A34" s="656" t="s">
        <v>49</v>
      </c>
      <c r="B34" s="657">
        <v>0</v>
      </c>
      <c r="C34" s="658">
        <v>0</v>
      </c>
      <c r="D34" s="658"/>
      <c r="E34" s="658">
        <v>57600000</v>
      </c>
      <c r="F34" s="658">
        <v>0</v>
      </c>
      <c r="G34" s="658">
        <f t="shared" si="11"/>
        <v>57600000</v>
      </c>
      <c r="H34" s="633">
        <v>104000000</v>
      </c>
      <c r="I34" s="635">
        <f t="shared" si="12"/>
        <v>161600000</v>
      </c>
      <c r="J34" s="635"/>
      <c r="K34" s="635"/>
      <c r="L34" s="635"/>
      <c r="M34" s="635"/>
      <c r="N34" s="635">
        <f t="shared" si="9"/>
        <v>161600000</v>
      </c>
      <c r="O34" s="635">
        <v>17804412</v>
      </c>
      <c r="P34" s="635">
        <v>24417157</v>
      </c>
      <c r="Q34" s="635">
        <v>28719740.43</v>
      </c>
      <c r="R34" s="659">
        <v>30107243</v>
      </c>
      <c r="S34" s="635">
        <f t="shared" si="7"/>
        <v>101048552.43</v>
      </c>
      <c r="T34" s="637">
        <f t="shared" si="1"/>
        <v>0.6253004482054456</v>
      </c>
      <c r="U34" s="638">
        <v>5126175</v>
      </c>
      <c r="V34" s="639">
        <v>7831730</v>
      </c>
      <c r="W34" s="639">
        <v>7129729.46</v>
      </c>
      <c r="X34" s="639">
        <v>7120184.54</v>
      </c>
      <c r="Y34" s="640">
        <f t="shared" si="10"/>
        <v>27207819</v>
      </c>
      <c r="Z34" s="641"/>
      <c r="AA34" s="521" t="s">
        <v>544</v>
      </c>
    </row>
    <row r="35" spans="1:27" ht="14.25">
      <c r="A35" s="656" t="s">
        <v>50</v>
      </c>
      <c r="B35" s="657">
        <v>0</v>
      </c>
      <c r="C35" s="658">
        <v>0</v>
      </c>
      <c r="D35" s="658"/>
      <c r="E35" s="658">
        <v>0</v>
      </c>
      <c r="F35" s="658">
        <v>0</v>
      </c>
      <c r="G35" s="658">
        <f t="shared" si="11"/>
        <v>0</v>
      </c>
      <c r="H35" s="633">
        <v>31655595</v>
      </c>
      <c r="I35" s="635">
        <f t="shared" si="12"/>
        <v>31655595</v>
      </c>
      <c r="J35" s="635"/>
      <c r="K35" s="635"/>
      <c r="L35" s="635"/>
      <c r="M35" s="635"/>
      <c r="N35" s="635">
        <f>+I35+J35+L35+M35</f>
        <v>31655595</v>
      </c>
      <c r="O35" s="635">
        <v>0</v>
      </c>
      <c r="P35" s="635">
        <v>0</v>
      </c>
      <c r="Q35" s="635">
        <v>1531200</v>
      </c>
      <c r="R35" s="659">
        <v>22850712</v>
      </c>
      <c r="S35" s="635">
        <f t="shared" si="7"/>
        <v>24381912</v>
      </c>
      <c r="T35" s="637">
        <f t="shared" si="1"/>
        <v>0.7702244105662838</v>
      </c>
      <c r="U35" s="638">
        <v>0</v>
      </c>
      <c r="V35" s="639">
        <v>0</v>
      </c>
      <c r="W35" s="639">
        <v>0</v>
      </c>
      <c r="X35" s="639">
        <v>0</v>
      </c>
      <c r="Y35" s="640">
        <f t="shared" si="10"/>
        <v>0</v>
      </c>
      <c r="Z35" s="641"/>
      <c r="AA35" s="521" t="s">
        <v>544</v>
      </c>
    </row>
    <row r="36" spans="1:27" ht="15">
      <c r="A36" s="646" t="s">
        <v>337</v>
      </c>
      <c r="B36" s="625">
        <f>SUM(B22:B35)</f>
        <v>100300488.7064</v>
      </c>
      <c r="C36" s="625">
        <f>SUM(C22:C35)</f>
        <v>39481489.5</v>
      </c>
      <c r="D36" s="625">
        <f>SUM(D22:D35)</f>
        <v>46000000</v>
      </c>
      <c r="E36" s="625">
        <f>SUM(E22:E35)</f>
        <v>392109899.5</v>
      </c>
      <c r="F36" s="625">
        <f>SUM(F22:F35)</f>
        <v>51934739.5</v>
      </c>
      <c r="G36" s="661">
        <f>+B36+C36+E36+F36+D36</f>
        <v>629826617.2064</v>
      </c>
      <c r="H36" s="625">
        <f aca="true" t="shared" si="13" ref="H36:M36">SUM(H22:H35)</f>
        <v>433542190.01559997</v>
      </c>
      <c r="I36" s="662">
        <f t="shared" si="13"/>
        <v>1063368807.2219999</v>
      </c>
      <c r="J36" s="623">
        <f t="shared" si="13"/>
        <v>0</v>
      </c>
      <c r="K36" s="623">
        <f t="shared" si="13"/>
        <v>0</v>
      </c>
      <c r="L36" s="623">
        <f t="shared" si="13"/>
        <v>0</v>
      </c>
      <c r="M36" s="626">
        <f t="shared" si="13"/>
        <v>-16300000</v>
      </c>
      <c r="N36" s="623">
        <f>+I36+J36+L36+M36</f>
        <v>1047068807.2219999</v>
      </c>
      <c r="O36" s="623">
        <f>SUM(O21:O35)</f>
        <v>205087678</v>
      </c>
      <c r="P36" s="623">
        <f>SUM(P21:P35)</f>
        <v>190140965</v>
      </c>
      <c r="Q36" s="623">
        <f>SUM(Q21:Q35)</f>
        <v>193397909.43</v>
      </c>
      <c r="R36" s="649">
        <f>SUM(R21:R35)</f>
        <v>271945361</v>
      </c>
      <c r="S36" s="623">
        <f>SUM(O36:R36)</f>
        <v>860571913.4300001</v>
      </c>
      <c r="T36" s="627">
        <f>+S36/N36</f>
        <v>0.8218866873832307</v>
      </c>
      <c r="U36" s="650">
        <f>SUM(U22:U35)</f>
        <v>70915923</v>
      </c>
      <c r="V36" s="651">
        <f>SUM(V22:V35)</f>
        <v>82731602</v>
      </c>
      <c r="W36" s="651">
        <f>SUM(W22:W35)</f>
        <v>86563762.46</v>
      </c>
      <c r="X36" s="651">
        <f>SUM(X22:X35)</f>
        <v>92188740.54</v>
      </c>
      <c r="Y36" s="652">
        <f>SUM(Y22:Y35)</f>
        <v>332400028</v>
      </c>
      <c r="Z36" s="644"/>
      <c r="AA36" s="521"/>
    </row>
    <row r="37" spans="1:27" ht="15">
      <c r="A37" s="646" t="s">
        <v>338</v>
      </c>
      <c r="B37" s="625">
        <f>+B36+B20</f>
        <v>1004992260.4893917</v>
      </c>
      <c r="C37" s="625">
        <f>+C36+C20</f>
        <v>337784876.76715547</v>
      </c>
      <c r="D37" s="625">
        <f>+D36+D20</f>
        <v>189184709.8383719</v>
      </c>
      <c r="E37" s="625">
        <f>+E36+E20</f>
        <v>1309121299.9445758</v>
      </c>
      <c r="F37" s="625">
        <f>+F36+F20</f>
        <v>337981437.3321537</v>
      </c>
      <c r="G37" s="661">
        <f>+B37+C37+E37+F37+D37</f>
        <v>3179064584.371649</v>
      </c>
      <c r="H37" s="625">
        <f aca="true" t="shared" si="14" ref="H37:M37">+H36+H20</f>
        <v>837636756.9616349</v>
      </c>
      <c r="I37" s="662">
        <f t="shared" si="14"/>
        <v>4016701341.3332834</v>
      </c>
      <c r="J37" s="623">
        <f t="shared" si="14"/>
        <v>0</v>
      </c>
      <c r="K37" s="623">
        <f t="shared" si="14"/>
        <v>0</v>
      </c>
      <c r="L37" s="623">
        <f t="shared" si="14"/>
        <v>15432645.099010872</v>
      </c>
      <c r="M37" s="626">
        <f t="shared" si="14"/>
        <v>-16300000</v>
      </c>
      <c r="N37" s="623">
        <f t="shared" si="9"/>
        <v>4015833986.4322944</v>
      </c>
      <c r="O37" s="623">
        <f>+O36+O20</f>
        <v>870515185</v>
      </c>
      <c r="P37" s="623">
        <f>+P36+P20</f>
        <v>914099387</v>
      </c>
      <c r="Q37" s="623">
        <f>+Q36+Q20</f>
        <v>912933281.4300001</v>
      </c>
      <c r="R37" s="649">
        <f>+R36+R20</f>
        <v>973144757</v>
      </c>
      <c r="S37" s="623">
        <f>SUM(O37:R37)</f>
        <v>3670692610.4300003</v>
      </c>
      <c r="T37" s="627">
        <f t="shared" si="1"/>
        <v>0.9140548695069636</v>
      </c>
      <c r="U37" s="650">
        <f>+U36+U20</f>
        <v>294336870</v>
      </c>
      <c r="V37" s="651">
        <f>+V36+V20</f>
        <v>311900960</v>
      </c>
      <c r="W37" s="651">
        <f>+W36+W20</f>
        <v>312513548.46</v>
      </c>
      <c r="X37" s="651">
        <f>+X36+X20</f>
        <v>313522052.54</v>
      </c>
      <c r="Y37" s="652">
        <f>+Y36+Y20</f>
        <v>1232273431</v>
      </c>
      <c r="Z37" s="644"/>
      <c r="AA37" s="663"/>
    </row>
    <row r="38" spans="1:27" ht="15">
      <c r="A38" s="656"/>
      <c r="B38" s="619"/>
      <c r="C38" s="619"/>
      <c r="D38" s="619"/>
      <c r="E38" s="619"/>
      <c r="F38" s="619"/>
      <c r="G38" s="619"/>
      <c r="H38" s="619"/>
      <c r="I38" s="620"/>
      <c r="J38" s="620"/>
      <c r="K38" s="664"/>
      <c r="L38" s="664"/>
      <c r="M38" s="664"/>
      <c r="N38" s="623"/>
      <c r="O38" s="623"/>
      <c r="P38" s="623"/>
      <c r="Q38" s="623"/>
      <c r="R38" s="649"/>
      <c r="S38" s="623"/>
      <c r="T38" s="627"/>
      <c r="U38" s="665"/>
      <c r="V38" s="665"/>
      <c r="W38" s="665"/>
      <c r="X38" s="665"/>
      <c r="Y38" s="665"/>
      <c r="Z38" s="644"/>
      <c r="AA38" s="521"/>
    </row>
    <row r="39" spans="1:27" ht="15">
      <c r="A39" s="646" t="s">
        <v>339</v>
      </c>
      <c r="B39" s="625">
        <f>+B41+B115+B148+B159</f>
        <v>1420671631.5120807</v>
      </c>
      <c r="C39" s="625">
        <f>+C41+C49+C78+C115+C126+C148+C159+C168</f>
        <v>1174644971.2104</v>
      </c>
      <c r="D39" s="625">
        <f>+D41+D49+D78+D115+D126+D148+D159+D168</f>
        <v>1057839867.7941864</v>
      </c>
      <c r="E39" s="625">
        <f>+E41+E49+E78+E115+E126+E148+E159+E168</f>
        <v>7808427442.301868</v>
      </c>
      <c r="F39" s="625">
        <f>+F41+F49+F78+F115+F126+F148+F159+F168</f>
        <v>4285979251.7521496</v>
      </c>
      <c r="G39" s="625">
        <f>+B39+C39+E39+F39+D39</f>
        <v>15747563164.570684</v>
      </c>
      <c r="H39" s="625">
        <v>0</v>
      </c>
      <c r="I39" s="662">
        <f>+H39+G39</f>
        <v>15747563164.570684</v>
      </c>
      <c r="J39" s="623">
        <f>+J41+J49+J78+J115+J126+J148+J159+J168</f>
        <v>779100000</v>
      </c>
      <c r="K39" s="623">
        <f>+K41+K49+K78+K115+K126+K148+K159+K168</f>
        <v>0</v>
      </c>
      <c r="L39" s="623">
        <f>+L41+L49+L78+L115+L126+L148+L159+L168</f>
        <v>-340958929</v>
      </c>
      <c r="M39" s="626">
        <f>+M41+M49+M78+M115+M126+M148+M159+M168</f>
        <v>-1088705997</v>
      </c>
      <c r="N39" s="623">
        <f>+I39+J39+L39+M39</f>
        <v>15096998238.570684</v>
      </c>
      <c r="O39" s="623">
        <f>+O41+O49+O78+O115+O126+O148+O159+O168</f>
        <v>2313268566</v>
      </c>
      <c r="P39" s="623">
        <f>+P41+P49+P78+P115+P126+P148+P159+P168</f>
        <v>2518166712</v>
      </c>
      <c r="Q39" s="623">
        <f>+Q41+Q49+Q78+Q115+Q126+Q148+Q159+Q168</f>
        <v>4196006931.05</v>
      </c>
      <c r="R39" s="649">
        <f>+R41+R49+R78+R115+R126+R148+R159+R168</f>
        <v>3603859011</v>
      </c>
      <c r="S39" s="623">
        <f t="shared" si="7"/>
        <v>12631301220.05</v>
      </c>
      <c r="T39" s="627">
        <f t="shared" si="1"/>
        <v>0.8366763392592058</v>
      </c>
      <c r="U39" s="665"/>
      <c r="V39" s="665"/>
      <c r="W39" s="665"/>
      <c r="X39" s="665"/>
      <c r="Y39" s="665"/>
      <c r="Z39" s="644"/>
      <c r="AA39" s="521" t="s">
        <v>544</v>
      </c>
    </row>
    <row r="40" spans="1:27" ht="15">
      <c r="A40" s="646"/>
      <c r="B40" s="625"/>
      <c r="C40" s="625"/>
      <c r="D40" s="625"/>
      <c r="E40" s="625"/>
      <c r="F40" s="625"/>
      <c r="G40" s="625"/>
      <c r="H40" s="625"/>
      <c r="I40" s="662"/>
      <c r="J40" s="623"/>
      <c r="K40" s="626"/>
      <c r="L40" s="626"/>
      <c r="M40" s="626"/>
      <c r="N40" s="623"/>
      <c r="O40" s="623"/>
      <c r="P40" s="623"/>
      <c r="Q40" s="623"/>
      <c r="R40" s="649"/>
      <c r="S40" s="623"/>
      <c r="T40" s="627"/>
      <c r="U40" s="665"/>
      <c r="V40" s="665"/>
      <c r="W40" s="665"/>
      <c r="X40" s="665"/>
      <c r="Y40" s="665"/>
      <c r="Z40" s="644"/>
      <c r="AA40" s="521"/>
    </row>
    <row r="41" spans="1:26" s="673" customFormat="1" ht="17.25" customHeight="1">
      <c r="A41" s="666" t="s">
        <v>410</v>
      </c>
      <c r="B41" s="667">
        <f>+B42</f>
        <v>132724597.23320001</v>
      </c>
      <c r="C41" s="667"/>
      <c r="D41" s="667"/>
      <c r="E41" s="667"/>
      <c r="F41" s="667"/>
      <c r="G41" s="667">
        <f>SUM(B41:F41)</f>
        <v>132724597.23320001</v>
      </c>
      <c r="H41" s="667"/>
      <c r="I41" s="668">
        <f>+H41+G41</f>
        <v>132724597.23320001</v>
      </c>
      <c r="J41" s="668"/>
      <c r="K41" s="669"/>
      <c r="L41" s="669"/>
      <c r="M41" s="668">
        <f>+M42</f>
        <v>0</v>
      </c>
      <c r="N41" s="670">
        <f>+I41+J41+L41+M41</f>
        <v>132724597.23320001</v>
      </c>
      <c r="O41" s="670">
        <f>+O42</f>
        <v>23476955</v>
      </c>
      <c r="P41" s="670">
        <f>+P42</f>
        <v>36102650</v>
      </c>
      <c r="Q41" s="670">
        <f>+Q42</f>
        <v>27357965</v>
      </c>
      <c r="R41" s="671">
        <f>+R42</f>
        <v>28077847</v>
      </c>
      <c r="S41" s="670">
        <f t="shared" si="7"/>
        <v>115015417</v>
      </c>
      <c r="T41" s="672">
        <f t="shared" si="1"/>
        <v>0.8665719798562689</v>
      </c>
      <c r="U41" s="665"/>
      <c r="V41" s="665"/>
      <c r="W41" s="665"/>
      <c r="X41" s="665"/>
      <c r="Y41" s="665"/>
      <c r="Z41" s="644"/>
    </row>
    <row r="42" spans="1:27" s="680" customFormat="1" ht="15">
      <c r="A42" s="674" t="s">
        <v>88</v>
      </c>
      <c r="B42" s="647">
        <f>+B43+B45+B46+B44</f>
        <v>132724597.23320001</v>
      </c>
      <c r="C42" s="675"/>
      <c r="D42" s="675"/>
      <c r="E42" s="675"/>
      <c r="F42" s="675"/>
      <c r="G42" s="647">
        <f>+SUM(B42:F42)</f>
        <v>132724597.23320001</v>
      </c>
      <c r="H42" s="675"/>
      <c r="I42" s="676">
        <f>+G42+H42</f>
        <v>132724597.23320001</v>
      </c>
      <c r="J42" s="676"/>
      <c r="K42" s="677"/>
      <c r="L42" s="677"/>
      <c r="M42" s="623">
        <f>+M43+M45+M46+M44</f>
        <v>0</v>
      </c>
      <c r="N42" s="678">
        <f>+I42+J42+L42+M42</f>
        <v>132724597.23320001</v>
      </c>
      <c r="O42" s="678">
        <f>+O43+O45+O46+O44</f>
        <v>23476955</v>
      </c>
      <c r="P42" s="678">
        <f>+P43+P45+P46+P44+P47</f>
        <v>36102650</v>
      </c>
      <c r="Q42" s="678">
        <f>+Q43+Q44+Q45+Q46+Q47</f>
        <v>27357965</v>
      </c>
      <c r="R42" s="649">
        <f>+R43+R45+R46+R44+R47</f>
        <v>28077847</v>
      </c>
      <c r="S42" s="678">
        <f>SUM(O42:R42)</f>
        <v>115015417</v>
      </c>
      <c r="T42" s="679">
        <f t="shared" si="1"/>
        <v>0.8665719798562689</v>
      </c>
      <c r="U42" s="665"/>
      <c r="V42" s="665"/>
      <c r="W42" s="665"/>
      <c r="X42" s="665"/>
      <c r="Y42" s="665"/>
      <c r="Z42" s="644"/>
      <c r="AA42" s="680" t="s">
        <v>544</v>
      </c>
    </row>
    <row r="43" spans="1:26" s="680" customFormat="1" ht="15" hidden="1" outlineLevel="1">
      <c r="A43" s="681" t="s">
        <v>89</v>
      </c>
      <c r="B43" s="633">
        <v>36668140.080000006</v>
      </c>
      <c r="C43" s="675"/>
      <c r="D43" s="675"/>
      <c r="E43" s="675"/>
      <c r="F43" s="675"/>
      <c r="G43" s="633">
        <f>+SUM(B43:F43)</f>
        <v>36668140.080000006</v>
      </c>
      <c r="H43" s="675"/>
      <c r="I43" s="682">
        <f>+G43+H43</f>
        <v>36668140.080000006</v>
      </c>
      <c r="J43" s="682"/>
      <c r="K43" s="682"/>
      <c r="L43" s="682"/>
      <c r="M43" s="682"/>
      <c r="N43" s="635">
        <f>+I43+J43+L43+M43</f>
        <v>36668140.080000006</v>
      </c>
      <c r="O43" s="682">
        <v>9167034</v>
      </c>
      <c r="P43" s="682">
        <v>9167034</v>
      </c>
      <c r="Q43" s="682">
        <v>9167034</v>
      </c>
      <c r="R43" s="683">
        <v>9167034</v>
      </c>
      <c r="S43" s="682">
        <f t="shared" si="7"/>
        <v>36668136</v>
      </c>
      <c r="T43" s="637">
        <f t="shared" si="1"/>
        <v>0.9999998887317437</v>
      </c>
      <c r="U43" s="665"/>
      <c r="V43" s="665"/>
      <c r="W43" s="665"/>
      <c r="X43" s="665"/>
      <c r="Y43" s="665"/>
      <c r="Z43" s="644"/>
    </row>
    <row r="44" spans="1:26" s="680" customFormat="1" ht="15" hidden="1" outlineLevel="1">
      <c r="A44" s="681" t="s">
        <v>411</v>
      </c>
      <c r="B44" s="633">
        <v>15000000</v>
      </c>
      <c r="C44" s="675"/>
      <c r="D44" s="675"/>
      <c r="E44" s="675"/>
      <c r="F44" s="675"/>
      <c r="G44" s="633">
        <f>+SUM(B44:F44)</f>
        <v>15000000</v>
      </c>
      <c r="H44" s="675"/>
      <c r="I44" s="682">
        <f>+G44+H44</f>
        <v>15000000</v>
      </c>
      <c r="J44" s="682"/>
      <c r="K44" s="682"/>
      <c r="L44" s="682"/>
      <c r="M44" s="682"/>
      <c r="N44" s="635">
        <f>+I44+J44+L44+M44-2426534</f>
        <v>12573466</v>
      </c>
      <c r="O44" s="682">
        <v>0</v>
      </c>
      <c r="P44" s="682">
        <v>0</v>
      </c>
      <c r="Q44" s="682">
        <v>0</v>
      </c>
      <c r="R44" s="683">
        <v>0</v>
      </c>
      <c r="S44" s="682">
        <f t="shared" si="7"/>
        <v>0</v>
      </c>
      <c r="T44" s="637">
        <f>+S44/N44</f>
        <v>0</v>
      </c>
      <c r="U44" s="665"/>
      <c r="V44" s="665"/>
      <c r="W44" s="665"/>
      <c r="X44" s="665"/>
      <c r="Y44" s="665"/>
      <c r="Z44" s="644"/>
    </row>
    <row r="45" spans="1:26" s="680" customFormat="1" ht="15" hidden="1" outlineLevel="1">
      <c r="A45" s="681" t="s">
        <v>90</v>
      </c>
      <c r="B45" s="633">
        <v>15000000</v>
      </c>
      <c r="C45" s="675"/>
      <c r="D45" s="675"/>
      <c r="E45" s="675"/>
      <c r="F45" s="675"/>
      <c r="G45" s="633">
        <f>+SUM(B45:F45)</f>
        <v>15000000</v>
      </c>
      <c r="H45" s="675"/>
      <c r="I45" s="682">
        <f>+G45+H45</f>
        <v>15000000</v>
      </c>
      <c r="J45" s="682"/>
      <c r="K45" s="682"/>
      <c r="L45" s="682"/>
      <c r="M45" s="682"/>
      <c r="N45" s="635">
        <f>+I45+J45+L45+M45+2426534</f>
        <v>17426534</v>
      </c>
      <c r="O45" s="682">
        <v>2850150</v>
      </c>
      <c r="P45" s="682">
        <v>10362307</v>
      </c>
      <c r="Q45" s="682">
        <v>556600</v>
      </c>
      <c r="R45" s="683">
        <v>0</v>
      </c>
      <c r="S45" s="682">
        <f t="shared" si="7"/>
        <v>13769057</v>
      </c>
      <c r="T45" s="637">
        <f t="shared" si="1"/>
        <v>0.7901202270055537</v>
      </c>
      <c r="U45" s="665"/>
      <c r="V45" s="665"/>
      <c r="W45" s="665"/>
      <c r="X45" s="665"/>
      <c r="Y45" s="665"/>
      <c r="Z45" s="644"/>
    </row>
    <row r="46" spans="1:26" s="680" customFormat="1" ht="15" hidden="1" outlineLevel="1">
      <c r="A46" s="681" t="s">
        <v>188</v>
      </c>
      <c r="B46" s="633">
        <v>66056457.1532</v>
      </c>
      <c r="C46" s="675"/>
      <c r="D46" s="675"/>
      <c r="E46" s="675"/>
      <c r="F46" s="675"/>
      <c r="G46" s="633">
        <f>+SUM(B46:F46)</f>
        <v>66056457.1532</v>
      </c>
      <c r="H46" s="675"/>
      <c r="I46" s="682">
        <f>+G46+H46</f>
        <v>66056457.1532</v>
      </c>
      <c r="J46" s="682"/>
      <c r="K46" s="682"/>
      <c r="L46" s="682"/>
      <c r="M46" s="682"/>
      <c r="N46" s="635">
        <f>+I46+J46+L46+M46</f>
        <v>66056457.1532</v>
      </c>
      <c r="O46" s="682">
        <v>11459771</v>
      </c>
      <c r="P46" s="682">
        <v>16573309</v>
      </c>
      <c r="Q46" s="682">
        <v>17634331</v>
      </c>
      <c r="R46" s="683">
        <v>18910813</v>
      </c>
      <c r="S46" s="682">
        <f t="shared" si="7"/>
        <v>64578224</v>
      </c>
      <c r="T46" s="637">
        <f t="shared" si="1"/>
        <v>0.9776216706601197</v>
      </c>
      <c r="U46" s="665"/>
      <c r="V46" s="665"/>
      <c r="W46" s="665"/>
      <c r="X46" s="665"/>
      <c r="Y46" s="665"/>
      <c r="Z46" s="644"/>
    </row>
    <row r="47" spans="1:26" s="680" customFormat="1" ht="15" hidden="1" outlineLevel="1">
      <c r="A47" s="684" t="s">
        <v>517</v>
      </c>
      <c r="B47" s="633"/>
      <c r="C47" s="675"/>
      <c r="D47" s="675"/>
      <c r="E47" s="675"/>
      <c r="F47" s="675"/>
      <c r="G47" s="633"/>
      <c r="H47" s="675"/>
      <c r="I47" s="682"/>
      <c r="J47" s="682"/>
      <c r="K47" s="685"/>
      <c r="L47" s="685"/>
      <c r="M47" s="685"/>
      <c r="N47" s="682">
        <v>0</v>
      </c>
      <c r="O47" s="682"/>
      <c r="P47" s="682">
        <v>0</v>
      </c>
      <c r="Q47" s="682">
        <v>0</v>
      </c>
      <c r="R47" s="683">
        <v>0</v>
      </c>
      <c r="S47" s="682">
        <f t="shared" si="7"/>
        <v>0</v>
      </c>
      <c r="T47" s="637">
        <f>_xlfn.IFERROR(S47/N47,0)</f>
        <v>0</v>
      </c>
      <c r="U47" s="686"/>
      <c r="V47" s="686"/>
      <c r="W47" s="686"/>
      <c r="X47" s="686"/>
      <c r="Y47" s="686"/>
      <c r="Z47" s="644"/>
    </row>
    <row r="48" spans="1:26" s="680" customFormat="1" ht="15" collapsed="1">
      <c r="A48" s="684"/>
      <c r="B48" s="634"/>
      <c r="C48" s="687"/>
      <c r="D48" s="687"/>
      <c r="E48" s="687"/>
      <c r="F48" s="687"/>
      <c r="G48" s="634"/>
      <c r="H48" s="687"/>
      <c r="I48" s="620"/>
      <c r="J48" s="662"/>
      <c r="K48" s="688"/>
      <c r="L48" s="688"/>
      <c r="M48" s="688"/>
      <c r="N48" s="623"/>
      <c r="O48" s="623"/>
      <c r="P48" s="623"/>
      <c r="Q48" s="623"/>
      <c r="R48" s="649"/>
      <c r="S48" s="623"/>
      <c r="T48" s="627"/>
      <c r="U48" s="686"/>
      <c r="V48" s="686"/>
      <c r="W48" s="686"/>
      <c r="X48" s="686"/>
      <c r="Y48" s="686"/>
      <c r="Z48" s="644"/>
    </row>
    <row r="49" spans="1:26" s="673" customFormat="1" ht="15">
      <c r="A49" s="666" t="s">
        <v>413</v>
      </c>
      <c r="B49" s="667"/>
      <c r="C49" s="667"/>
      <c r="D49" s="667"/>
      <c r="E49" s="667"/>
      <c r="F49" s="667">
        <f>+F50+F58+F65+F73</f>
        <v>3787724314.0648</v>
      </c>
      <c r="G49" s="667">
        <f>+F49+E49+C49+B49</f>
        <v>3787724314.0648</v>
      </c>
      <c r="H49" s="667"/>
      <c r="I49" s="668">
        <f>+H49+G49</f>
        <v>3787724314.0648</v>
      </c>
      <c r="J49" s="668">
        <f>+J50+J58+J65+J73</f>
        <v>464000000</v>
      </c>
      <c r="K49" s="668"/>
      <c r="L49" s="668">
        <f>+L50+L58+L65+L73</f>
        <v>0</v>
      </c>
      <c r="M49" s="669">
        <f>+M50+M58+M65+M73</f>
        <v>0</v>
      </c>
      <c r="N49" s="670">
        <f>+I49+J49+L49+M49</f>
        <v>4251724314.0648</v>
      </c>
      <c r="O49" s="670">
        <f>+O50+O58+O65+O73</f>
        <v>709154934</v>
      </c>
      <c r="P49" s="670">
        <f>+P50+P58+P65+P73</f>
        <v>643804627</v>
      </c>
      <c r="Q49" s="670">
        <f>+Q50+Q58+Q65+Q73</f>
        <v>1810157186</v>
      </c>
      <c r="R49" s="670">
        <f>+R50+R58+R65+R73</f>
        <v>1059860675</v>
      </c>
      <c r="S49" s="670">
        <f>SUM(O49:R49)</f>
        <v>4222977422</v>
      </c>
      <c r="T49" s="672">
        <f t="shared" si="1"/>
        <v>0.9932387685698002</v>
      </c>
      <c r="U49" s="686"/>
      <c r="V49" s="686"/>
      <c r="W49" s="686"/>
      <c r="X49" s="686"/>
      <c r="Y49" s="686"/>
      <c r="Z49" s="644"/>
    </row>
    <row r="50" spans="1:26" ht="18.75" customHeight="1">
      <c r="A50" s="674" t="s">
        <v>414</v>
      </c>
      <c r="B50" s="689"/>
      <c r="C50" s="633"/>
      <c r="D50" s="633"/>
      <c r="E50" s="633"/>
      <c r="F50" s="647">
        <f>SUM(F51:F57)</f>
        <v>306054513.0357</v>
      </c>
      <c r="G50" s="647">
        <f>+G51+G52+G53+G54+G55+G56+G57</f>
        <v>306054513.0357</v>
      </c>
      <c r="H50" s="654"/>
      <c r="I50" s="676">
        <f>+I51+I52+I53+I54+I55+I56+I57</f>
        <v>306054513.0357</v>
      </c>
      <c r="J50" s="676"/>
      <c r="K50" s="677"/>
      <c r="L50" s="677"/>
      <c r="M50" s="623">
        <f>SUM(M51:M57)</f>
        <v>0</v>
      </c>
      <c r="N50" s="678">
        <f>+I50+J50+L50+M50</f>
        <v>306054513.0357</v>
      </c>
      <c r="O50" s="678">
        <f>SUM(O51:O57)</f>
        <v>9186500</v>
      </c>
      <c r="P50" s="678">
        <f>SUM(P51:P57)</f>
        <v>51109860</v>
      </c>
      <c r="Q50" s="678">
        <f>+Q51+Q52+Q53+Q54+Q55+Q56+Q57</f>
        <v>47680000</v>
      </c>
      <c r="R50" s="690">
        <f>SUM(R51:R57)</f>
        <v>192025305</v>
      </c>
      <c r="S50" s="678">
        <f>SUM(O50:R50)</f>
        <v>300001665</v>
      </c>
      <c r="T50" s="679">
        <f t="shared" si="1"/>
        <v>0.9802229740850318</v>
      </c>
      <c r="U50" s="665"/>
      <c r="V50" s="665"/>
      <c r="W50" s="665"/>
      <c r="X50" s="665"/>
      <c r="Y50" s="665"/>
      <c r="Z50" s="644"/>
    </row>
    <row r="51" spans="1:26" ht="16.5" customHeight="1" hidden="1" outlineLevel="1">
      <c r="A51" s="691" t="s">
        <v>415</v>
      </c>
      <c r="B51" s="689"/>
      <c r="C51" s="633"/>
      <c r="D51" s="633"/>
      <c r="E51" s="633"/>
      <c r="F51" s="633">
        <v>35794130.8087</v>
      </c>
      <c r="G51" s="633">
        <f aca="true" t="shared" si="15" ref="G51:G57">+F51+E51+C51+B51</f>
        <v>35794130.8087</v>
      </c>
      <c r="H51" s="654"/>
      <c r="I51" s="682">
        <f aca="true" t="shared" si="16" ref="I51:I57">+H51+G51</f>
        <v>35794130.8087</v>
      </c>
      <c r="J51" s="682"/>
      <c r="K51" s="682"/>
      <c r="L51" s="682"/>
      <c r="M51" s="682"/>
      <c r="N51" s="682">
        <f>+I51+J51+L51+M51</f>
        <v>35794130.8087</v>
      </c>
      <c r="O51" s="682">
        <v>0</v>
      </c>
      <c r="P51" s="682">
        <v>0</v>
      </c>
      <c r="Q51" s="682">
        <v>0</v>
      </c>
      <c r="R51" s="683">
        <v>35794120</v>
      </c>
      <c r="S51" s="682">
        <f>SUM(O51:R51)</f>
        <v>35794120</v>
      </c>
      <c r="T51" s="637">
        <f>+S51/N51</f>
        <v>0.9999996980314996</v>
      </c>
      <c r="U51" s="665"/>
      <c r="V51" s="665"/>
      <c r="W51" s="665"/>
      <c r="X51" s="665"/>
      <c r="Y51" s="665"/>
      <c r="Z51" s="644"/>
    </row>
    <row r="52" spans="1:26" ht="15" customHeight="1" hidden="1" outlineLevel="1">
      <c r="A52" s="691" t="s">
        <v>416</v>
      </c>
      <c r="B52" s="689"/>
      <c r="C52" s="633"/>
      <c r="D52" s="633"/>
      <c r="E52" s="633"/>
      <c r="F52" s="633">
        <v>58875228.995000005</v>
      </c>
      <c r="G52" s="633">
        <f t="shared" si="15"/>
        <v>58875228.995000005</v>
      </c>
      <c r="H52" s="654"/>
      <c r="I52" s="682">
        <f t="shared" si="16"/>
        <v>58875228.995000005</v>
      </c>
      <c r="J52" s="682"/>
      <c r="K52" s="682"/>
      <c r="L52" s="682"/>
      <c r="M52" s="682"/>
      <c r="N52" s="682">
        <f>+I52+J52+L52+M52+7100000</f>
        <v>65975228.995000005</v>
      </c>
      <c r="O52" s="682">
        <v>7200000</v>
      </c>
      <c r="P52" s="682">
        <v>0</v>
      </c>
      <c r="Q52" s="682">
        <v>0</v>
      </c>
      <c r="R52" s="683">
        <v>58744685</v>
      </c>
      <c r="S52" s="682">
        <f>SUM(O52:R52)</f>
        <v>65944685</v>
      </c>
      <c r="T52" s="637">
        <f t="shared" si="1"/>
        <v>0.9995370384390433</v>
      </c>
      <c r="U52" s="665"/>
      <c r="V52" s="665"/>
      <c r="W52" s="665"/>
      <c r="X52" s="665"/>
      <c r="Y52" s="665"/>
      <c r="Z52" s="644"/>
    </row>
    <row r="53" spans="1:26" ht="15.75" customHeight="1" hidden="1" outlineLevel="1">
      <c r="A53" s="691" t="s">
        <v>417</v>
      </c>
      <c r="B53" s="689"/>
      <c r="C53" s="633"/>
      <c r="D53" s="633"/>
      <c r="E53" s="633"/>
      <c r="F53" s="633">
        <v>18000000</v>
      </c>
      <c r="G53" s="633">
        <f t="shared" si="15"/>
        <v>18000000</v>
      </c>
      <c r="H53" s="654"/>
      <c r="I53" s="682">
        <f t="shared" si="16"/>
        <v>18000000</v>
      </c>
      <c r="J53" s="682"/>
      <c r="K53" s="682"/>
      <c r="L53" s="682"/>
      <c r="M53" s="682"/>
      <c r="N53" s="682">
        <f>+I53+J53+L53+M53</f>
        <v>18000000</v>
      </c>
      <c r="O53" s="682">
        <v>0</v>
      </c>
      <c r="P53" s="682">
        <v>18000000</v>
      </c>
      <c r="Q53" s="682">
        <v>0</v>
      </c>
      <c r="R53" s="683">
        <v>0</v>
      </c>
      <c r="S53" s="682">
        <f t="shared" si="7"/>
        <v>18000000</v>
      </c>
      <c r="T53" s="637">
        <f t="shared" si="1"/>
        <v>1</v>
      </c>
      <c r="U53" s="665"/>
      <c r="V53" s="665"/>
      <c r="W53" s="665"/>
      <c r="X53" s="665"/>
      <c r="Y53" s="665"/>
      <c r="Z53" s="644"/>
    </row>
    <row r="54" spans="1:26" ht="15" customHeight="1" hidden="1" outlineLevel="1">
      <c r="A54" s="691" t="s">
        <v>198</v>
      </c>
      <c r="B54" s="689"/>
      <c r="C54" s="633"/>
      <c r="D54" s="633"/>
      <c r="E54" s="633"/>
      <c r="F54" s="633">
        <v>13385153.232000003</v>
      </c>
      <c r="G54" s="633">
        <f t="shared" si="15"/>
        <v>13385153.232000003</v>
      </c>
      <c r="H54" s="654"/>
      <c r="I54" s="682">
        <f t="shared" si="16"/>
        <v>13385153.232000003</v>
      </c>
      <c r="J54" s="682"/>
      <c r="K54" s="682"/>
      <c r="L54" s="682"/>
      <c r="M54" s="682"/>
      <c r="N54" s="682">
        <f>+I54+J54+L54+M54</f>
        <v>13385153.232000003</v>
      </c>
      <c r="O54" s="682">
        <v>1986500</v>
      </c>
      <c r="P54" s="682">
        <v>5959500</v>
      </c>
      <c r="Q54" s="682">
        <v>0</v>
      </c>
      <c r="R54" s="683">
        <v>1986500</v>
      </c>
      <c r="S54" s="682">
        <f aca="true" t="shared" si="17" ref="S54:S60">SUM(O54:R54)</f>
        <v>9932500</v>
      </c>
      <c r="T54" s="637">
        <f t="shared" si="1"/>
        <v>0.7420535146549003</v>
      </c>
      <c r="U54" s="665"/>
      <c r="V54" s="665"/>
      <c r="W54" s="665"/>
      <c r="X54" s="665"/>
      <c r="Y54" s="665"/>
      <c r="Z54" s="644"/>
    </row>
    <row r="55" spans="1:26" ht="15.75" customHeight="1" hidden="1" outlineLevel="1">
      <c r="A55" s="691" t="s">
        <v>418</v>
      </c>
      <c r="B55" s="689"/>
      <c r="C55" s="633"/>
      <c r="D55" s="633"/>
      <c r="E55" s="633"/>
      <c r="F55" s="633">
        <v>100000000</v>
      </c>
      <c r="G55" s="633">
        <f t="shared" si="15"/>
        <v>100000000</v>
      </c>
      <c r="H55" s="654"/>
      <c r="I55" s="682">
        <f t="shared" si="16"/>
        <v>100000000</v>
      </c>
      <c r="J55" s="682"/>
      <c r="K55" s="682"/>
      <c r="L55" s="682"/>
      <c r="M55" s="682"/>
      <c r="N55" s="682">
        <f>+I55+J55+L55+M55-7100000</f>
        <v>92900000</v>
      </c>
      <c r="O55" s="682">
        <v>0</v>
      </c>
      <c r="P55" s="682">
        <v>24830360</v>
      </c>
      <c r="Q55" s="682">
        <v>0</v>
      </c>
      <c r="R55" s="683">
        <v>65500000</v>
      </c>
      <c r="S55" s="682">
        <f t="shared" si="17"/>
        <v>90330360</v>
      </c>
      <c r="T55" s="637">
        <f t="shared" si="1"/>
        <v>0.9723397201291711</v>
      </c>
      <c r="U55" s="665"/>
      <c r="V55" s="665"/>
      <c r="W55" s="665"/>
      <c r="X55" s="665"/>
      <c r="Y55" s="665"/>
      <c r="Z55" s="644"/>
    </row>
    <row r="56" spans="1:26" ht="15" customHeight="1" hidden="1" outlineLevel="1">
      <c r="A56" s="691" t="s">
        <v>419</v>
      </c>
      <c r="B56" s="689"/>
      <c r="C56" s="633"/>
      <c r="D56" s="633"/>
      <c r="E56" s="633"/>
      <c r="F56" s="633">
        <v>55000000</v>
      </c>
      <c r="G56" s="633">
        <f t="shared" si="15"/>
        <v>55000000</v>
      </c>
      <c r="H56" s="654"/>
      <c r="I56" s="682">
        <f t="shared" si="16"/>
        <v>55000000</v>
      </c>
      <c r="J56" s="682"/>
      <c r="K56" s="682"/>
      <c r="L56" s="682"/>
      <c r="M56" s="682"/>
      <c r="N56" s="682">
        <f aca="true" t="shared" si="18" ref="N56:N61">+I56+J56+L56+M56</f>
        <v>55000000</v>
      </c>
      <c r="O56" s="682">
        <v>0</v>
      </c>
      <c r="P56" s="682">
        <v>2320000</v>
      </c>
      <c r="Q56" s="682">
        <v>32680000</v>
      </c>
      <c r="R56" s="683">
        <v>20000000</v>
      </c>
      <c r="S56" s="682">
        <f t="shared" si="17"/>
        <v>55000000</v>
      </c>
      <c r="T56" s="637">
        <f t="shared" si="1"/>
        <v>1</v>
      </c>
      <c r="U56" s="665"/>
      <c r="V56" s="665"/>
      <c r="W56" s="665"/>
      <c r="X56" s="665"/>
      <c r="Y56" s="665"/>
      <c r="Z56" s="644"/>
    </row>
    <row r="57" spans="1:26" ht="16.5" customHeight="1" hidden="1" outlineLevel="1">
      <c r="A57" s="691" t="s">
        <v>420</v>
      </c>
      <c r="B57" s="689"/>
      <c r="C57" s="633"/>
      <c r="D57" s="633"/>
      <c r="E57" s="633"/>
      <c r="F57" s="633">
        <v>25000000</v>
      </c>
      <c r="G57" s="633">
        <f t="shared" si="15"/>
        <v>25000000</v>
      </c>
      <c r="H57" s="654"/>
      <c r="I57" s="682">
        <f t="shared" si="16"/>
        <v>25000000</v>
      </c>
      <c r="J57" s="682"/>
      <c r="K57" s="682"/>
      <c r="L57" s="682"/>
      <c r="M57" s="682"/>
      <c r="N57" s="682">
        <f t="shared" si="18"/>
        <v>25000000</v>
      </c>
      <c r="O57" s="682">
        <v>0</v>
      </c>
      <c r="P57" s="682">
        <v>0</v>
      </c>
      <c r="Q57" s="682">
        <v>15000000</v>
      </c>
      <c r="R57" s="683">
        <v>10000000</v>
      </c>
      <c r="S57" s="682">
        <f t="shared" si="17"/>
        <v>25000000</v>
      </c>
      <c r="T57" s="637">
        <f t="shared" si="1"/>
        <v>1</v>
      </c>
      <c r="U57" s="686"/>
      <c r="V57" s="686"/>
      <c r="W57" s="686"/>
      <c r="X57" s="686"/>
      <c r="Y57" s="686"/>
      <c r="Z57" s="644"/>
    </row>
    <row r="58" spans="1:26" ht="15" collapsed="1">
      <c r="A58" s="692" t="s">
        <v>421</v>
      </c>
      <c r="B58" s="689"/>
      <c r="C58" s="633"/>
      <c r="D58" s="633"/>
      <c r="E58" s="633"/>
      <c r="F58" s="647">
        <f>SUM(F59:F64)</f>
        <v>703431080.0963</v>
      </c>
      <c r="G58" s="647">
        <f>+G59+G60+G61+G63+G64+G62</f>
        <v>703431080.0963</v>
      </c>
      <c r="H58" s="654"/>
      <c r="I58" s="676">
        <f>+I59+I60+I61+I63+I64+I62</f>
        <v>703431080.0963</v>
      </c>
      <c r="J58" s="676"/>
      <c r="K58" s="677"/>
      <c r="L58" s="677"/>
      <c r="M58" s="623">
        <f>SUM(M59:M64)</f>
        <v>0</v>
      </c>
      <c r="N58" s="678">
        <f t="shared" si="18"/>
        <v>703431080.0963</v>
      </c>
      <c r="O58" s="678">
        <f>SUM(O59:O64)</f>
        <v>153841094</v>
      </c>
      <c r="P58" s="678">
        <f>SUM(P59:P64)</f>
        <v>155850791</v>
      </c>
      <c r="Q58" s="678">
        <f>SUM(Q59:Q64)</f>
        <v>222608404</v>
      </c>
      <c r="R58" s="690">
        <f>SUM(R59:R64)</f>
        <v>157423154</v>
      </c>
      <c r="S58" s="678">
        <f t="shared" si="17"/>
        <v>689723443</v>
      </c>
      <c r="T58" s="627">
        <f t="shared" si="1"/>
        <v>0.9805131767927806</v>
      </c>
      <c r="U58" s="665"/>
      <c r="V58" s="665"/>
      <c r="W58" s="665"/>
      <c r="X58" s="665"/>
      <c r="Y58" s="665"/>
      <c r="Z58" s="644"/>
    </row>
    <row r="59" spans="1:26" ht="15" hidden="1" outlineLevel="1">
      <c r="A59" s="691" t="s">
        <v>422</v>
      </c>
      <c r="B59" s="689"/>
      <c r="C59" s="633"/>
      <c r="D59" s="633"/>
      <c r="E59" s="633"/>
      <c r="F59" s="633">
        <v>224796853.38660002</v>
      </c>
      <c r="G59" s="633">
        <f aca="true" t="shared" si="19" ref="G59:G64">+F59+E59+C59+B59</f>
        <v>224796853.38660002</v>
      </c>
      <c r="H59" s="654"/>
      <c r="I59" s="682">
        <f aca="true" t="shared" si="20" ref="I59:I64">+H59+G59</f>
        <v>224796853.38660002</v>
      </c>
      <c r="J59" s="682"/>
      <c r="K59" s="682"/>
      <c r="L59" s="682"/>
      <c r="M59" s="682"/>
      <c r="N59" s="682">
        <f t="shared" si="18"/>
        <v>224796853.38660002</v>
      </c>
      <c r="O59" s="682">
        <v>47954176</v>
      </c>
      <c r="P59" s="682">
        <v>61308225</v>
      </c>
      <c r="Q59" s="682">
        <v>59647261</v>
      </c>
      <c r="R59" s="683">
        <v>49429225</v>
      </c>
      <c r="S59" s="682">
        <f t="shared" si="17"/>
        <v>218338887</v>
      </c>
      <c r="T59" s="637">
        <f t="shared" si="1"/>
        <v>0.9712719894014986</v>
      </c>
      <c r="U59" s="665"/>
      <c r="V59" s="665"/>
      <c r="W59" s="665"/>
      <c r="X59" s="665"/>
      <c r="Y59" s="665"/>
      <c r="Z59" s="644"/>
    </row>
    <row r="60" spans="1:26" ht="15" hidden="1" outlineLevel="1">
      <c r="A60" s="691" t="s">
        <v>423</v>
      </c>
      <c r="B60" s="689"/>
      <c r="C60" s="633"/>
      <c r="D60" s="633"/>
      <c r="E60" s="633"/>
      <c r="F60" s="633">
        <v>166366726.70970002</v>
      </c>
      <c r="G60" s="633">
        <f t="shared" si="19"/>
        <v>166366726.70970002</v>
      </c>
      <c r="H60" s="654"/>
      <c r="I60" s="682">
        <f t="shared" si="20"/>
        <v>166366726.70970002</v>
      </c>
      <c r="J60" s="682"/>
      <c r="K60" s="682"/>
      <c r="L60" s="682"/>
      <c r="M60" s="682"/>
      <c r="N60" s="682">
        <f t="shared" si="18"/>
        <v>166366726.70970002</v>
      </c>
      <c r="O60" s="682">
        <v>34634960</v>
      </c>
      <c r="P60" s="682">
        <v>42976514</v>
      </c>
      <c r="Q60" s="682">
        <v>44957815</v>
      </c>
      <c r="R60" s="683">
        <v>39146321</v>
      </c>
      <c r="S60" s="682">
        <f t="shared" si="17"/>
        <v>161715610</v>
      </c>
      <c r="T60" s="637">
        <f t="shared" si="1"/>
        <v>0.9720429871904859</v>
      </c>
      <c r="U60" s="665"/>
      <c r="V60" s="665"/>
      <c r="W60" s="665"/>
      <c r="X60" s="665"/>
      <c r="Y60" s="665"/>
      <c r="Z60" s="644"/>
    </row>
    <row r="61" spans="1:26" ht="15" hidden="1" outlineLevel="1">
      <c r="A61" s="691" t="s">
        <v>424</v>
      </c>
      <c r="B61" s="689"/>
      <c r="C61" s="633"/>
      <c r="D61" s="633"/>
      <c r="E61" s="633"/>
      <c r="F61" s="633">
        <v>132757500</v>
      </c>
      <c r="G61" s="633">
        <f t="shared" si="19"/>
        <v>132757500</v>
      </c>
      <c r="H61" s="654"/>
      <c r="I61" s="682">
        <f t="shared" si="20"/>
        <v>132757500</v>
      </c>
      <c r="J61" s="682"/>
      <c r="K61" s="682"/>
      <c r="L61" s="682"/>
      <c r="M61" s="682"/>
      <c r="N61" s="682">
        <f t="shared" si="18"/>
        <v>132757500</v>
      </c>
      <c r="O61" s="682">
        <v>48190849</v>
      </c>
      <c r="P61" s="682">
        <v>29054594</v>
      </c>
      <c r="Q61" s="682">
        <v>21461955</v>
      </c>
      <c r="R61" s="683">
        <v>32641073</v>
      </c>
      <c r="S61" s="682">
        <f t="shared" si="7"/>
        <v>131348471</v>
      </c>
      <c r="T61" s="637">
        <f t="shared" si="1"/>
        <v>0.9893864452102518</v>
      </c>
      <c r="U61" s="665"/>
      <c r="V61" s="665"/>
      <c r="W61" s="665"/>
      <c r="X61" s="665"/>
      <c r="Y61" s="665"/>
      <c r="Z61" s="644"/>
    </row>
    <row r="62" spans="1:26" ht="15" hidden="1" outlineLevel="1">
      <c r="A62" s="691" t="s">
        <v>425</v>
      </c>
      <c r="B62" s="689"/>
      <c r="C62" s="633"/>
      <c r="D62" s="633"/>
      <c r="E62" s="633"/>
      <c r="F62" s="633">
        <v>130100000</v>
      </c>
      <c r="G62" s="633">
        <f t="shared" si="19"/>
        <v>130100000</v>
      </c>
      <c r="H62" s="654"/>
      <c r="I62" s="682">
        <f t="shared" si="20"/>
        <v>130100000</v>
      </c>
      <c r="J62" s="682"/>
      <c r="K62" s="682"/>
      <c r="L62" s="682"/>
      <c r="M62" s="682"/>
      <c r="N62" s="682">
        <f>+I62+J62+L62+M62+27000000</f>
        <v>157100000</v>
      </c>
      <c r="O62" s="682">
        <v>6500000</v>
      </c>
      <c r="P62" s="682">
        <v>20000000</v>
      </c>
      <c r="Q62" s="682">
        <v>94626801</v>
      </c>
      <c r="R62" s="683">
        <v>35719535</v>
      </c>
      <c r="S62" s="682">
        <f t="shared" si="7"/>
        <v>156846336</v>
      </c>
      <c r="T62" s="637">
        <f t="shared" si="1"/>
        <v>0.9983853341820497</v>
      </c>
      <c r="U62" s="665"/>
      <c r="V62" s="665"/>
      <c r="W62" s="665"/>
      <c r="X62" s="665"/>
      <c r="Y62" s="665"/>
      <c r="Z62" s="644"/>
    </row>
    <row r="63" spans="1:26" ht="15" hidden="1" outlineLevel="1">
      <c r="A63" s="691" t="s">
        <v>426</v>
      </c>
      <c r="B63" s="689"/>
      <c r="C63" s="633"/>
      <c r="D63" s="633"/>
      <c r="E63" s="633"/>
      <c r="F63" s="633">
        <v>17010000</v>
      </c>
      <c r="G63" s="633">
        <f t="shared" si="19"/>
        <v>17010000</v>
      </c>
      <c r="H63" s="654"/>
      <c r="I63" s="682">
        <f t="shared" si="20"/>
        <v>17010000</v>
      </c>
      <c r="J63" s="682"/>
      <c r="K63" s="682"/>
      <c r="L63" s="682"/>
      <c r="M63" s="682"/>
      <c r="N63" s="682">
        <f>+I63+J63+L63+M63</f>
        <v>17010000</v>
      </c>
      <c r="O63" s="682">
        <v>16561109</v>
      </c>
      <c r="P63" s="682">
        <v>0</v>
      </c>
      <c r="Q63" s="682">
        <v>0</v>
      </c>
      <c r="R63" s="683">
        <v>0</v>
      </c>
      <c r="S63" s="682">
        <f t="shared" si="7"/>
        <v>16561109</v>
      </c>
      <c r="T63" s="637">
        <f t="shared" si="1"/>
        <v>0.9736101704879483</v>
      </c>
      <c r="U63" s="665"/>
      <c r="V63" s="665"/>
      <c r="W63" s="665"/>
      <c r="X63" s="665"/>
      <c r="Y63" s="665"/>
      <c r="Z63" s="644"/>
    </row>
    <row r="64" spans="1:26" ht="15" hidden="1" outlineLevel="1">
      <c r="A64" s="691" t="s">
        <v>427</v>
      </c>
      <c r="B64" s="689"/>
      <c r="C64" s="633"/>
      <c r="D64" s="633"/>
      <c r="E64" s="633"/>
      <c r="F64" s="633">
        <v>32400000</v>
      </c>
      <c r="G64" s="633">
        <f t="shared" si="19"/>
        <v>32400000</v>
      </c>
      <c r="H64" s="654"/>
      <c r="I64" s="682">
        <f t="shared" si="20"/>
        <v>32400000</v>
      </c>
      <c r="J64" s="682"/>
      <c r="K64" s="682"/>
      <c r="L64" s="682"/>
      <c r="M64" s="682"/>
      <c r="N64" s="682">
        <f>+I64+J64+L64+M64-27000000</f>
        <v>5400000</v>
      </c>
      <c r="O64" s="682">
        <v>0</v>
      </c>
      <c r="P64" s="682">
        <v>2511458</v>
      </c>
      <c r="Q64" s="682">
        <v>1914572</v>
      </c>
      <c r="R64" s="683">
        <v>487000</v>
      </c>
      <c r="S64" s="682">
        <f t="shared" si="7"/>
        <v>4913030</v>
      </c>
      <c r="T64" s="637">
        <f t="shared" si="1"/>
        <v>0.9098203703703703</v>
      </c>
      <c r="U64" s="686"/>
      <c r="V64" s="686"/>
      <c r="W64" s="686"/>
      <c r="X64" s="686"/>
      <c r="Y64" s="686"/>
      <c r="Z64" s="644"/>
    </row>
    <row r="65" spans="1:26" ht="15" collapsed="1">
      <c r="A65" s="692" t="s">
        <v>119</v>
      </c>
      <c r="B65" s="689"/>
      <c r="C65" s="633"/>
      <c r="D65" s="633"/>
      <c r="E65" s="633"/>
      <c r="F65" s="647">
        <f>SUM(F66:F72)</f>
        <v>2587991615.16</v>
      </c>
      <c r="G65" s="647">
        <f>+G66+G67+G68+G69+G70+G71+G72</f>
        <v>2587991615.16</v>
      </c>
      <c r="H65" s="654"/>
      <c r="I65" s="676">
        <f>+I66+I67+I68+I69+I70+I71+I72</f>
        <v>2587991615.16</v>
      </c>
      <c r="J65" s="676">
        <f>+J66+J67+J68+J69+J70+J71+J72</f>
        <v>464000000</v>
      </c>
      <c r="K65" s="677"/>
      <c r="L65" s="677"/>
      <c r="M65" s="623">
        <f>SUM(M66:M72)</f>
        <v>0</v>
      </c>
      <c r="N65" s="678">
        <f aca="true" t="shared" si="21" ref="N65:N76">+I65+J65+L65+M65</f>
        <v>3051991615.16</v>
      </c>
      <c r="O65" s="678">
        <f>SUM(O66:O72)</f>
        <v>541168452</v>
      </c>
      <c r="P65" s="678">
        <f>SUM(P66:P72)</f>
        <v>386926200</v>
      </c>
      <c r="Q65" s="678">
        <f>SUM(Q66:Q72)</f>
        <v>1477589894</v>
      </c>
      <c r="R65" s="690">
        <f>SUM(R66:R72)</f>
        <v>638618726</v>
      </c>
      <c r="S65" s="678">
        <f>SUM(O65:R65)</f>
        <v>3044303272</v>
      </c>
      <c r="T65" s="627">
        <f t="shared" si="1"/>
        <v>0.9974808767095525</v>
      </c>
      <c r="U65" s="665"/>
      <c r="V65" s="665"/>
      <c r="W65" s="665"/>
      <c r="X65" s="665"/>
      <c r="Y65" s="665"/>
      <c r="Z65" s="644"/>
    </row>
    <row r="66" spans="1:26" ht="15" customHeight="1" hidden="1" outlineLevel="1">
      <c r="A66" s="691" t="s">
        <v>428</v>
      </c>
      <c r="B66" s="689"/>
      <c r="C66" s="633"/>
      <c r="D66" s="633"/>
      <c r="E66" s="633"/>
      <c r="F66" s="633">
        <v>2159000000</v>
      </c>
      <c r="G66" s="633">
        <f aca="true" t="shared" si="22" ref="G66:G72">+F66+E66+C66+B66</f>
        <v>2159000000</v>
      </c>
      <c r="H66" s="654"/>
      <c r="I66" s="682">
        <f aca="true" t="shared" si="23" ref="I66:I72">+H66+G66</f>
        <v>2159000000</v>
      </c>
      <c r="J66" s="682">
        <v>464000000</v>
      </c>
      <c r="K66" s="682"/>
      <c r="L66" s="682"/>
      <c r="M66" s="682"/>
      <c r="N66" s="682">
        <f t="shared" si="21"/>
        <v>2623000000</v>
      </c>
      <c r="O66" s="682">
        <v>520908119</v>
      </c>
      <c r="P66" s="682">
        <v>274813885</v>
      </c>
      <c r="Q66" s="682">
        <v>1294381551</v>
      </c>
      <c r="R66" s="683">
        <v>528780889</v>
      </c>
      <c r="S66" s="682">
        <f t="shared" si="7"/>
        <v>2618884444</v>
      </c>
      <c r="T66" s="637">
        <f t="shared" si="1"/>
        <v>0.9984309736942433</v>
      </c>
      <c r="U66" s="665"/>
      <c r="V66" s="665"/>
      <c r="W66" s="665"/>
      <c r="X66" s="665"/>
      <c r="Y66" s="665"/>
      <c r="Z66" s="644"/>
    </row>
    <row r="67" spans="1:26" ht="15" customHeight="1" hidden="1" outlineLevel="1">
      <c r="A67" s="691" t="s">
        <v>429</v>
      </c>
      <c r="B67" s="689"/>
      <c r="C67" s="633"/>
      <c r="D67" s="633"/>
      <c r="E67" s="633"/>
      <c r="F67" s="633">
        <v>35000000</v>
      </c>
      <c r="G67" s="633">
        <f t="shared" si="22"/>
        <v>35000000</v>
      </c>
      <c r="H67" s="654"/>
      <c r="I67" s="682">
        <f t="shared" si="23"/>
        <v>35000000</v>
      </c>
      <c r="J67" s="682"/>
      <c r="K67" s="682"/>
      <c r="L67" s="682"/>
      <c r="M67" s="682"/>
      <c r="N67" s="682">
        <f t="shared" si="21"/>
        <v>35000000</v>
      </c>
      <c r="O67" s="682">
        <v>0</v>
      </c>
      <c r="P67" s="682">
        <v>0</v>
      </c>
      <c r="Q67" s="682">
        <v>24940427</v>
      </c>
      <c r="R67" s="683">
        <v>9976000</v>
      </c>
      <c r="S67" s="682">
        <f t="shared" si="7"/>
        <v>34916427</v>
      </c>
      <c r="T67" s="637">
        <f t="shared" si="1"/>
        <v>0.9976122</v>
      </c>
      <c r="U67" s="665"/>
      <c r="V67" s="665"/>
      <c r="W67" s="665"/>
      <c r="X67" s="665"/>
      <c r="Y67" s="665"/>
      <c r="Z67" s="644"/>
    </row>
    <row r="68" spans="1:26" ht="15" customHeight="1" hidden="1" outlineLevel="1">
      <c r="A68" s="691" t="s">
        <v>430</v>
      </c>
      <c r="B68" s="689"/>
      <c r="C68" s="633"/>
      <c r="D68" s="633"/>
      <c r="E68" s="633"/>
      <c r="F68" s="633">
        <v>47500000</v>
      </c>
      <c r="G68" s="633">
        <f t="shared" si="22"/>
        <v>47500000</v>
      </c>
      <c r="H68" s="654"/>
      <c r="I68" s="682">
        <f t="shared" si="23"/>
        <v>47500000</v>
      </c>
      <c r="J68" s="682"/>
      <c r="K68" s="682"/>
      <c r="L68" s="682"/>
      <c r="M68" s="682"/>
      <c r="N68" s="682">
        <f t="shared" si="21"/>
        <v>47500000</v>
      </c>
      <c r="O68" s="682">
        <v>4340170</v>
      </c>
      <c r="P68" s="682">
        <v>21223000</v>
      </c>
      <c r="Q68" s="682">
        <v>7946740</v>
      </c>
      <c r="R68" s="683">
        <v>13165760</v>
      </c>
      <c r="S68" s="682">
        <f t="shared" si="7"/>
        <v>46675670</v>
      </c>
      <c r="T68" s="637">
        <f t="shared" si="1"/>
        <v>0.9826456842105263</v>
      </c>
      <c r="U68" s="665"/>
      <c r="V68" s="665"/>
      <c r="W68" s="665"/>
      <c r="X68" s="665"/>
      <c r="Y68" s="665"/>
      <c r="Z68" s="644"/>
    </row>
    <row r="69" spans="1:26" ht="15" customHeight="1" hidden="1" outlineLevel="1">
      <c r="A69" s="691" t="s">
        <v>431</v>
      </c>
      <c r="B69" s="689"/>
      <c r="C69" s="633"/>
      <c r="D69" s="633"/>
      <c r="E69" s="633"/>
      <c r="F69" s="633">
        <v>76900000</v>
      </c>
      <c r="G69" s="633">
        <f t="shared" si="22"/>
        <v>76900000</v>
      </c>
      <c r="H69" s="654"/>
      <c r="I69" s="682">
        <f t="shared" si="23"/>
        <v>76900000</v>
      </c>
      <c r="J69" s="682"/>
      <c r="K69" s="682"/>
      <c r="L69" s="682"/>
      <c r="M69" s="682"/>
      <c r="N69" s="682">
        <f t="shared" si="21"/>
        <v>76900000</v>
      </c>
      <c r="O69" s="682">
        <v>6264590</v>
      </c>
      <c r="P69" s="682">
        <v>17840192</v>
      </c>
      <c r="Q69" s="682">
        <v>37286624</v>
      </c>
      <c r="R69" s="683">
        <v>15361214</v>
      </c>
      <c r="S69" s="682">
        <f t="shared" si="7"/>
        <v>76752620</v>
      </c>
      <c r="T69" s="637">
        <f t="shared" si="1"/>
        <v>0.9980834850455137</v>
      </c>
      <c r="U69" s="665"/>
      <c r="V69" s="665"/>
      <c r="W69" s="665"/>
      <c r="X69" s="665"/>
      <c r="Y69" s="665"/>
      <c r="Z69" s="644"/>
    </row>
    <row r="70" spans="1:26" ht="15" customHeight="1" hidden="1" outlineLevel="1">
      <c r="A70" s="691" t="s">
        <v>432</v>
      </c>
      <c r="B70" s="689"/>
      <c r="C70" s="633"/>
      <c r="D70" s="633"/>
      <c r="E70" s="633"/>
      <c r="F70" s="633">
        <v>150000000</v>
      </c>
      <c r="G70" s="633">
        <f t="shared" si="22"/>
        <v>150000000</v>
      </c>
      <c r="H70" s="654"/>
      <c r="I70" s="682">
        <f t="shared" si="23"/>
        <v>150000000</v>
      </c>
      <c r="J70" s="682"/>
      <c r="K70" s="682"/>
      <c r="L70" s="682"/>
      <c r="M70" s="682"/>
      <c r="N70" s="682">
        <f t="shared" si="21"/>
        <v>150000000</v>
      </c>
      <c r="O70" s="682">
        <v>0</v>
      </c>
      <c r="P70" s="682">
        <v>60000000</v>
      </c>
      <c r="Q70" s="682">
        <v>89874606</v>
      </c>
      <c r="R70" s="683">
        <v>0</v>
      </c>
      <c r="S70" s="682">
        <f t="shared" si="7"/>
        <v>149874606</v>
      </c>
      <c r="T70" s="637">
        <f t="shared" si="1"/>
        <v>0.99916404</v>
      </c>
      <c r="U70" s="665"/>
      <c r="V70" s="665"/>
      <c r="W70" s="665"/>
      <c r="X70" s="665"/>
      <c r="Y70" s="665"/>
      <c r="Z70" s="644"/>
    </row>
    <row r="71" spans="1:26" ht="15" hidden="1" outlineLevel="1">
      <c r="A71" s="691" t="s">
        <v>433</v>
      </c>
      <c r="B71" s="689"/>
      <c r="C71" s="633"/>
      <c r="D71" s="633"/>
      <c r="E71" s="633"/>
      <c r="F71" s="633">
        <v>49591615.160000004</v>
      </c>
      <c r="G71" s="633">
        <f t="shared" si="22"/>
        <v>49591615.160000004</v>
      </c>
      <c r="H71" s="654"/>
      <c r="I71" s="682">
        <f t="shared" si="23"/>
        <v>49591615.160000004</v>
      </c>
      <c r="J71" s="682"/>
      <c r="K71" s="682"/>
      <c r="L71" s="682"/>
      <c r="M71" s="682"/>
      <c r="N71" s="682">
        <f t="shared" si="21"/>
        <v>49591615.160000004</v>
      </c>
      <c r="O71" s="682">
        <v>9655573</v>
      </c>
      <c r="P71" s="682">
        <v>13049123</v>
      </c>
      <c r="Q71" s="682">
        <v>13362923</v>
      </c>
      <c r="R71" s="683">
        <v>12808363</v>
      </c>
      <c r="S71" s="682">
        <f t="shared" si="7"/>
        <v>48875982</v>
      </c>
      <c r="T71" s="637">
        <f t="shared" si="1"/>
        <v>0.9855694726277594</v>
      </c>
      <c r="U71" s="665"/>
      <c r="V71" s="665"/>
      <c r="W71" s="665"/>
      <c r="X71" s="665"/>
      <c r="Y71" s="665"/>
      <c r="Z71" s="644"/>
    </row>
    <row r="72" spans="1:26" ht="15" hidden="1" outlineLevel="1">
      <c r="A72" s="691" t="s">
        <v>434</v>
      </c>
      <c r="B72" s="689"/>
      <c r="C72" s="633"/>
      <c r="D72" s="633"/>
      <c r="E72" s="633"/>
      <c r="F72" s="633">
        <v>70000000</v>
      </c>
      <c r="G72" s="633">
        <f t="shared" si="22"/>
        <v>70000000</v>
      </c>
      <c r="H72" s="654"/>
      <c r="I72" s="682">
        <f t="shared" si="23"/>
        <v>70000000</v>
      </c>
      <c r="J72" s="682"/>
      <c r="K72" s="682"/>
      <c r="L72" s="682"/>
      <c r="M72" s="682"/>
      <c r="N72" s="682">
        <f t="shared" si="21"/>
        <v>70000000</v>
      </c>
      <c r="O72" s="682">
        <v>0</v>
      </c>
      <c r="P72" s="682">
        <v>0</v>
      </c>
      <c r="Q72" s="682">
        <v>9797023</v>
      </c>
      <c r="R72" s="683">
        <v>58526500</v>
      </c>
      <c r="S72" s="682">
        <f t="shared" si="7"/>
        <v>68323523</v>
      </c>
      <c r="T72" s="637">
        <f aca="true" t="shared" si="24" ref="T72:T135">+S72/N72</f>
        <v>0.9760503285714286</v>
      </c>
      <c r="U72" s="686"/>
      <c r="V72" s="686"/>
      <c r="W72" s="686"/>
      <c r="X72" s="686"/>
      <c r="Y72" s="686"/>
      <c r="Z72" s="644"/>
    </row>
    <row r="73" spans="1:26" ht="15" collapsed="1">
      <c r="A73" s="692" t="s">
        <v>120</v>
      </c>
      <c r="B73" s="689"/>
      <c r="C73" s="633"/>
      <c r="D73" s="633"/>
      <c r="E73" s="633"/>
      <c r="F73" s="647">
        <f>+F74+F75+F76</f>
        <v>190247105.7728</v>
      </c>
      <c r="G73" s="647">
        <f>+G74+G75+G76</f>
        <v>190247105.7728</v>
      </c>
      <c r="H73" s="654"/>
      <c r="I73" s="676">
        <f>+I74+I75+I76</f>
        <v>190247105.7728</v>
      </c>
      <c r="J73" s="676"/>
      <c r="K73" s="677"/>
      <c r="L73" s="677"/>
      <c r="M73" s="623">
        <f>+M74+M75+M76</f>
        <v>0</v>
      </c>
      <c r="N73" s="678">
        <f t="shared" si="21"/>
        <v>190247105.7728</v>
      </c>
      <c r="O73" s="678">
        <f>+O74+O75+O76</f>
        <v>4958888</v>
      </c>
      <c r="P73" s="678">
        <f>+P74+P75+P76</f>
        <v>49917776</v>
      </c>
      <c r="Q73" s="678">
        <f>SUM(Q74:Q76)</f>
        <v>62278888</v>
      </c>
      <c r="R73" s="690">
        <f>+SUM(R74:R76)</f>
        <v>71793490</v>
      </c>
      <c r="S73" s="678">
        <f t="shared" si="7"/>
        <v>188949042</v>
      </c>
      <c r="T73" s="627">
        <f t="shared" si="24"/>
        <v>0.9931769591577904</v>
      </c>
      <c r="U73" s="665"/>
      <c r="V73" s="665"/>
      <c r="W73" s="665"/>
      <c r="X73" s="665"/>
      <c r="Y73" s="665"/>
      <c r="Z73" s="644"/>
    </row>
    <row r="74" spans="1:26" ht="15" hidden="1" outlineLevel="1">
      <c r="A74" s="691" t="s">
        <v>435</v>
      </c>
      <c r="B74" s="689"/>
      <c r="C74" s="633"/>
      <c r="D74" s="633"/>
      <c r="E74" s="633"/>
      <c r="F74" s="633">
        <v>129811105.7728</v>
      </c>
      <c r="G74" s="633">
        <f>+F74+E74+C74+B74</f>
        <v>129811105.7728</v>
      </c>
      <c r="H74" s="654"/>
      <c r="I74" s="682">
        <f>+H74+G74</f>
        <v>129811105.7728</v>
      </c>
      <c r="J74" s="682"/>
      <c r="K74" s="682"/>
      <c r="L74" s="682"/>
      <c r="M74" s="682"/>
      <c r="N74" s="682">
        <f t="shared" si="21"/>
        <v>129811105.7728</v>
      </c>
      <c r="O74" s="682">
        <v>4958888</v>
      </c>
      <c r="P74" s="682">
        <v>49917776</v>
      </c>
      <c r="Q74" s="682">
        <v>44958888</v>
      </c>
      <c r="R74" s="683">
        <v>28877776</v>
      </c>
      <c r="S74" s="682">
        <f t="shared" si="7"/>
        <v>128713328</v>
      </c>
      <c r="T74" s="637">
        <f t="shared" si="24"/>
        <v>0.9915432676868082</v>
      </c>
      <c r="U74" s="665"/>
      <c r="V74" s="665"/>
      <c r="W74" s="665"/>
      <c r="X74" s="665"/>
      <c r="Y74" s="665"/>
      <c r="Z74" s="644"/>
    </row>
    <row r="75" spans="1:26" ht="15" hidden="1" outlineLevel="1">
      <c r="A75" s="691" t="s">
        <v>436</v>
      </c>
      <c r="B75" s="689"/>
      <c r="C75" s="633"/>
      <c r="D75" s="633"/>
      <c r="E75" s="633"/>
      <c r="F75" s="633">
        <v>25000000</v>
      </c>
      <c r="G75" s="633">
        <f>+F75+E75+C75+B75</f>
        <v>25000000</v>
      </c>
      <c r="H75" s="654"/>
      <c r="I75" s="682">
        <f>+H75+G75</f>
        <v>25000000</v>
      </c>
      <c r="J75" s="682"/>
      <c r="K75" s="682"/>
      <c r="L75" s="682"/>
      <c r="M75" s="682"/>
      <c r="N75" s="682">
        <f t="shared" si="21"/>
        <v>25000000</v>
      </c>
      <c r="O75" s="682">
        <v>0</v>
      </c>
      <c r="P75" s="682">
        <v>0</v>
      </c>
      <c r="Q75" s="682">
        <v>17320000</v>
      </c>
      <c r="R75" s="683">
        <v>7506714</v>
      </c>
      <c r="S75" s="682">
        <f t="shared" si="7"/>
        <v>24826714</v>
      </c>
      <c r="T75" s="637">
        <f t="shared" si="24"/>
        <v>0.99306856</v>
      </c>
      <c r="U75" s="665"/>
      <c r="V75" s="665"/>
      <c r="W75" s="665"/>
      <c r="X75" s="665"/>
      <c r="Y75" s="665"/>
      <c r="Z75" s="644"/>
    </row>
    <row r="76" spans="1:26" ht="15" hidden="1" outlineLevel="1">
      <c r="A76" s="691" t="s">
        <v>437</v>
      </c>
      <c r="B76" s="689"/>
      <c r="C76" s="633"/>
      <c r="D76" s="633"/>
      <c r="E76" s="633"/>
      <c r="F76" s="633">
        <v>35436000</v>
      </c>
      <c r="G76" s="633">
        <f>+F76+E76+C76+B76</f>
        <v>35436000</v>
      </c>
      <c r="H76" s="654"/>
      <c r="I76" s="682">
        <f>+H76+G76</f>
        <v>35436000</v>
      </c>
      <c r="J76" s="682"/>
      <c r="K76" s="682"/>
      <c r="L76" s="682"/>
      <c r="M76" s="682"/>
      <c r="N76" s="682">
        <f t="shared" si="21"/>
        <v>35436000</v>
      </c>
      <c r="O76" s="682">
        <v>0</v>
      </c>
      <c r="P76" s="682">
        <v>0</v>
      </c>
      <c r="Q76" s="682">
        <v>0</v>
      </c>
      <c r="R76" s="683">
        <v>35409000</v>
      </c>
      <c r="S76" s="682">
        <f t="shared" si="7"/>
        <v>35409000</v>
      </c>
      <c r="T76" s="637">
        <f t="shared" si="24"/>
        <v>0.9992380629867931</v>
      </c>
      <c r="U76" s="686"/>
      <c r="V76" s="686"/>
      <c r="W76" s="686"/>
      <c r="X76" s="686"/>
      <c r="Y76" s="686"/>
      <c r="Z76" s="644"/>
    </row>
    <row r="77" spans="1:26" ht="15" collapsed="1">
      <c r="A77" s="693"/>
      <c r="B77" s="661"/>
      <c r="C77" s="634"/>
      <c r="D77" s="634"/>
      <c r="E77" s="634"/>
      <c r="F77" s="634"/>
      <c r="G77" s="634"/>
      <c r="H77" s="619"/>
      <c r="I77" s="620"/>
      <c r="J77" s="620"/>
      <c r="K77" s="664"/>
      <c r="L77" s="664"/>
      <c r="M77" s="664"/>
      <c r="N77" s="623"/>
      <c r="O77" s="623"/>
      <c r="P77" s="623"/>
      <c r="Q77" s="623"/>
      <c r="R77" s="649"/>
      <c r="S77" s="623"/>
      <c r="T77" s="627"/>
      <c r="U77" s="686"/>
      <c r="V77" s="686"/>
      <c r="W77" s="686"/>
      <c r="X77" s="686"/>
      <c r="Y77" s="686"/>
      <c r="Z77" s="644"/>
    </row>
    <row r="78" spans="1:26" s="673" customFormat="1" ht="60.75" customHeight="1">
      <c r="A78" s="666" t="s">
        <v>438</v>
      </c>
      <c r="B78" s="667"/>
      <c r="C78" s="667">
        <f>+C108</f>
        <v>537695796.2104001</v>
      </c>
      <c r="D78" s="667"/>
      <c r="E78" s="667">
        <f>+E79</f>
        <v>7808427442.301868</v>
      </c>
      <c r="F78" s="667"/>
      <c r="G78" s="667">
        <f>+E78+C78</f>
        <v>8346123238.512268</v>
      </c>
      <c r="H78" s="667"/>
      <c r="I78" s="668">
        <f>+H78+G78</f>
        <v>8346123238.512268</v>
      </c>
      <c r="J78" s="668"/>
      <c r="K78" s="668">
        <f>+K79</f>
        <v>0</v>
      </c>
      <c r="L78" s="668">
        <f>+L79</f>
        <v>-60000000</v>
      </c>
      <c r="M78" s="669">
        <f>+M79+M108</f>
        <v>-764600000</v>
      </c>
      <c r="N78" s="670">
        <f>+I78+J78+L78+M78+K78</f>
        <v>7521523238.512268</v>
      </c>
      <c r="O78" s="670">
        <f>+O79+O108</f>
        <v>1086415328</v>
      </c>
      <c r="P78" s="670">
        <f>+P79+P108</f>
        <v>1191747809</v>
      </c>
      <c r="Q78" s="670">
        <f>+Q79+Q108</f>
        <v>1582043843</v>
      </c>
      <c r="R78" s="671">
        <f>+R79+R108</f>
        <v>1495053883</v>
      </c>
      <c r="S78" s="670">
        <f t="shared" si="7"/>
        <v>5355260863</v>
      </c>
      <c r="T78" s="672">
        <f t="shared" si="24"/>
        <v>0.7119915332548055</v>
      </c>
      <c r="U78" s="686"/>
      <c r="V78" s="686"/>
      <c r="W78" s="686"/>
      <c r="X78" s="686"/>
      <c r="Y78" s="686"/>
      <c r="Z78" s="644"/>
    </row>
    <row r="79" spans="1:26" ht="15">
      <c r="A79" s="694" t="s">
        <v>439</v>
      </c>
      <c r="B79" s="654"/>
      <c r="C79" s="647"/>
      <c r="D79" s="647"/>
      <c r="E79" s="647">
        <f>+E80+E85+E93+E100+E103</f>
        <v>7808427442.301868</v>
      </c>
      <c r="F79" s="675"/>
      <c r="G79" s="647">
        <f>+F79+E79+C79+B79</f>
        <v>7808427442.301868</v>
      </c>
      <c r="H79" s="675"/>
      <c r="I79" s="676">
        <f>+I80+I85+I93+I100+I103</f>
        <v>7808427442.301868</v>
      </c>
      <c r="J79" s="676"/>
      <c r="K79" s="676">
        <f>+K80+K85+K93+K100+K103+K90</f>
        <v>0</v>
      </c>
      <c r="L79" s="676">
        <f>+L80+L85+L93+L100+L103</f>
        <v>-60000000</v>
      </c>
      <c r="M79" s="677">
        <f>+M80+M85+M93+M100+M103</f>
        <v>-714600000</v>
      </c>
      <c r="N79" s="678">
        <f>+I79+J79+L79+M79+K79</f>
        <v>7033827442.301868</v>
      </c>
      <c r="O79" s="678">
        <f>+O80+O85+O93+O100+O103</f>
        <v>1050516729</v>
      </c>
      <c r="P79" s="678">
        <f>+P80+P85+P93+P100+P103</f>
        <v>1099277549</v>
      </c>
      <c r="Q79" s="678">
        <f>+Q80+Q85+Q93+Q100+Q103</f>
        <v>1431568675</v>
      </c>
      <c r="R79" s="690">
        <f>+R80+R85+R93+R100+R103</f>
        <v>1305857279</v>
      </c>
      <c r="S79" s="678">
        <f t="shared" si="7"/>
        <v>4887220232</v>
      </c>
      <c r="T79" s="627">
        <f t="shared" si="24"/>
        <v>0.6948166232523645</v>
      </c>
      <c r="U79" s="686"/>
      <c r="V79" s="686"/>
      <c r="W79" s="686"/>
      <c r="X79" s="686"/>
      <c r="Y79" s="686"/>
      <c r="Z79" s="644"/>
    </row>
    <row r="80" spans="1:26" ht="15">
      <c r="A80" s="695" t="s">
        <v>159</v>
      </c>
      <c r="B80" s="675"/>
      <c r="C80" s="633"/>
      <c r="D80" s="633"/>
      <c r="E80" s="647">
        <f>+E81+E82+E83+E84</f>
        <v>2184861740.3143682</v>
      </c>
      <c r="F80" s="654"/>
      <c r="G80" s="647">
        <f>+G81+G82+G83+G84</f>
        <v>2184861740.3143682</v>
      </c>
      <c r="H80" s="654"/>
      <c r="I80" s="676">
        <f>+I81+I82+I83+I84</f>
        <v>2184861740.3143682</v>
      </c>
      <c r="J80" s="676">
        <f>+J81+J82+J83+J84</f>
        <v>0</v>
      </c>
      <c r="K80" s="676">
        <f>+K81+K82+K83+K84</f>
        <v>35000000</v>
      </c>
      <c r="L80" s="676">
        <f>+L81+L82+L83+L84</f>
        <v>0</v>
      </c>
      <c r="M80" s="676">
        <f>+M81+M82+M83+M84</f>
        <v>106000000</v>
      </c>
      <c r="N80" s="678">
        <f>+I80+J80+L80+M80+K80</f>
        <v>2325861740.3143682</v>
      </c>
      <c r="O80" s="678">
        <f>+O81+O82+O83+O84</f>
        <v>462869943</v>
      </c>
      <c r="P80" s="678">
        <f>+P81+P82+P83+P84</f>
        <v>602130270</v>
      </c>
      <c r="Q80" s="678">
        <f>+Q81+Q82+Q83+Q84</f>
        <v>567886966</v>
      </c>
      <c r="R80" s="690">
        <f>+SUM(R81:R84)</f>
        <v>686544087</v>
      </c>
      <c r="S80" s="678">
        <f t="shared" si="7"/>
        <v>2319431266</v>
      </c>
      <c r="T80" s="627">
        <f t="shared" si="24"/>
        <v>0.9972352293333226</v>
      </c>
      <c r="U80" s="665"/>
      <c r="V80" s="665"/>
      <c r="W80" s="665"/>
      <c r="X80" s="665"/>
      <c r="Y80" s="665"/>
      <c r="Z80" s="644"/>
    </row>
    <row r="81" spans="1:26" ht="15" hidden="1" outlineLevel="1">
      <c r="A81" s="681" t="s">
        <v>341</v>
      </c>
      <c r="B81" s="675"/>
      <c r="C81" s="633"/>
      <c r="D81" s="633"/>
      <c r="E81" s="633">
        <v>1126434148.0343683</v>
      </c>
      <c r="F81" s="654"/>
      <c r="G81" s="633">
        <f>+F81+E81+C81+B81</f>
        <v>1126434148.0343683</v>
      </c>
      <c r="H81" s="654"/>
      <c r="I81" s="682">
        <f>+H81+G81</f>
        <v>1126434148.0343683</v>
      </c>
      <c r="J81" s="682"/>
      <c r="K81" s="682"/>
      <c r="L81" s="682"/>
      <c r="M81" s="682">
        <v>106000000</v>
      </c>
      <c r="N81" s="682">
        <f>+I81+J81+L81+M81+50040680+13000000+35000000+K81</f>
        <v>1330474828.0343683</v>
      </c>
      <c r="O81" s="682">
        <v>270000218</v>
      </c>
      <c r="P81" s="682">
        <v>301474610</v>
      </c>
      <c r="Q81" s="696">
        <v>289439083</v>
      </c>
      <c r="R81" s="697">
        <v>466959958</v>
      </c>
      <c r="S81" s="682">
        <f t="shared" si="7"/>
        <v>1327873869</v>
      </c>
      <c r="T81" s="637">
        <f t="shared" si="24"/>
        <v>0.9980450896329914</v>
      </c>
      <c r="U81" s="665"/>
      <c r="V81" s="665"/>
      <c r="W81" s="665"/>
      <c r="X81" s="665"/>
      <c r="Y81" s="665"/>
      <c r="Z81" s="644"/>
    </row>
    <row r="82" spans="1:26" ht="15" hidden="1" outlineLevel="1">
      <c r="A82" s="681" t="s">
        <v>161</v>
      </c>
      <c r="B82" s="675"/>
      <c r="C82" s="633"/>
      <c r="D82" s="633"/>
      <c r="E82" s="633">
        <v>68470000</v>
      </c>
      <c r="F82" s="654"/>
      <c r="G82" s="633">
        <f>+F82+E82+C82+B82</f>
        <v>68470000</v>
      </c>
      <c r="H82" s="654"/>
      <c r="I82" s="682">
        <f>+H82+G82</f>
        <v>68470000</v>
      </c>
      <c r="J82" s="682"/>
      <c r="K82" s="682"/>
      <c r="L82" s="682"/>
      <c r="M82" s="682"/>
      <c r="N82" s="682">
        <f>+I82+J82+L82+M82+K82</f>
        <v>68470000</v>
      </c>
      <c r="O82" s="682">
        <v>23906423</v>
      </c>
      <c r="P82" s="682">
        <v>28384242</v>
      </c>
      <c r="Q82" s="682">
        <v>13791500</v>
      </c>
      <c r="R82" s="683">
        <v>1906230</v>
      </c>
      <c r="S82" s="682">
        <f t="shared" si="7"/>
        <v>67988395</v>
      </c>
      <c r="T82" s="637">
        <f t="shared" si="24"/>
        <v>0.9929661895720754</v>
      </c>
      <c r="U82" s="665"/>
      <c r="V82" s="665"/>
      <c r="W82" s="665"/>
      <c r="X82" s="665"/>
      <c r="Y82" s="665"/>
      <c r="Z82" s="644"/>
    </row>
    <row r="83" spans="1:26" ht="15" hidden="1" outlineLevel="1">
      <c r="A83" s="681" t="s">
        <v>162</v>
      </c>
      <c r="B83" s="675"/>
      <c r="C83" s="633"/>
      <c r="D83" s="633"/>
      <c r="E83" s="633">
        <v>649575737.28</v>
      </c>
      <c r="F83" s="654"/>
      <c r="G83" s="633">
        <f>+F83+E83+C83+B83</f>
        <v>649575737.28</v>
      </c>
      <c r="H83" s="654"/>
      <c r="I83" s="682">
        <f>+H83+G83</f>
        <v>649575737.28</v>
      </c>
      <c r="J83" s="682"/>
      <c r="K83" s="682">
        <v>35000000</v>
      </c>
      <c r="L83" s="682"/>
      <c r="M83" s="682"/>
      <c r="N83" s="682">
        <f>+I83+J83+L83+M83+5000000+K83</f>
        <v>689575737.28</v>
      </c>
      <c r="O83" s="682">
        <v>129963302</v>
      </c>
      <c r="P83" s="682">
        <v>215468888</v>
      </c>
      <c r="Q83" s="696">
        <v>170434410</v>
      </c>
      <c r="R83" s="683">
        <v>170825092</v>
      </c>
      <c r="S83" s="682">
        <f aca="true" t="shared" si="25" ref="S83:S146">SUM(O83:R83)</f>
        <v>686691692</v>
      </c>
      <c r="T83" s="637">
        <f t="shared" si="24"/>
        <v>0.9958176526172804</v>
      </c>
      <c r="U83" s="665"/>
      <c r="V83" s="665"/>
      <c r="W83" s="665"/>
      <c r="X83" s="665"/>
      <c r="Y83" s="665"/>
      <c r="Z83" s="644"/>
    </row>
    <row r="84" spans="1:26" ht="15" hidden="1" outlineLevel="1">
      <c r="A84" s="681" t="s">
        <v>163</v>
      </c>
      <c r="B84" s="675"/>
      <c r="C84" s="633"/>
      <c r="D84" s="633"/>
      <c r="E84" s="633">
        <v>340381855</v>
      </c>
      <c r="F84" s="654"/>
      <c r="G84" s="633">
        <f>+F84+E84+C84+B84</f>
        <v>340381855</v>
      </c>
      <c r="H84" s="654"/>
      <c r="I84" s="682">
        <f>+H84+G84</f>
        <v>340381855</v>
      </c>
      <c r="J84" s="682"/>
      <c r="K84" s="682"/>
      <c r="L84" s="682"/>
      <c r="M84" s="682"/>
      <c r="N84" s="682">
        <f>+I84+J84+L84+M84-50040680-13000000-40000000+K84</f>
        <v>237341175</v>
      </c>
      <c r="O84" s="682">
        <v>39000000</v>
      </c>
      <c r="P84" s="682">
        <v>56802530</v>
      </c>
      <c r="Q84" s="682">
        <v>94221973</v>
      </c>
      <c r="R84" s="683">
        <v>46852807</v>
      </c>
      <c r="S84" s="682">
        <f t="shared" si="25"/>
        <v>236877310</v>
      </c>
      <c r="T84" s="637">
        <f t="shared" si="24"/>
        <v>0.9980455772160056</v>
      </c>
      <c r="U84" s="686"/>
      <c r="V84" s="686"/>
      <c r="W84" s="686"/>
      <c r="X84" s="686"/>
      <c r="Y84" s="686"/>
      <c r="Z84" s="644"/>
    </row>
    <row r="85" spans="1:26" ht="15" collapsed="1">
      <c r="A85" s="695" t="s">
        <v>164</v>
      </c>
      <c r="B85" s="675"/>
      <c r="C85" s="633"/>
      <c r="D85" s="633"/>
      <c r="E85" s="647">
        <f>+E86+E90</f>
        <v>803240000</v>
      </c>
      <c r="F85" s="654"/>
      <c r="G85" s="647">
        <f>+G86+G90</f>
        <v>803240000</v>
      </c>
      <c r="H85" s="654"/>
      <c r="I85" s="676">
        <f>+I86+I90</f>
        <v>803240000</v>
      </c>
      <c r="J85" s="682"/>
      <c r="K85" s="685"/>
      <c r="L85" s="685"/>
      <c r="M85" s="676">
        <f>+M86+M90</f>
        <v>-35000000</v>
      </c>
      <c r="N85" s="678">
        <f>+I85+J85+L85+M85-35000000</f>
        <v>733240000</v>
      </c>
      <c r="O85" s="678">
        <f>+O86+O90</f>
        <v>102428229</v>
      </c>
      <c r="P85" s="678">
        <f>+P86+P90</f>
        <v>119273161</v>
      </c>
      <c r="Q85" s="678">
        <f>+Q86+Q90</f>
        <v>219740577</v>
      </c>
      <c r="R85" s="690">
        <f>+R86+R90</f>
        <v>202821374</v>
      </c>
      <c r="S85" s="678">
        <f t="shared" si="25"/>
        <v>644263341</v>
      </c>
      <c r="T85" s="627">
        <f t="shared" si="24"/>
        <v>0.878652748077028</v>
      </c>
      <c r="U85" s="686"/>
      <c r="V85" s="686"/>
      <c r="W85" s="686"/>
      <c r="X85" s="686"/>
      <c r="Y85" s="686"/>
      <c r="Z85" s="644"/>
    </row>
    <row r="86" spans="1:26" ht="15" hidden="1" outlineLevel="1">
      <c r="A86" s="698" t="s">
        <v>165</v>
      </c>
      <c r="B86" s="675"/>
      <c r="C86" s="633"/>
      <c r="D86" s="633"/>
      <c r="E86" s="647">
        <f>+E88+E89+E87</f>
        <v>320000000</v>
      </c>
      <c r="F86" s="654"/>
      <c r="G86" s="647">
        <f>+F86+E86</f>
        <v>320000000</v>
      </c>
      <c r="H86" s="654"/>
      <c r="I86" s="676">
        <f>+H86+G86</f>
        <v>320000000</v>
      </c>
      <c r="J86" s="682"/>
      <c r="K86" s="685"/>
      <c r="L86" s="685"/>
      <c r="M86" s="676">
        <f>+M88+M89+M87</f>
        <v>-35000000</v>
      </c>
      <c r="N86" s="678">
        <f>+I86+J86+L86+M86+18000000</f>
        <v>303000000</v>
      </c>
      <c r="O86" s="678">
        <f>+O88+O89+O87</f>
        <v>81116829</v>
      </c>
      <c r="P86" s="678">
        <f>+P88+P89+P87</f>
        <v>39518844</v>
      </c>
      <c r="Q86" s="678">
        <f>+Q88+Q89+Q87</f>
        <v>74323917</v>
      </c>
      <c r="R86" s="690">
        <f>+SUM(R87:R89)</f>
        <v>42755414</v>
      </c>
      <c r="S86" s="678">
        <f t="shared" si="25"/>
        <v>237715004</v>
      </c>
      <c r="T86" s="627">
        <f t="shared" si="24"/>
        <v>0.7845379669966996</v>
      </c>
      <c r="U86" s="665"/>
      <c r="V86" s="665"/>
      <c r="W86" s="665"/>
      <c r="X86" s="665"/>
      <c r="Y86" s="665"/>
      <c r="Z86" s="644"/>
    </row>
    <row r="87" spans="1:26" ht="15" hidden="1" outlineLevel="2">
      <c r="A87" s="681" t="s">
        <v>191</v>
      </c>
      <c r="B87" s="675"/>
      <c r="C87" s="633"/>
      <c r="D87" s="633"/>
      <c r="E87" s="633">
        <v>60000000</v>
      </c>
      <c r="F87" s="654"/>
      <c r="G87" s="633">
        <f>+B87+C87+E87+F87</f>
        <v>60000000</v>
      </c>
      <c r="H87" s="654"/>
      <c r="I87" s="682">
        <f>+H87+G87</f>
        <v>60000000</v>
      </c>
      <c r="J87" s="682"/>
      <c r="K87" s="682"/>
      <c r="L87" s="682"/>
      <c r="M87" s="682">
        <v>-35000000</v>
      </c>
      <c r="N87" s="682">
        <f>+I87+J87+L87+M87</f>
        <v>25000000</v>
      </c>
      <c r="O87" s="682">
        <v>25000000</v>
      </c>
      <c r="P87" s="682">
        <v>0</v>
      </c>
      <c r="Q87" s="682">
        <v>0</v>
      </c>
      <c r="R87" s="683">
        <v>0</v>
      </c>
      <c r="S87" s="682">
        <f t="shared" si="25"/>
        <v>25000000</v>
      </c>
      <c r="T87" s="637">
        <f t="shared" si="24"/>
        <v>1</v>
      </c>
      <c r="U87" s="665"/>
      <c r="V87" s="665"/>
      <c r="W87" s="665"/>
      <c r="X87" s="665"/>
      <c r="Y87" s="665"/>
      <c r="Z87" s="644"/>
    </row>
    <row r="88" spans="1:26" ht="15" hidden="1" outlineLevel="2">
      <c r="A88" s="681" t="s">
        <v>173</v>
      </c>
      <c r="B88" s="675"/>
      <c r="C88" s="633"/>
      <c r="D88" s="633"/>
      <c r="E88" s="633">
        <v>200000000</v>
      </c>
      <c r="F88" s="654"/>
      <c r="G88" s="633">
        <f>+F88+E88+C88+B88</f>
        <v>200000000</v>
      </c>
      <c r="H88" s="654"/>
      <c r="I88" s="682">
        <f>+H88+G88</f>
        <v>200000000</v>
      </c>
      <c r="J88" s="682"/>
      <c r="K88" s="682"/>
      <c r="L88" s="682"/>
      <c r="M88" s="682">
        <v>0</v>
      </c>
      <c r="N88" s="682">
        <f>+I88+J88+L88+M88+18000000</f>
        <v>218000000</v>
      </c>
      <c r="O88" s="682">
        <v>43885042</v>
      </c>
      <c r="P88" s="682">
        <v>24272555</v>
      </c>
      <c r="Q88" s="682">
        <v>57253838</v>
      </c>
      <c r="R88" s="683">
        <v>33976394</v>
      </c>
      <c r="S88" s="682">
        <f t="shared" si="25"/>
        <v>159387829</v>
      </c>
      <c r="T88" s="637">
        <f t="shared" si="24"/>
        <v>0.7311368302752294</v>
      </c>
      <c r="U88" s="665"/>
      <c r="V88" s="665"/>
      <c r="W88" s="665"/>
      <c r="X88" s="665"/>
      <c r="Y88" s="665"/>
      <c r="Z88" s="644"/>
    </row>
    <row r="89" spans="1:26" ht="15" hidden="1" outlineLevel="2">
      <c r="A89" s="681" t="s">
        <v>174</v>
      </c>
      <c r="B89" s="675"/>
      <c r="C89" s="633"/>
      <c r="D89" s="633"/>
      <c r="E89" s="633">
        <v>60000000</v>
      </c>
      <c r="F89" s="654"/>
      <c r="G89" s="633">
        <f>+F89+E89+C89+B89</f>
        <v>60000000</v>
      </c>
      <c r="H89" s="654"/>
      <c r="I89" s="682">
        <f>+H89+G89</f>
        <v>60000000</v>
      </c>
      <c r="J89" s="682"/>
      <c r="K89" s="682"/>
      <c r="L89" s="682"/>
      <c r="M89" s="682"/>
      <c r="N89" s="682">
        <f>+I89+J89+L89+M89</f>
        <v>60000000</v>
      </c>
      <c r="O89" s="682">
        <v>12231787</v>
      </c>
      <c r="P89" s="682">
        <v>15246289</v>
      </c>
      <c r="Q89" s="682">
        <v>17070079</v>
      </c>
      <c r="R89" s="683">
        <v>8779020</v>
      </c>
      <c r="S89" s="682">
        <f t="shared" si="25"/>
        <v>53327175</v>
      </c>
      <c r="T89" s="637">
        <f t="shared" si="24"/>
        <v>0.88878625</v>
      </c>
      <c r="U89" s="686"/>
      <c r="V89" s="686"/>
      <c r="W89" s="686"/>
      <c r="X89" s="686"/>
      <c r="Y89" s="686"/>
      <c r="Z89" s="644"/>
    </row>
    <row r="90" spans="1:26" ht="15" hidden="1" outlineLevel="1">
      <c r="A90" s="698" t="s">
        <v>175</v>
      </c>
      <c r="B90" s="675"/>
      <c r="C90" s="633"/>
      <c r="D90" s="633"/>
      <c r="E90" s="647">
        <f>+E91</f>
        <v>483240000</v>
      </c>
      <c r="F90" s="654"/>
      <c r="G90" s="647">
        <f>+G91</f>
        <v>483240000</v>
      </c>
      <c r="H90" s="654"/>
      <c r="I90" s="676">
        <f>+I91</f>
        <v>483240000</v>
      </c>
      <c r="J90" s="682"/>
      <c r="K90" s="676">
        <f>+K91</f>
        <v>-35000000</v>
      </c>
      <c r="L90" s="685"/>
      <c r="M90" s="676">
        <f>+M91</f>
        <v>0</v>
      </c>
      <c r="N90" s="678">
        <f>+I90+J90+L90+M90+K90-18000000</f>
        <v>430240000</v>
      </c>
      <c r="O90" s="678">
        <f>+O91</f>
        <v>21311400</v>
      </c>
      <c r="P90" s="678">
        <f>+P91</f>
        <v>79754317</v>
      </c>
      <c r="Q90" s="678">
        <f>+Q91</f>
        <v>145416660</v>
      </c>
      <c r="R90" s="690">
        <f>+R91</f>
        <v>160065960</v>
      </c>
      <c r="S90" s="678">
        <f t="shared" si="25"/>
        <v>406548337</v>
      </c>
      <c r="T90" s="627">
        <f t="shared" si="24"/>
        <v>0.9449338439010785</v>
      </c>
      <c r="U90" s="665"/>
      <c r="V90" s="665"/>
      <c r="W90" s="665"/>
      <c r="X90" s="665"/>
      <c r="Y90" s="665"/>
      <c r="Z90" s="644"/>
    </row>
    <row r="91" spans="1:26" ht="15" hidden="1" outlineLevel="2">
      <c r="A91" s="681" t="s">
        <v>176</v>
      </c>
      <c r="B91" s="675"/>
      <c r="C91" s="633"/>
      <c r="D91" s="633"/>
      <c r="E91" s="633">
        <v>483240000</v>
      </c>
      <c r="F91" s="654"/>
      <c r="G91" s="633">
        <f>+F91+E91+C91+B91</f>
        <v>483240000</v>
      </c>
      <c r="H91" s="654"/>
      <c r="I91" s="682">
        <f>+H91+G91</f>
        <v>483240000</v>
      </c>
      <c r="J91" s="682"/>
      <c r="K91" s="685">
        <v>-35000000</v>
      </c>
      <c r="L91" s="685"/>
      <c r="M91" s="685"/>
      <c r="N91" s="682">
        <f>+I91+J91+L91+M91+K91-18000000</f>
        <v>430240000</v>
      </c>
      <c r="O91" s="682">
        <v>21311400</v>
      </c>
      <c r="P91" s="682">
        <v>79754317</v>
      </c>
      <c r="Q91" s="682">
        <v>145416660</v>
      </c>
      <c r="R91" s="683">
        <v>160065960</v>
      </c>
      <c r="S91" s="682">
        <f t="shared" si="25"/>
        <v>406548337</v>
      </c>
      <c r="T91" s="637">
        <f t="shared" si="24"/>
        <v>0.9449338439010785</v>
      </c>
      <c r="U91" s="686"/>
      <c r="V91" s="686"/>
      <c r="W91" s="686"/>
      <c r="X91" s="686"/>
      <c r="Y91" s="686"/>
      <c r="Z91" s="644"/>
    </row>
    <row r="92" spans="1:26" ht="15" hidden="1" outlineLevel="1">
      <c r="A92" s="681"/>
      <c r="B92" s="675"/>
      <c r="C92" s="633"/>
      <c r="D92" s="633"/>
      <c r="E92" s="633"/>
      <c r="F92" s="654"/>
      <c r="G92" s="633"/>
      <c r="H92" s="654"/>
      <c r="I92" s="682"/>
      <c r="J92" s="682"/>
      <c r="K92" s="685"/>
      <c r="L92" s="685"/>
      <c r="M92" s="685"/>
      <c r="N92" s="678"/>
      <c r="O92" s="678"/>
      <c r="P92" s="678"/>
      <c r="Q92" s="678"/>
      <c r="R92" s="690"/>
      <c r="S92" s="678"/>
      <c r="T92" s="627"/>
      <c r="U92" s="686"/>
      <c r="V92" s="686"/>
      <c r="W92" s="686"/>
      <c r="X92" s="686"/>
      <c r="Y92" s="686"/>
      <c r="Z92" s="644"/>
    </row>
    <row r="93" spans="1:27" ht="15" collapsed="1">
      <c r="A93" s="695" t="s">
        <v>440</v>
      </c>
      <c r="B93" s="675"/>
      <c r="C93" s="633"/>
      <c r="D93" s="633"/>
      <c r="E93" s="647">
        <f>+SUM(E94:E99)</f>
        <v>2403000000</v>
      </c>
      <c r="F93" s="633"/>
      <c r="G93" s="647">
        <f>+B93+C93+D93+E93+F93</f>
        <v>2403000000</v>
      </c>
      <c r="H93" s="654"/>
      <c r="I93" s="676">
        <f>+I96+I98+I94+I95+I97+I99</f>
        <v>2403000000</v>
      </c>
      <c r="J93" s="682"/>
      <c r="K93" s="682"/>
      <c r="L93" s="662">
        <f>+L96+L98+L94+L95+L97+L99</f>
        <v>-60000000</v>
      </c>
      <c r="M93" s="688">
        <f>+M96+M98+M94+M95+M97+M99</f>
        <v>-106000000</v>
      </c>
      <c r="N93" s="678">
        <f aca="true" t="shared" si="26" ref="N93:N100">+I93+J93+L93+M93</f>
        <v>2237000000</v>
      </c>
      <c r="O93" s="678">
        <f>+SUM(O94:O99)</f>
        <v>28212963</v>
      </c>
      <c r="P93" s="678">
        <f>+SUM(P94:P99)</f>
        <v>52985149</v>
      </c>
      <c r="Q93" s="678">
        <f>+SUM(Q94:Q99)</f>
        <v>39540602</v>
      </c>
      <c r="R93" s="690">
        <f>+SUM(R94:R99)</f>
        <v>112813784</v>
      </c>
      <c r="S93" s="678">
        <f>SUM(O93:R93)</f>
        <v>233552498</v>
      </c>
      <c r="T93" s="627">
        <f>+S93/N93</f>
        <v>0.1044043352704515</v>
      </c>
      <c r="U93" s="665"/>
      <c r="V93" s="665"/>
      <c r="W93" s="665"/>
      <c r="X93" s="665"/>
      <c r="Y93" s="665"/>
      <c r="Z93" s="644"/>
      <c r="AA93" s="753" t="s">
        <v>544</v>
      </c>
    </row>
    <row r="94" spans="1:26" ht="15" hidden="1" outlineLevel="1">
      <c r="A94" s="681" t="s">
        <v>441</v>
      </c>
      <c r="B94" s="675"/>
      <c r="C94" s="633"/>
      <c r="D94" s="633"/>
      <c r="E94" s="633">
        <v>105000000</v>
      </c>
      <c r="F94" s="633"/>
      <c r="G94" s="633">
        <f>+B94+C94+D94+E94+F94</f>
        <v>105000000</v>
      </c>
      <c r="H94" s="654"/>
      <c r="I94" s="682">
        <f aca="true" t="shared" si="27" ref="I94:I99">+H94+G94</f>
        <v>105000000</v>
      </c>
      <c r="J94" s="682"/>
      <c r="K94" s="682"/>
      <c r="L94" s="682"/>
      <c r="M94" s="682"/>
      <c r="N94" s="682">
        <f t="shared" si="26"/>
        <v>105000000</v>
      </c>
      <c r="O94" s="682">
        <v>8717780</v>
      </c>
      <c r="P94" s="682">
        <v>39682160</v>
      </c>
      <c r="Q94" s="682">
        <v>37998102</v>
      </c>
      <c r="R94" s="683">
        <v>16760260</v>
      </c>
      <c r="S94" s="682">
        <f t="shared" si="25"/>
        <v>103158302</v>
      </c>
      <c r="T94" s="637">
        <f>+S94/N94</f>
        <v>0.982460019047619</v>
      </c>
      <c r="U94" s="665"/>
      <c r="V94" s="665"/>
      <c r="W94" s="665"/>
      <c r="X94" s="665"/>
      <c r="Y94" s="665"/>
      <c r="Z94" s="644"/>
    </row>
    <row r="95" spans="1:26" ht="15" hidden="1" outlineLevel="1">
      <c r="A95" s="681" t="s">
        <v>442</v>
      </c>
      <c r="B95" s="675"/>
      <c r="C95" s="633"/>
      <c r="D95" s="633"/>
      <c r="E95" s="633">
        <v>168000000</v>
      </c>
      <c r="F95" s="633"/>
      <c r="G95" s="633">
        <f aca="true" t="shared" si="28" ref="G95:G102">+B95+C95+D95+E95+F95</f>
        <v>168000000</v>
      </c>
      <c r="H95" s="654"/>
      <c r="I95" s="682">
        <f t="shared" si="27"/>
        <v>168000000</v>
      </c>
      <c r="J95" s="682"/>
      <c r="K95" s="682"/>
      <c r="L95" s="682">
        <v>-60000000</v>
      </c>
      <c r="M95" s="682">
        <v>0</v>
      </c>
      <c r="N95" s="682">
        <f t="shared" si="26"/>
        <v>108000000</v>
      </c>
      <c r="O95" s="682">
        <v>19000000</v>
      </c>
      <c r="P95" s="682">
        <v>12272571</v>
      </c>
      <c r="Q95" s="682">
        <v>342500</v>
      </c>
      <c r="R95" s="683">
        <v>75741560</v>
      </c>
      <c r="S95" s="682">
        <f t="shared" si="25"/>
        <v>107356631</v>
      </c>
      <c r="T95" s="637">
        <f>+S95/N95</f>
        <v>0.9940428796296297</v>
      </c>
      <c r="U95" s="665"/>
      <c r="V95" s="665"/>
      <c r="W95" s="665"/>
      <c r="X95" s="665"/>
      <c r="Y95" s="665"/>
      <c r="Z95" s="644"/>
    </row>
    <row r="96" spans="1:26" ht="15" hidden="1" outlineLevel="1">
      <c r="A96" s="681" t="s">
        <v>192</v>
      </c>
      <c r="B96" s="675"/>
      <c r="C96" s="633"/>
      <c r="D96" s="633"/>
      <c r="E96" s="633">
        <v>50000000</v>
      </c>
      <c r="F96" s="633"/>
      <c r="G96" s="633">
        <f t="shared" si="28"/>
        <v>50000000</v>
      </c>
      <c r="H96" s="654"/>
      <c r="I96" s="682">
        <f t="shared" si="27"/>
        <v>50000000</v>
      </c>
      <c r="J96" s="682"/>
      <c r="K96" s="682"/>
      <c r="L96" s="682"/>
      <c r="M96" s="682">
        <v>-30000000</v>
      </c>
      <c r="N96" s="682">
        <f t="shared" si="26"/>
        <v>20000000</v>
      </c>
      <c r="O96" s="682">
        <v>0</v>
      </c>
      <c r="P96" s="682">
        <v>0</v>
      </c>
      <c r="Q96" s="682">
        <v>0</v>
      </c>
      <c r="R96" s="683">
        <v>19197700</v>
      </c>
      <c r="S96" s="682">
        <f t="shared" si="25"/>
        <v>19197700</v>
      </c>
      <c r="T96" s="637">
        <f>+S96/N96</f>
        <v>0.959885</v>
      </c>
      <c r="U96" s="665"/>
      <c r="V96" s="665"/>
      <c r="W96" s="665"/>
      <c r="X96" s="665"/>
      <c r="Y96" s="665"/>
      <c r="Z96" s="644"/>
    </row>
    <row r="97" spans="1:26" ht="15" hidden="1" outlineLevel="1">
      <c r="A97" s="681" t="s">
        <v>443</v>
      </c>
      <c r="B97" s="675"/>
      <c r="C97" s="633"/>
      <c r="D97" s="633"/>
      <c r="E97" s="633">
        <v>50000000</v>
      </c>
      <c r="F97" s="633"/>
      <c r="G97" s="633">
        <f t="shared" si="28"/>
        <v>50000000</v>
      </c>
      <c r="H97" s="654"/>
      <c r="I97" s="682">
        <f t="shared" si="27"/>
        <v>50000000</v>
      </c>
      <c r="J97" s="682"/>
      <c r="K97" s="682"/>
      <c r="L97" s="682"/>
      <c r="M97" s="682">
        <v>-50000000</v>
      </c>
      <c r="N97" s="682">
        <f t="shared" si="26"/>
        <v>0</v>
      </c>
      <c r="O97" s="682">
        <v>0</v>
      </c>
      <c r="P97" s="682">
        <v>0</v>
      </c>
      <c r="Q97" s="682">
        <v>0</v>
      </c>
      <c r="R97" s="683">
        <v>0</v>
      </c>
      <c r="S97" s="682">
        <f t="shared" si="25"/>
        <v>0</v>
      </c>
      <c r="T97" s="637">
        <f>IF(N97&gt;0,(S97/N97),0)</f>
        <v>0</v>
      </c>
      <c r="U97" s="699" t="s">
        <v>518</v>
      </c>
      <c r="V97" s="665"/>
      <c r="W97" s="665"/>
      <c r="X97" s="665"/>
      <c r="Y97" s="665"/>
      <c r="Z97" s="644"/>
    </row>
    <row r="98" spans="1:26" ht="15" hidden="1" outlineLevel="1">
      <c r="A98" s="681" t="s">
        <v>444</v>
      </c>
      <c r="B98" s="675"/>
      <c r="C98" s="633"/>
      <c r="D98" s="633"/>
      <c r="E98" s="633">
        <v>2000000000</v>
      </c>
      <c r="F98" s="633"/>
      <c r="G98" s="633">
        <f t="shared" si="28"/>
        <v>2000000000</v>
      </c>
      <c r="H98" s="654"/>
      <c r="I98" s="682">
        <f t="shared" si="27"/>
        <v>2000000000</v>
      </c>
      <c r="J98" s="682"/>
      <c r="K98" s="682"/>
      <c r="L98" s="682"/>
      <c r="M98" s="682"/>
      <c r="N98" s="682">
        <f t="shared" si="26"/>
        <v>2000000000</v>
      </c>
      <c r="O98" s="682">
        <v>0</v>
      </c>
      <c r="P98" s="682">
        <v>0</v>
      </c>
      <c r="Q98" s="682">
        <v>0</v>
      </c>
      <c r="R98" s="683">
        <v>0</v>
      </c>
      <c r="S98" s="682">
        <f t="shared" si="25"/>
        <v>0</v>
      </c>
      <c r="T98" s="637">
        <f>+S98/N98</f>
        <v>0</v>
      </c>
      <c r="U98" s="665"/>
      <c r="V98" s="665"/>
      <c r="W98" s="665"/>
      <c r="X98" s="665"/>
      <c r="Y98" s="665"/>
      <c r="Z98" s="644"/>
    </row>
    <row r="99" spans="1:26" ht="15" hidden="1" outlineLevel="1">
      <c r="A99" s="681" t="s">
        <v>445</v>
      </c>
      <c r="B99" s="675"/>
      <c r="C99" s="633"/>
      <c r="D99" s="633"/>
      <c r="E99" s="633">
        <v>30000000</v>
      </c>
      <c r="F99" s="654"/>
      <c r="G99" s="633">
        <f t="shared" si="28"/>
        <v>30000000</v>
      </c>
      <c r="H99" s="654"/>
      <c r="I99" s="682">
        <f t="shared" si="27"/>
        <v>30000000</v>
      </c>
      <c r="J99" s="682"/>
      <c r="K99" s="682"/>
      <c r="L99" s="682"/>
      <c r="M99" s="682">
        <v>-26000000</v>
      </c>
      <c r="N99" s="682">
        <f t="shared" si="26"/>
        <v>4000000</v>
      </c>
      <c r="O99" s="682">
        <v>495183</v>
      </c>
      <c r="P99" s="682">
        <v>1030418</v>
      </c>
      <c r="Q99" s="682">
        <v>1200000</v>
      </c>
      <c r="R99" s="683">
        <v>1114264</v>
      </c>
      <c r="S99" s="682">
        <f t="shared" si="25"/>
        <v>3839865</v>
      </c>
      <c r="T99" s="637">
        <f t="shared" si="24"/>
        <v>0.95996625</v>
      </c>
      <c r="U99" s="686"/>
      <c r="V99" s="686"/>
      <c r="W99" s="686"/>
      <c r="X99" s="686"/>
      <c r="Y99" s="686"/>
      <c r="Z99" s="644"/>
    </row>
    <row r="100" spans="1:27" ht="15" collapsed="1">
      <c r="A100" s="695" t="s">
        <v>169</v>
      </c>
      <c r="B100" s="654"/>
      <c r="C100" s="633"/>
      <c r="D100" s="633"/>
      <c r="E100" s="647">
        <f>+E101+E102</f>
        <v>802856000</v>
      </c>
      <c r="F100" s="654"/>
      <c r="G100" s="647">
        <f t="shared" si="28"/>
        <v>802856000</v>
      </c>
      <c r="H100" s="675"/>
      <c r="I100" s="676">
        <f>+H100+G100</f>
        <v>802856000</v>
      </c>
      <c r="J100" s="682"/>
      <c r="K100" s="685"/>
      <c r="L100" s="685"/>
      <c r="M100" s="676">
        <f>+M101+M102</f>
        <v>-600000000</v>
      </c>
      <c r="N100" s="678">
        <f t="shared" si="26"/>
        <v>202856000</v>
      </c>
      <c r="O100" s="678">
        <f>+O101+O102</f>
        <v>23569721</v>
      </c>
      <c r="P100" s="678">
        <f>+P101+P102</f>
        <v>40482329</v>
      </c>
      <c r="Q100" s="678">
        <f>+Q101+Q102</f>
        <v>22990702</v>
      </c>
      <c r="R100" s="690">
        <f>+SUM(R101:R102)</f>
        <v>86155833</v>
      </c>
      <c r="S100" s="678">
        <f t="shared" si="25"/>
        <v>173198585</v>
      </c>
      <c r="T100" s="627">
        <f t="shared" si="24"/>
        <v>0.8538006516938124</v>
      </c>
      <c r="U100" s="665"/>
      <c r="V100" s="665"/>
      <c r="W100" s="665"/>
      <c r="X100" s="665"/>
      <c r="Y100" s="665"/>
      <c r="Z100" s="644"/>
      <c r="AA100" s="753" t="s">
        <v>544</v>
      </c>
    </row>
    <row r="101" spans="1:26" ht="15" hidden="1" outlineLevel="1">
      <c r="A101" s="681" t="s">
        <v>170</v>
      </c>
      <c r="B101" s="654"/>
      <c r="C101" s="633"/>
      <c r="D101" s="633"/>
      <c r="E101" s="633">
        <v>202856000</v>
      </c>
      <c r="F101" s="654"/>
      <c r="G101" s="633">
        <f t="shared" si="28"/>
        <v>202856000</v>
      </c>
      <c r="H101" s="675"/>
      <c r="I101" s="682">
        <f>+H101+G101</f>
        <v>202856000</v>
      </c>
      <c r="J101" s="682"/>
      <c r="K101" s="682"/>
      <c r="L101" s="682"/>
      <c r="M101" s="682">
        <v>-50000000</v>
      </c>
      <c r="N101" s="682">
        <f>+I101+J101+L101+M101-300000</f>
        <v>152556000</v>
      </c>
      <c r="O101" s="682">
        <v>23569721</v>
      </c>
      <c r="P101" s="682">
        <v>40482329</v>
      </c>
      <c r="Q101" s="682">
        <v>22990702</v>
      </c>
      <c r="R101" s="683">
        <v>35885917</v>
      </c>
      <c r="S101" s="682">
        <f t="shared" si="25"/>
        <v>122928669</v>
      </c>
      <c r="T101" s="637">
        <f t="shared" si="24"/>
        <v>0.8057937347596948</v>
      </c>
      <c r="U101" s="665"/>
      <c r="V101" s="665"/>
      <c r="W101" s="665"/>
      <c r="X101" s="665"/>
      <c r="Y101" s="665"/>
      <c r="Z101" s="644"/>
    </row>
    <row r="102" spans="1:26" ht="15" hidden="1" outlineLevel="1">
      <c r="A102" s="681" t="s">
        <v>446</v>
      </c>
      <c r="B102" s="654"/>
      <c r="C102" s="633"/>
      <c r="D102" s="633"/>
      <c r="E102" s="633">
        <v>600000000</v>
      </c>
      <c r="F102" s="654"/>
      <c r="G102" s="633">
        <f t="shared" si="28"/>
        <v>600000000</v>
      </c>
      <c r="H102" s="675"/>
      <c r="I102" s="682">
        <f>+H102+G102</f>
        <v>600000000</v>
      </c>
      <c r="J102" s="682"/>
      <c r="K102" s="682"/>
      <c r="L102" s="682"/>
      <c r="M102" s="682">
        <f>-550000000</f>
        <v>-550000000</v>
      </c>
      <c r="N102" s="682">
        <f>+I102+J102+L102+M102+300000</f>
        <v>50300000</v>
      </c>
      <c r="O102" s="682">
        <v>0</v>
      </c>
      <c r="P102" s="682">
        <v>0</v>
      </c>
      <c r="Q102" s="682">
        <v>0</v>
      </c>
      <c r="R102" s="683">
        <v>50269916</v>
      </c>
      <c r="S102" s="682">
        <f t="shared" si="25"/>
        <v>50269916</v>
      </c>
      <c r="T102" s="637">
        <f t="shared" si="24"/>
        <v>0.9994019085487078</v>
      </c>
      <c r="U102" s="686"/>
      <c r="V102" s="686"/>
      <c r="W102" s="686"/>
      <c r="X102" s="686"/>
      <c r="Y102" s="686"/>
      <c r="Z102" s="644"/>
    </row>
    <row r="103" spans="1:26" ht="15" collapsed="1">
      <c r="A103" s="695" t="s">
        <v>178</v>
      </c>
      <c r="B103" s="654"/>
      <c r="C103" s="633"/>
      <c r="D103" s="633"/>
      <c r="E103" s="647">
        <f>+E104+E105+E106+E107</f>
        <v>1614469701.9875</v>
      </c>
      <c r="F103" s="654"/>
      <c r="G103" s="647">
        <f aca="true" t="shared" si="29" ref="G103:G113">+F103+E103+C103+B103</f>
        <v>1614469701.9875</v>
      </c>
      <c r="H103" s="675"/>
      <c r="I103" s="676">
        <f>+G103+H103</f>
        <v>1614469701.9875</v>
      </c>
      <c r="J103" s="682"/>
      <c r="K103" s="685"/>
      <c r="L103" s="685"/>
      <c r="M103" s="676">
        <f>+M104+M105+M106+M107</f>
        <v>-79600000</v>
      </c>
      <c r="N103" s="678">
        <f>+I103+J103+L103+M103</f>
        <v>1534869701.9875</v>
      </c>
      <c r="O103" s="678">
        <f>+O104+O105+O106+O107</f>
        <v>433435873</v>
      </c>
      <c r="P103" s="678">
        <f>+P104+P105+P106+P107</f>
        <v>284406640</v>
      </c>
      <c r="Q103" s="678">
        <f>+Q104+Q105+Q106+Q107</f>
        <v>581409828</v>
      </c>
      <c r="R103" s="690">
        <f>+SUM(R104:R107)</f>
        <v>217522201</v>
      </c>
      <c r="S103" s="678">
        <f t="shared" si="25"/>
        <v>1516774542</v>
      </c>
      <c r="T103" s="627">
        <f t="shared" si="24"/>
        <v>0.9882106214201319</v>
      </c>
      <c r="U103" s="665"/>
      <c r="V103" s="665"/>
      <c r="W103" s="665"/>
      <c r="X103" s="665"/>
      <c r="Y103" s="665"/>
      <c r="Z103" s="644"/>
    </row>
    <row r="104" spans="1:26" ht="15" hidden="1" outlineLevel="1">
      <c r="A104" s="681" t="s">
        <v>171</v>
      </c>
      <c r="B104" s="654"/>
      <c r="C104" s="633"/>
      <c r="D104" s="633"/>
      <c r="E104" s="633">
        <v>1467598993.9875</v>
      </c>
      <c r="F104" s="654"/>
      <c r="G104" s="633">
        <f t="shared" si="29"/>
        <v>1467598993.9875</v>
      </c>
      <c r="H104" s="675"/>
      <c r="I104" s="682">
        <f>+G104+H104</f>
        <v>1467598993.9875</v>
      </c>
      <c r="J104" s="682"/>
      <c r="K104" s="682"/>
      <c r="L104" s="682"/>
      <c r="M104" s="682">
        <v>-55400000</v>
      </c>
      <c r="N104" s="682">
        <f>+I104+J104+L104+M104-24000000</f>
        <v>1388198993.9875</v>
      </c>
      <c r="O104" s="682">
        <v>403124831</v>
      </c>
      <c r="P104" s="682">
        <v>250000000</v>
      </c>
      <c r="Q104" s="682">
        <v>534316038</v>
      </c>
      <c r="R104" s="683">
        <v>194767448</v>
      </c>
      <c r="S104" s="682">
        <f t="shared" si="25"/>
        <v>1382208317</v>
      </c>
      <c r="T104" s="637">
        <f t="shared" si="24"/>
        <v>0.9956845689894269</v>
      </c>
      <c r="U104" s="665"/>
      <c r="V104" s="665"/>
      <c r="W104" s="665"/>
      <c r="X104" s="665"/>
      <c r="Y104" s="665"/>
      <c r="Z104" s="644"/>
    </row>
    <row r="105" spans="1:26" ht="14.25" hidden="1" outlineLevel="1">
      <c r="A105" s="681" t="s">
        <v>193</v>
      </c>
      <c r="B105" s="654"/>
      <c r="C105" s="633"/>
      <c r="D105" s="633"/>
      <c r="E105" s="633">
        <v>69170708</v>
      </c>
      <c r="F105" s="654"/>
      <c r="G105" s="633">
        <f t="shared" si="29"/>
        <v>69170708</v>
      </c>
      <c r="H105" s="654"/>
      <c r="I105" s="682">
        <f>+G105+H105</f>
        <v>69170708</v>
      </c>
      <c r="J105" s="682"/>
      <c r="K105" s="682"/>
      <c r="L105" s="682"/>
      <c r="M105" s="682"/>
      <c r="N105" s="682">
        <f>+I105+J105+L105+M105+24000000</f>
        <v>93170708</v>
      </c>
      <c r="O105" s="682">
        <v>19527342</v>
      </c>
      <c r="P105" s="682">
        <v>21287880</v>
      </c>
      <c r="Q105" s="682">
        <v>34741845</v>
      </c>
      <c r="R105" s="683">
        <v>10981353</v>
      </c>
      <c r="S105" s="682">
        <f t="shared" si="25"/>
        <v>86538420</v>
      </c>
      <c r="T105" s="637">
        <f t="shared" si="24"/>
        <v>0.928815738955209</v>
      </c>
      <c r="U105" s="665"/>
      <c r="V105" s="665"/>
      <c r="W105" s="665"/>
      <c r="X105" s="665"/>
      <c r="Y105" s="665"/>
      <c r="Z105" s="644"/>
    </row>
    <row r="106" spans="1:26" ht="14.25" hidden="1" outlineLevel="1">
      <c r="A106" s="681" t="s">
        <v>179</v>
      </c>
      <c r="B106" s="654"/>
      <c r="C106" s="633"/>
      <c r="D106" s="633"/>
      <c r="E106" s="633">
        <v>66600000</v>
      </c>
      <c r="F106" s="654"/>
      <c r="G106" s="633">
        <f t="shared" si="29"/>
        <v>66600000</v>
      </c>
      <c r="H106" s="654"/>
      <c r="I106" s="682">
        <f>+G106+H106</f>
        <v>66600000</v>
      </c>
      <c r="J106" s="682"/>
      <c r="K106" s="682"/>
      <c r="L106" s="682"/>
      <c r="M106" s="682">
        <v>-24200000</v>
      </c>
      <c r="N106" s="682">
        <f aca="true" t="shared" si="30" ref="N106:N113">+I106+J106+L106+M106</f>
        <v>42400000</v>
      </c>
      <c r="O106" s="682">
        <v>8029887</v>
      </c>
      <c r="P106" s="682">
        <v>10328760</v>
      </c>
      <c r="Q106" s="682">
        <v>9561945</v>
      </c>
      <c r="R106" s="683">
        <v>9262400</v>
      </c>
      <c r="S106" s="682">
        <f t="shared" si="25"/>
        <v>37182992</v>
      </c>
      <c r="T106" s="637">
        <f t="shared" si="24"/>
        <v>0.876957358490566</v>
      </c>
      <c r="U106" s="665"/>
      <c r="V106" s="665"/>
      <c r="W106" s="665"/>
      <c r="X106" s="665"/>
      <c r="Y106" s="665"/>
      <c r="Z106" s="644"/>
    </row>
    <row r="107" spans="1:26" s="680" customFormat="1" ht="15" hidden="1" outlineLevel="1">
      <c r="A107" s="681" t="s">
        <v>194</v>
      </c>
      <c r="B107" s="654"/>
      <c r="C107" s="633"/>
      <c r="D107" s="633"/>
      <c r="E107" s="633">
        <v>11100000</v>
      </c>
      <c r="F107" s="654"/>
      <c r="G107" s="633">
        <f t="shared" si="29"/>
        <v>11100000</v>
      </c>
      <c r="H107" s="654"/>
      <c r="I107" s="682">
        <f>+G107+H107</f>
        <v>11100000</v>
      </c>
      <c r="J107" s="682"/>
      <c r="K107" s="682"/>
      <c r="L107" s="682"/>
      <c r="M107" s="682"/>
      <c r="N107" s="682">
        <f t="shared" si="30"/>
        <v>11100000</v>
      </c>
      <c r="O107" s="682">
        <v>2753813</v>
      </c>
      <c r="P107" s="682">
        <v>2790000</v>
      </c>
      <c r="Q107" s="682">
        <v>2790000</v>
      </c>
      <c r="R107" s="683">
        <v>2511000</v>
      </c>
      <c r="S107" s="682">
        <f t="shared" si="25"/>
        <v>10844813</v>
      </c>
      <c r="T107" s="637">
        <f t="shared" si="24"/>
        <v>0.9770101801801802</v>
      </c>
      <c r="U107" s="686"/>
      <c r="V107" s="686"/>
      <c r="W107" s="686"/>
      <c r="X107" s="686"/>
      <c r="Y107" s="686"/>
      <c r="Z107" s="644"/>
    </row>
    <row r="108" spans="1:26" s="680" customFormat="1" ht="15" collapsed="1">
      <c r="A108" s="694" t="s">
        <v>447</v>
      </c>
      <c r="B108" s="654"/>
      <c r="C108" s="647">
        <f>SUM(C109:C113)</f>
        <v>537695796.2104001</v>
      </c>
      <c r="D108" s="647"/>
      <c r="E108" s="633"/>
      <c r="F108" s="654"/>
      <c r="G108" s="647">
        <f t="shared" si="29"/>
        <v>537695796.2104001</v>
      </c>
      <c r="H108" s="654"/>
      <c r="I108" s="676">
        <f aca="true" t="shared" si="31" ref="I108:I115">+H108+G108</f>
        <v>537695796.2104001</v>
      </c>
      <c r="J108" s="682"/>
      <c r="K108" s="685"/>
      <c r="L108" s="685"/>
      <c r="M108" s="676">
        <v>-50000000</v>
      </c>
      <c r="N108" s="678">
        <f t="shared" si="30"/>
        <v>487695796.2104001</v>
      </c>
      <c r="O108" s="678">
        <f>+O110+O111+O113</f>
        <v>35898599</v>
      </c>
      <c r="P108" s="678">
        <f>+P109+P110+P111+P112+P113</f>
        <v>92470260</v>
      </c>
      <c r="Q108" s="678">
        <f>SUM(Q109:Q113)</f>
        <v>150475168</v>
      </c>
      <c r="R108" s="649">
        <f>+SUM(R109:R113)</f>
        <v>189196604</v>
      </c>
      <c r="S108" s="678">
        <f t="shared" si="25"/>
        <v>468040631</v>
      </c>
      <c r="T108" s="627">
        <f t="shared" si="24"/>
        <v>0.9596978990527929</v>
      </c>
      <c r="U108" s="686"/>
      <c r="V108" s="686"/>
      <c r="W108" s="686"/>
      <c r="X108" s="686"/>
      <c r="Y108" s="686"/>
      <c r="Z108" s="644"/>
    </row>
    <row r="109" spans="1:26" s="680" customFormat="1" ht="15">
      <c r="A109" s="695" t="s">
        <v>448</v>
      </c>
      <c r="B109" s="633"/>
      <c r="C109" s="647">
        <v>75000000</v>
      </c>
      <c r="D109" s="633"/>
      <c r="E109" s="654"/>
      <c r="F109" s="654"/>
      <c r="G109" s="647">
        <f t="shared" si="29"/>
        <v>75000000</v>
      </c>
      <c r="H109" s="675"/>
      <c r="I109" s="676">
        <f t="shared" si="31"/>
        <v>75000000</v>
      </c>
      <c r="J109" s="682"/>
      <c r="K109" s="685"/>
      <c r="L109" s="685"/>
      <c r="M109" s="664"/>
      <c r="N109" s="678">
        <f t="shared" si="30"/>
        <v>75000000</v>
      </c>
      <c r="O109" s="678">
        <v>0</v>
      </c>
      <c r="P109" s="678">
        <v>0</v>
      </c>
      <c r="Q109" s="678">
        <v>10000000</v>
      </c>
      <c r="R109" s="690">
        <v>62531440</v>
      </c>
      <c r="S109" s="678">
        <f t="shared" si="25"/>
        <v>72531440</v>
      </c>
      <c r="T109" s="627">
        <f t="shared" si="24"/>
        <v>0.9670858666666666</v>
      </c>
      <c r="U109" s="686"/>
      <c r="V109" s="686"/>
      <c r="W109" s="686"/>
      <c r="X109" s="686"/>
      <c r="Y109" s="686"/>
      <c r="Z109" s="644"/>
    </row>
    <row r="110" spans="1:26" s="680" customFormat="1" ht="30">
      <c r="A110" s="695" t="s">
        <v>449</v>
      </c>
      <c r="B110" s="633"/>
      <c r="C110" s="647">
        <v>163883184.4104</v>
      </c>
      <c r="D110" s="633"/>
      <c r="E110" s="654"/>
      <c r="F110" s="654"/>
      <c r="G110" s="647">
        <f t="shared" si="29"/>
        <v>163883184.4104</v>
      </c>
      <c r="H110" s="675"/>
      <c r="I110" s="676">
        <f t="shared" si="31"/>
        <v>163883184.4104</v>
      </c>
      <c r="J110" s="682"/>
      <c r="K110" s="685"/>
      <c r="L110" s="685"/>
      <c r="M110" s="688">
        <v>10000000</v>
      </c>
      <c r="N110" s="678">
        <f t="shared" si="30"/>
        <v>173883184.4104</v>
      </c>
      <c r="O110" s="678">
        <v>6641014</v>
      </c>
      <c r="P110" s="678">
        <v>27792811</v>
      </c>
      <c r="Q110" s="678">
        <v>91103068</v>
      </c>
      <c r="R110" s="690">
        <v>45676466</v>
      </c>
      <c r="S110" s="678">
        <f t="shared" si="25"/>
        <v>171213359</v>
      </c>
      <c r="T110" s="627">
        <f t="shared" si="24"/>
        <v>0.9846458677447575</v>
      </c>
      <c r="U110" s="686"/>
      <c r="V110" s="686"/>
      <c r="W110" s="686"/>
      <c r="X110" s="686"/>
      <c r="Y110" s="686"/>
      <c r="Z110" s="644"/>
    </row>
    <row r="111" spans="1:26" s="680" customFormat="1" ht="30">
      <c r="A111" s="695" t="s">
        <v>450</v>
      </c>
      <c r="B111" s="633"/>
      <c r="C111" s="647">
        <v>144000000</v>
      </c>
      <c r="D111" s="633"/>
      <c r="E111" s="654"/>
      <c r="F111" s="654"/>
      <c r="G111" s="647">
        <f t="shared" si="29"/>
        <v>144000000</v>
      </c>
      <c r="H111" s="675"/>
      <c r="I111" s="676">
        <f t="shared" si="31"/>
        <v>144000000</v>
      </c>
      <c r="J111" s="682"/>
      <c r="K111" s="685"/>
      <c r="L111" s="685"/>
      <c r="M111" s="688">
        <v>-60000000</v>
      </c>
      <c r="N111" s="678">
        <f t="shared" si="30"/>
        <v>84000000</v>
      </c>
      <c r="O111" s="678">
        <v>9705726</v>
      </c>
      <c r="P111" s="678">
        <v>13878715</v>
      </c>
      <c r="Q111" s="678">
        <v>15660925</v>
      </c>
      <c r="R111" s="690">
        <v>36250155</v>
      </c>
      <c r="S111" s="678">
        <f t="shared" si="25"/>
        <v>75495521</v>
      </c>
      <c r="T111" s="627">
        <f t="shared" si="24"/>
        <v>0.8987562023809523</v>
      </c>
      <c r="U111" s="686"/>
      <c r="V111" s="686"/>
      <c r="W111" s="686"/>
      <c r="X111" s="686"/>
      <c r="Y111" s="686"/>
      <c r="Z111" s="644"/>
    </row>
    <row r="112" spans="1:27" s="680" customFormat="1" ht="15">
      <c r="A112" s="695" t="s">
        <v>451</v>
      </c>
      <c r="B112" s="633"/>
      <c r="C112" s="647">
        <v>31043625</v>
      </c>
      <c r="D112" s="633"/>
      <c r="E112" s="654"/>
      <c r="F112" s="654"/>
      <c r="G112" s="647">
        <f t="shared" si="29"/>
        <v>31043625</v>
      </c>
      <c r="H112" s="675"/>
      <c r="I112" s="676">
        <f t="shared" si="31"/>
        <v>31043625</v>
      </c>
      <c r="J112" s="682"/>
      <c r="K112" s="685"/>
      <c r="L112" s="685"/>
      <c r="M112" s="664"/>
      <c r="N112" s="678">
        <f t="shared" si="30"/>
        <v>31043625</v>
      </c>
      <c r="O112" s="678">
        <v>0</v>
      </c>
      <c r="P112" s="678">
        <v>18748271</v>
      </c>
      <c r="Q112" s="678">
        <v>1104600</v>
      </c>
      <c r="R112" s="690">
        <v>5878728</v>
      </c>
      <c r="S112" s="678">
        <f t="shared" si="25"/>
        <v>25731599</v>
      </c>
      <c r="T112" s="627">
        <f t="shared" si="24"/>
        <v>0.8288851253679298</v>
      </c>
      <c r="U112" s="686"/>
      <c r="V112" s="686"/>
      <c r="W112" s="686"/>
      <c r="X112" s="686"/>
      <c r="Y112" s="686"/>
      <c r="Z112" s="644"/>
      <c r="AA112" s="680" t="s">
        <v>544</v>
      </c>
    </row>
    <row r="113" spans="1:26" s="680" customFormat="1" ht="15">
      <c r="A113" s="695" t="s">
        <v>452</v>
      </c>
      <c r="B113" s="633"/>
      <c r="C113" s="647">
        <v>123768986.80000001</v>
      </c>
      <c r="D113" s="633"/>
      <c r="E113" s="654"/>
      <c r="F113" s="654"/>
      <c r="G113" s="647">
        <f t="shared" si="29"/>
        <v>123768986.80000001</v>
      </c>
      <c r="H113" s="675"/>
      <c r="I113" s="676">
        <f t="shared" si="31"/>
        <v>123768986.80000001</v>
      </c>
      <c r="J113" s="682"/>
      <c r="K113" s="685"/>
      <c r="L113" s="685"/>
      <c r="M113" s="664"/>
      <c r="N113" s="678">
        <f t="shared" si="30"/>
        <v>123768986.80000001</v>
      </c>
      <c r="O113" s="678">
        <v>19551859</v>
      </c>
      <c r="P113" s="678">
        <v>32050463</v>
      </c>
      <c r="Q113" s="678">
        <v>32606575</v>
      </c>
      <c r="R113" s="690">
        <v>38859815</v>
      </c>
      <c r="S113" s="678">
        <f t="shared" si="25"/>
        <v>123068712</v>
      </c>
      <c r="T113" s="627">
        <f t="shared" si="24"/>
        <v>0.9943420818243297</v>
      </c>
      <c r="U113" s="700"/>
      <c r="V113" s="700"/>
      <c r="W113" s="700"/>
      <c r="X113" s="700"/>
      <c r="Y113" s="700"/>
      <c r="Z113" s="644"/>
    </row>
    <row r="114" spans="1:26" s="680" customFormat="1" ht="15">
      <c r="A114" s="684"/>
      <c r="B114" s="634"/>
      <c r="C114" s="634"/>
      <c r="D114" s="634"/>
      <c r="E114" s="619"/>
      <c r="F114" s="619"/>
      <c r="G114" s="634"/>
      <c r="H114" s="619"/>
      <c r="I114" s="620"/>
      <c r="J114" s="620"/>
      <c r="K114" s="664"/>
      <c r="L114" s="664"/>
      <c r="M114" s="664"/>
      <c r="N114" s="622"/>
      <c r="O114" s="622"/>
      <c r="P114" s="622"/>
      <c r="Q114" s="622"/>
      <c r="R114" s="701"/>
      <c r="S114" s="622"/>
      <c r="T114" s="627"/>
      <c r="U114" s="686"/>
      <c r="V114" s="686"/>
      <c r="W114" s="686"/>
      <c r="X114" s="686"/>
      <c r="Y114" s="686"/>
      <c r="Z114" s="644"/>
    </row>
    <row r="115" spans="1:26" s="673" customFormat="1" ht="30">
      <c r="A115" s="666" t="s">
        <v>453</v>
      </c>
      <c r="B115" s="667">
        <f>+B116</f>
        <v>513554845.3697306</v>
      </c>
      <c r="C115" s="667"/>
      <c r="D115" s="667"/>
      <c r="E115" s="667"/>
      <c r="F115" s="667"/>
      <c r="G115" s="667">
        <f>SUM(B115:F115)</f>
        <v>513554845.3697306</v>
      </c>
      <c r="H115" s="667"/>
      <c r="I115" s="670">
        <f t="shared" si="31"/>
        <v>513554845.3697306</v>
      </c>
      <c r="J115" s="670">
        <f>+J116</f>
        <v>258000000</v>
      </c>
      <c r="K115" s="670"/>
      <c r="L115" s="670">
        <f>+L116</f>
        <v>14500000</v>
      </c>
      <c r="M115" s="702">
        <f>+M116</f>
        <v>-10983997</v>
      </c>
      <c r="N115" s="670">
        <f>+I115+J115+L115+M115</f>
        <v>775070848.3697306</v>
      </c>
      <c r="O115" s="670">
        <f>+O116</f>
        <v>213877689</v>
      </c>
      <c r="P115" s="670">
        <f>+P116</f>
        <v>183498797</v>
      </c>
      <c r="Q115" s="670">
        <f>+Q116</f>
        <v>186795087</v>
      </c>
      <c r="R115" s="670">
        <f>+R116</f>
        <v>178753170</v>
      </c>
      <c r="S115" s="670">
        <f t="shared" si="25"/>
        <v>762924743</v>
      </c>
      <c r="T115" s="672">
        <f t="shared" si="24"/>
        <v>0.9843290385707597</v>
      </c>
      <c r="U115" s="686"/>
      <c r="V115" s="686"/>
      <c r="W115" s="686"/>
      <c r="X115" s="686"/>
      <c r="Y115" s="686"/>
      <c r="Z115" s="644"/>
    </row>
    <row r="116" spans="1:26" s="680" customFormat="1" ht="15">
      <c r="A116" s="674" t="s">
        <v>87</v>
      </c>
      <c r="B116" s="647">
        <f>+B117+B120+B121+B122+B123</f>
        <v>513554845.3697306</v>
      </c>
      <c r="C116" s="675"/>
      <c r="D116" s="675"/>
      <c r="E116" s="675"/>
      <c r="F116" s="675"/>
      <c r="G116" s="647">
        <f aca="true" t="shared" si="32" ref="G116:G123">+SUM(B116:F116)</f>
        <v>513554845.3697306</v>
      </c>
      <c r="H116" s="675"/>
      <c r="I116" s="676">
        <f aca="true" t="shared" si="33" ref="I116:I123">+G116+H116</f>
        <v>513554845.3697306</v>
      </c>
      <c r="J116" s="678">
        <f>+J117+J120+J121+J122+J123+J124</f>
        <v>258000000</v>
      </c>
      <c r="K116" s="678"/>
      <c r="L116" s="678">
        <f>+L117+L120+L121+L122+L123+L124</f>
        <v>14500000</v>
      </c>
      <c r="M116" s="703">
        <f>+M117+M120+M121+M122+M123+M124</f>
        <v>-10983997</v>
      </c>
      <c r="N116" s="678">
        <f>+I116+J116+L116+M116</f>
        <v>775070848.3697306</v>
      </c>
      <c r="O116" s="678">
        <f>+O117+O120+O121+O122+O123</f>
        <v>213877689</v>
      </c>
      <c r="P116" s="678">
        <f>+P117+P120+P121+P122+P123+P124</f>
        <v>183498797</v>
      </c>
      <c r="Q116" s="678">
        <f>+Q117+Q120+Q121+Q122+Q123+Q124</f>
        <v>186795087</v>
      </c>
      <c r="R116" s="690">
        <f>+R117+SUM(R120:R124)</f>
        <v>178753170</v>
      </c>
      <c r="S116" s="678">
        <f t="shared" si="25"/>
        <v>762924743</v>
      </c>
      <c r="T116" s="627">
        <f t="shared" si="24"/>
        <v>0.9843290385707597</v>
      </c>
      <c r="U116" s="665"/>
      <c r="V116" s="665"/>
      <c r="W116" s="665"/>
      <c r="X116" s="665"/>
      <c r="Y116" s="665"/>
      <c r="Z116" s="644"/>
    </row>
    <row r="117" spans="1:26" s="680" customFormat="1" ht="15" hidden="1" outlineLevel="1">
      <c r="A117" s="704" t="s">
        <v>340</v>
      </c>
      <c r="B117" s="647">
        <f>+B118+B119</f>
        <v>288785545.08423054</v>
      </c>
      <c r="C117" s="675"/>
      <c r="D117" s="675"/>
      <c r="E117" s="705"/>
      <c r="F117" s="675"/>
      <c r="G117" s="633">
        <f t="shared" si="32"/>
        <v>288785545.08423054</v>
      </c>
      <c r="H117" s="675"/>
      <c r="I117" s="682">
        <f>+G117+H117</f>
        <v>288785545.08423054</v>
      </c>
      <c r="J117" s="682">
        <f>+J118+J119</f>
        <v>10000000</v>
      </c>
      <c r="K117" s="682"/>
      <c r="L117" s="682"/>
      <c r="M117" s="682">
        <f>+M118+M119</f>
        <v>-10983997</v>
      </c>
      <c r="N117" s="682">
        <f>+I117+J117+L117+M117</f>
        <v>287801548.08423054</v>
      </c>
      <c r="O117" s="682">
        <f>+O118+O119</f>
        <v>174408601</v>
      </c>
      <c r="P117" s="682">
        <f>SUM(P118:P119)</f>
        <v>113392947</v>
      </c>
      <c r="Q117" s="682">
        <f>+Q118+Q119</f>
        <v>0</v>
      </c>
      <c r="R117" s="683">
        <f>+R118+R119</f>
        <v>0</v>
      </c>
      <c r="S117" s="682">
        <f>SUM(O117:R117)</f>
        <v>287801548</v>
      </c>
      <c r="T117" s="637">
        <f t="shared" si="24"/>
        <v>0.9999999997073312</v>
      </c>
      <c r="U117" s="665"/>
      <c r="V117" s="665"/>
      <c r="W117" s="665"/>
      <c r="X117" s="665"/>
      <c r="Y117" s="665"/>
      <c r="Z117" s="644"/>
    </row>
    <row r="118" spans="1:26" s="680" customFormat="1" ht="15" hidden="1" outlineLevel="2">
      <c r="A118" s="704" t="s">
        <v>121</v>
      </c>
      <c r="B118" s="633">
        <v>231028436.06738445</v>
      </c>
      <c r="C118" s="675"/>
      <c r="D118" s="675"/>
      <c r="E118" s="675"/>
      <c r="F118" s="675"/>
      <c r="G118" s="633">
        <f t="shared" si="32"/>
        <v>231028436.06738445</v>
      </c>
      <c r="H118" s="675"/>
      <c r="I118" s="682">
        <f t="shared" si="33"/>
        <v>231028436.06738445</v>
      </c>
      <c r="J118" s="682">
        <v>2700000</v>
      </c>
      <c r="K118" s="682"/>
      <c r="L118" s="682"/>
      <c r="M118" s="682">
        <v>-10851179</v>
      </c>
      <c r="N118" s="682">
        <f>+I118+J118+L118+M118</f>
        <v>222877257.06738445</v>
      </c>
      <c r="O118" s="682">
        <v>139526874</v>
      </c>
      <c r="P118" s="682">
        <v>83350383</v>
      </c>
      <c r="Q118" s="682">
        <v>0</v>
      </c>
      <c r="R118" s="683">
        <v>0</v>
      </c>
      <c r="S118" s="682">
        <f t="shared" si="25"/>
        <v>222877257</v>
      </c>
      <c r="T118" s="637">
        <f t="shared" si="24"/>
        <v>0.9999999996976612</v>
      </c>
      <c r="U118" s="665"/>
      <c r="V118" s="665"/>
      <c r="W118" s="665"/>
      <c r="X118" s="665"/>
      <c r="Y118" s="665"/>
      <c r="Z118" s="644"/>
    </row>
    <row r="119" spans="1:26" s="680" customFormat="1" ht="15" hidden="1" outlineLevel="2">
      <c r="A119" s="704" t="s">
        <v>454</v>
      </c>
      <c r="B119" s="633">
        <v>57757109.01684611</v>
      </c>
      <c r="C119" s="675"/>
      <c r="D119" s="675"/>
      <c r="E119" s="675"/>
      <c r="F119" s="675"/>
      <c r="G119" s="633">
        <f t="shared" si="32"/>
        <v>57757109.01684611</v>
      </c>
      <c r="H119" s="675"/>
      <c r="I119" s="682">
        <f t="shared" si="33"/>
        <v>57757109.01684611</v>
      </c>
      <c r="J119" s="682">
        <v>7300000</v>
      </c>
      <c r="K119" s="682"/>
      <c r="L119" s="682"/>
      <c r="M119" s="682">
        <v>-132818</v>
      </c>
      <c r="N119" s="682">
        <f>+I119+J119+L119+M119</f>
        <v>64924291.01684611</v>
      </c>
      <c r="O119" s="682">
        <v>34881727</v>
      </c>
      <c r="P119" s="682">
        <v>30042564</v>
      </c>
      <c r="Q119" s="682">
        <v>0</v>
      </c>
      <c r="R119" s="683">
        <v>0</v>
      </c>
      <c r="S119" s="682">
        <f t="shared" si="25"/>
        <v>64924291</v>
      </c>
      <c r="T119" s="637">
        <f t="shared" si="24"/>
        <v>0.9999999997405268</v>
      </c>
      <c r="U119" s="665"/>
      <c r="V119" s="665"/>
      <c r="W119" s="665"/>
      <c r="X119" s="665"/>
      <c r="Y119" s="665"/>
      <c r="Z119" s="644"/>
    </row>
    <row r="120" spans="1:26" s="680" customFormat="1" ht="15" hidden="1" outlineLevel="1">
      <c r="A120" s="681" t="s">
        <v>116</v>
      </c>
      <c r="B120" s="633">
        <v>50000000</v>
      </c>
      <c r="C120" s="675"/>
      <c r="D120" s="675"/>
      <c r="E120" s="675"/>
      <c r="F120" s="675"/>
      <c r="G120" s="633">
        <f t="shared" si="32"/>
        <v>50000000</v>
      </c>
      <c r="H120" s="675"/>
      <c r="I120" s="682">
        <f t="shared" si="33"/>
        <v>50000000</v>
      </c>
      <c r="J120" s="682">
        <v>5000000</v>
      </c>
      <c r="K120" s="682"/>
      <c r="L120" s="682"/>
      <c r="M120" s="682"/>
      <c r="N120" s="682">
        <f>+I120+J120+L120+M120+11000000</f>
        <v>66000000</v>
      </c>
      <c r="O120" s="682">
        <v>10309075</v>
      </c>
      <c r="P120" s="682">
        <v>16863720</v>
      </c>
      <c r="Q120" s="682">
        <v>16614400</v>
      </c>
      <c r="R120" s="683">
        <v>17200500</v>
      </c>
      <c r="S120" s="682">
        <f t="shared" si="25"/>
        <v>60987695</v>
      </c>
      <c r="T120" s="637">
        <f t="shared" si="24"/>
        <v>0.9240559848484848</v>
      </c>
      <c r="U120" s="665"/>
      <c r="V120" s="665"/>
      <c r="W120" s="665"/>
      <c r="X120" s="665"/>
      <c r="Y120" s="665"/>
      <c r="Z120" s="644"/>
    </row>
    <row r="121" spans="1:26" s="680" customFormat="1" ht="15" hidden="1" outlineLevel="1">
      <c r="A121" s="681" t="s">
        <v>115</v>
      </c>
      <c r="B121" s="633">
        <v>128573345.77350001</v>
      </c>
      <c r="C121" s="647"/>
      <c r="D121" s="647"/>
      <c r="E121" s="675"/>
      <c r="F121" s="675"/>
      <c r="G121" s="633">
        <f t="shared" si="32"/>
        <v>128573345.77350001</v>
      </c>
      <c r="H121" s="675"/>
      <c r="I121" s="682">
        <f t="shared" si="33"/>
        <v>128573345.77350001</v>
      </c>
      <c r="J121" s="682">
        <v>20000000</v>
      </c>
      <c r="K121" s="682"/>
      <c r="L121" s="682">
        <v>14500000</v>
      </c>
      <c r="M121" s="682">
        <v>0</v>
      </c>
      <c r="N121" s="682">
        <f>+I121+J121+L121+M121-11000000</f>
        <v>152073345.77350003</v>
      </c>
      <c r="O121" s="682">
        <v>21524216</v>
      </c>
      <c r="P121" s="682">
        <v>30469290</v>
      </c>
      <c r="Q121" s="682">
        <v>53714961</v>
      </c>
      <c r="R121" s="683">
        <v>44733787</v>
      </c>
      <c r="S121" s="682">
        <f t="shared" si="25"/>
        <v>150442254</v>
      </c>
      <c r="T121" s="637">
        <f t="shared" si="24"/>
        <v>0.9892743086225683</v>
      </c>
      <c r="U121" s="665"/>
      <c r="V121" s="665"/>
      <c r="W121" s="665"/>
      <c r="X121" s="665"/>
      <c r="Y121" s="665"/>
      <c r="Z121" s="644"/>
    </row>
    <row r="122" spans="1:26" s="680" customFormat="1" ht="15" hidden="1" outlineLevel="1">
      <c r="A122" s="681" t="s">
        <v>114</v>
      </c>
      <c r="B122" s="633">
        <v>46195954.512</v>
      </c>
      <c r="C122" s="647"/>
      <c r="D122" s="647"/>
      <c r="E122" s="675"/>
      <c r="F122" s="675"/>
      <c r="G122" s="633">
        <f t="shared" si="32"/>
        <v>46195954.512</v>
      </c>
      <c r="H122" s="675"/>
      <c r="I122" s="682">
        <f t="shared" si="33"/>
        <v>46195954.512</v>
      </c>
      <c r="J122" s="682">
        <v>23000000</v>
      </c>
      <c r="K122" s="682"/>
      <c r="L122" s="682"/>
      <c r="M122" s="682"/>
      <c r="N122" s="682">
        <f>+I122+J122+L122+M122</f>
        <v>69195954.512</v>
      </c>
      <c r="O122" s="682">
        <v>7635797</v>
      </c>
      <c r="P122" s="682">
        <v>22772840</v>
      </c>
      <c r="Q122" s="682">
        <v>17589272</v>
      </c>
      <c r="R122" s="683">
        <v>21109528</v>
      </c>
      <c r="S122" s="682">
        <f t="shared" si="25"/>
        <v>69107437</v>
      </c>
      <c r="T122" s="637">
        <f t="shared" si="24"/>
        <v>0.9987207704175156</v>
      </c>
      <c r="U122" s="665"/>
      <c r="V122" s="665"/>
      <c r="W122" s="665"/>
      <c r="X122" s="665"/>
      <c r="Y122" s="665"/>
      <c r="Z122" s="644"/>
    </row>
    <row r="123" spans="1:26" s="680" customFormat="1" ht="15" hidden="1" outlineLevel="1">
      <c r="A123" s="681" t="s">
        <v>455</v>
      </c>
      <c r="B123" s="633">
        <v>0</v>
      </c>
      <c r="C123" s="647"/>
      <c r="D123" s="647"/>
      <c r="E123" s="675"/>
      <c r="F123" s="675"/>
      <c r="G123" s="633">
        <f t="shared" si="32"/>
        <v>0</v>
      </c>
      <c r="H123" s="675"/>
      <c r="I123" s="682">
        <f t="shared" si="33"/>
        <v>0</v>
      </c>
      <c r="J123" s="682"/>
      <c r="K123" s="682"/>
      <c r="L123" s="682"/>
      <c r="M123" s="682"/>
      <c r="N123" s="682">
        <f>+I123+J123+L123+M123</f>
        <v>0</v>
      </c>
      <c r="O123" s="682"/>
      <c r="P123" s="682">
        <v>0</v>
      </c>
      <c r="Q123" s="682">
        <v>0</v>
      </c>
      <c r="R123" s="683">
        <v>0</v>
      </c>
      <c r="S123" s="682">
        <f t="shared" si="25"/>
        <v>0</v>
      </c>
      <c r="T123" s="637">
        <v>0</v>
      </c>
      <c r="U123" s="665"/>
      <c r="V123" s="665"/>
      <c r="W123" s="665"/>
      <c r="X123" s="665"/>
      <c r="Y123" s="665"/>
      <c r="Z123" s="644"/>
    </row>
    <row r="124" spans="1:26" s="680" customFormat="1" ht="15" hidden="1" outlineLevel="1">
      <c r="A124" s="681" t="s">
        <v>456</v>
      </c>
      <c r="B124" s="633"/>
      <c r="C124" s="647"/>
      <c r="D124" s="647"/>
      <c r="E124" s="675"/>
      <c r="F124" s="675"/>
      <c r="G124" s="633"/>
      <c r="H124" s="675"/>
      <c r="I124" s="682"/>
      <c r="J124" s="682">
        <v>200000000</v>
      </c>
      <c r="K124" s="682"/>
      <c r="L124" s="682"/>
      <c r="M124" s="682"/>
      <c r="N124" s="682">
        <f>+I124+J124+L124+M124</f>
        <v>200000000</v>
      </c>
      <c r="O124" s="682"/>
      <c r="P124" s="682">
        <v>0</v>
      </c>
      <c r="Q124" s="682">
        <v>98876454</v>
      </c>
      <c r="R124" s="683">
        <v>95709355</v>
      </c>
      <c r="S124" s="682">
        <f t="shared" si="25"/>
        <v>194585809</v>
      </c>
      <c r="T124" s="637">
        <f t="shared" si="24"/>
        <v>0.972929045</v>
      </c>
      <c r="U124" s="686"/>
      <c r="V124" s="686"/>
      <c r="W124" s="686"/>
      <c r="X124" s="686"/>
      <c r="Y124" s="686"/>
      <c r="Z124" s="644"/>
    </row>
    <row r="125" spans="1:26" s="680" customFormat="1" ht="15" collapsed="1">
      <c r="A125" s="684"/>
      <c r="B125" s="634"/>
      <c r="C125" s="687"/>
      <c r="D125" s="687"/>
      <c r="E125" s="687"/>
      <c r="F125" s="687"/>
      <c r="G125" s="634"/>
      <c r="H125" s="687"/>
      <c r="I125" s="620"/>
      <c r="J125" s="662"/>
      <c r="K125" s="688"/>
      <c r="L125" s="688"/>
      <c r="M125" s="688"/>
      <c r="N125" s="678"/>
      <c r="O125" s="678"/>
      <c r="P125" s="678"/>
      <c r="Q125" s="678"/>
      <c r="R125" s="690"/>
      <c r="S125" s="678"/>
      <c r="T125" s="627"/>
      <c r="U125" s="686"/>
      <c r="V125" s="686"/>
      <c r="W125" s="686"/>
      <c r="X125" s="686"/>
      <c r="Y125" s="686"/>
      <c r="Z125" s="644"/>
    </row>
    <row r="126" spans="1:26" s="673" customFormat="1" ht="30">
      <c r="A126" s="666" t="s">
        <v>457</v>
      </c>
      <c r="B126" s="667"/>
      <c r="C126" s="667">
        <f>+C127</f>
        <v>636949175</v>
      </c>
      <c r="D126" s="667"/>
      <c r="E126" s="667"/>
      <c r="F126" s="667">
        <f>+F133+F138+F143</f>
        <v>498254937.68735003</v>
      </c>
      <c r="G126" s="667">
        <f>+B126+C126+E126+F126+D126</f>
        <v>1135204112.68735</v>
      </c>
      <c r="H126" s="667"/>
      <c r="I126" s="670">
        <f>+H126+G126</f>
        <v>1135204112.68735</v>
      </c>
      <c r="J126" s="670">
        <f>+J127+J133+J138+J143</f>
        <v>6000000</v>
      </c>
      <c r="K126" s="670"/>
      <c r="L126" s="670">
        <f>+L127+L133+L138+L143</f>
        <v>0</v>
      </c>
      <c r="M126" s="670">
        <f>+M127+M133+M138+M143</f>
        <v>-152279000</v>
      </c>
      <c r="N126" s="670">
        <f aca="true" t="shared" si="34" ref="N126:N133">+I126+J126+L126+M126</f>
        <v>988925112.68735</v>
      </c>
      <c r="O126" s="670">
        <f>+O127+O133+O138+O143</f>
        <v>138388356</v>
      </c>
      <c r="P126" s="670">
        <f>+P127+P133+P138+P143</f>
        <v>212017685</v>
      </c>
      <c r="Q126" s="670">
        <f>+Q127+Q133+Q138+Q143</f>
        <v>264996842</v>
      </c>
      <c r="R126" s="671">
        <f>+R127+R133+R138+R143</f>
        <v>314795141</v>
      </c>
      <c r="S126" s="670">
        <f t="shared" si="25"/>
        <v>930198024</v>
      </c>
      <c r="T126" s="672">
        <f t="shared" si="24"/>
        <v>0.9406152316955908</v>
      </c>
      <c r="U126" s="686"/>
      <c r="V126" s="686"/>
      <c r="W126" s="686"/>
      <c r="X126" s="686"/>
      <c r="Y126" s="686"/>
      <c r="Z126" s="644"/>
    </row>
    <row r="127" spans="1:26" s="680" customFormat="1" ht="15">
      <c r="A127" s="674" t="s">
        <v>458</v>
      </c>
      <c r="B127" s="633"/>
      <c r="C127" s="647">
        <f>+C128+C131+C132</f>
        <v>636949175</v>
      </c>
      <c r="D127" s="647"/>
      <c r="E127" s="675"/>
      <c r="F127" s="675"/>
      <c r="G127" s="647">
        <f aca="true" t="shared" si="35" ref="G127:G132">+F127+E127+C127+B127</f>
        <v>636949175</v>
      </c>
      <c r="H127" s="675"/>
      <c r="I127" s="676">
        <f>+H127+G127</f>
        <v>636949175</v>
      </c>
      <c r="J127" s="676"/>
      <c r="K127" s="677"/>
      <c r="L127" s="677"/>
      <c r="M127" s="676">
        <f>+M128+M131+M132</f>
        <v>-100000000</v>
      </c>
      <c r="N127" s="678">
        <f t="shared" si="34"/>
        <v>536949175</v>
      </c>
      <c r="O127" s="678">
        <f>+O128+O131</f>
        <v>42387338</v>
      </c>
      <c r="P127" s="678">
        <f>+P128+P131+P132</f>
        <v>83020135</v>
      </c>
      <c r="Q127" s="678">
        <f>+Q128+Q131+Q132</f>
        <v>154217586</v>
      </c>
      <c r="R127" s="649">
        <f>+R128+R131+R132</f>
        <v>205996987</v>
      </c>
      <c r="S127" s="678">
        <f t="shared" si="25"/>
        <v>485622046</v>
      </c>
      <c r="T127" s="627">
        <f t="shared" si="24"/>
        <v>0.9044097069336218</v>
      </c>
      <c r="U127" s="665"/>
      <c r="V127" s="665"/>
      <c r="W127" s="665"/>
      <c r="X127" s="665"/>
      <c r="Y127" s="665"/>
      <c r="Z127" s="644"/>
    </row>
    <row r="128" spans="1:26" s="680" customFormat="1" ht="15" hidden="1" outlineLevel="1">
      <c r="A128" s="691" t="s">
        <v>459</v>
      </c>
      <c r="B128" s="647"/>
      <c r="C128" s="633">
        <v>393999435</v>
      </c>
      <c r="D128" s="633"/>
      <c r="E128" s="633"/>
      <c r="F128" s="654"/>
      <c r="G128" s="633">
        <f t="shared" si="35"/>
        <v>393999435</v>
      </c>
      <c r="H128" s="654"/>
      <c r="I128" s="682">
        <f aca="true" t="shared" si="36" ref="I128:I146">+H128+G128</f>
        <v>393999435</v>
      </c>
      <c r="J128" s="682"/>
      <c r="K128" s="682"/>
      <c r="L128" s="682"/>
      <c r="M128" s="682">
        <f>+M129+M130</f>
        <v>-100000000</v>
      </c>
      <c r="N128" s="682">
        <f t="shared" si="34"/>
        <v>293999435</v>
      </c>
      <c r="O128" s="682">
        <f>SUM(O129:O130)</f>
        <v>42245738</v>
      </c>
      <c r="P128" s="682">
        <f>+P129+P130</f>
        <v>54309503</v>
      </c>
      <c r="Q128" s="682">
        <f>+Q129+Q130</f>
        <v>54133345</v>
      </c>
      <c r="R128" s="683">
        <f>+R129+R130</f>
        <v>107824021</v>
      </c>
      <c r="S128" s="682">
        <f t="shared" si="25"/>
        <v>258512607</v>
      </c>
      <c r="T128" s="637">
        <f t="shared" si="24"/>
        <v>0.8792962714367121</v>
      </c>
      <c r="U128" s="665"/>
      <c r="V128" s="665"/>
      <c r="W128" s="665"/>
      <c r="X128" s="665"/>
      <c r="Y128" s="665"/>
      <c r="Z128" s="644"/>
    </row>
    <row r="129" spans="1:26" s="680" customFormat="1" ht="15" hidden="1" outlineLevel="2">
      <c r="A129" s="691" t="s">
        <v>460</v>
      </c>
      <c r="B129" s="647"/>
      <c r="C129" s="633">
        <v>196499435.00000003</v>
      </c>
      <c r="D129" s="633"/>
      <c r="E129" s="633"/>
      <c r="F129" s="654"/>
      <c r="G129" s="633">
        <f t="shared" si="35"/>
        <v>196499435.00000003</v>
      </c>
      <c r="H129" s="654"/>
      <c r="I129" s="682">
        <f t="shared" si="36"/>
        <v>196499435.00000003</v>
      </c>
      <c r="J129" s="682"/>
      <c r="K129" s="682"/>
      <c r="L129" s="682"/>
      <c r="M129" s="682"/>
      <c r="N129" s="682">
        <f t="shared" si="34"/>
        <v>196499435.00000003</v>
      </c>
      <c r="O129" s="682">
        <v>30698535</v>
      </c>
      <c r="P129" s="682">
        <v>52274326</v>
      </c>
      <c r="Q129" s="682">
        <v>49724965</v>
      </c>
      <c r="R129" s="683">
        <v>44498145</v>
      </c>
      <c r="S129" s="682">
        <f t="shared" si="25"/>
        <v>177195971</v>
      </c>
      <c r="T129" s="637">
        <f t="shared" si="24"/>
        <v>0.9017632595228581</v>
      </c>
      <c r="U129" s="665"/>
      <c r="V129" s="665"/>
      <c r="W129" s="665"/>
      <c r="X129" s="665"/>
      <c r="Y129" s="665"/>
      <c r="Z129" s="644"/>
    </row>
    <row r="130" spans="1:26" s="680" customFormat="1" ht="15" hidden="1" outlineLevel="2">
      <c r="A130" s="691" t="s">
        <v>461</v>
      </c>
      <c r="B130" s="647"/>
      <c r="C130" s="633">
        <v>197500000</v>
      </c>
      <c r="D130" s="633"/>
      <c r="E130" s="633"/>
      <c r="F130" s="654"/>
      <c r="G130" s="633">
        <f t="shared" si="35"/>
        <v>197500000</v>
      </c>
      <c r="H130" s="654"/>
      <c r="I130" s="682">
        <f t="shared" si="36"/>
        <v>197500000</v>
      </c>
      <c r="J130" s="682"/>
      <c r="K130" s="682"/>
      <c r="L130" s="682"/>
      <c r="M130" s="682">
        <f>-100000000</f>
        <v>-100000000</v>
      </c>
      <c r="N130" s="682">
        <f t="shared" si="34"/>
        <v>97500000</v>
      </c>
      <c r="O130" s="682">
        <v>11547203</v>
      </c>
      <c r="P130" s="682">
        <v>2035177</v>
      </c>
      <c r="Q130" s="682">
        <v>4408380</v>
      </c>
      <c r="R130" s="683">
        <v>63325876</v>
      </c>
      <c r="S130" s="682">
        <f t="shared" si="25"/>
        <v>81316636</v>
      </c>
      <c r="T130" s="637">
        <f t="shared" si="24"/>
        <v>0.8340167794871794</v>
      </c>
      <c r="U130" s="665"/>
      <c r="V130" s="665"/>
      <c r="W130" s="665"/>
      <c r="X130" s="665"/>
      <c r="Y130" s="665"/>
      <c r="Z130" s="644"/>
    </row>
    <row r="131" spans="1:26" s="680" customFormat="1" ht="15" hidden="1" outlineLevel="1">
      <c r="A131" s="691" t="s">
        <v>462</v>
      </c>
      <c r="B131" s="647"/>
      <c r="C131" s="633">
        <v>28300000</v>
      </c>
      <c r="D131" s="633"/>
      <c r="E131" s="633"/>
      <c r="F131" s="654"/>
      <c r="G131" s="633">
        <f t="shared" si="35"/>
        <v>28300000</v>
      </c>
      <c r="H131" s="654"/>
      <c r="I131" s="682">
        <f t="shared" si="36"/>
        <v>28300000</v>
      </c>
      <c r="J131" s="682"/>
      <c r="K131" s="682"/>
      <c r="L131" s="682"/>
      <c r="M131" s="682"/>
      <c r="N131" s="682">
        <f t="shared" si="34"/>
        <v>28300000</v>
      </c>
      <c r="O131" s="682">
        <v>141600</v>
      </c>
      <c r="P131" s="682">
        <v>37888</v>
      </c>
      <c r="Q131" s="682">
        <v>946600</v>
      </c>
      <c r="R131" s="683">
        <v>15965166</v>
      </c>
      <c r="S131" s="682">
        <f t="shared" si="25"/>
        <v>17091254</v>
      </c>
      <c r="T131" s="637">
        <f t="shared" si="24"/>
        <v>0.6039312367491166</v>
      </c>
      <c r="U131" s="665"/>
      <c r="V131" s="665"/>
      <c r="W131" s="665"/>
      <c r="X131" s="665"/>
      <c r="Y131" s="665"/>
      <c r="Z131" s="644"/>
    </row>
    <row r="132" spans="1:26" s="680" customFormat="1" ht="15" hidden="1" outlineLevel="1">
      <c r="A132" s="691" t="s">
        <v>463</v>
      </c>
      <c r="B132" s="647"/>
      <c r="C132" s="633">
        <v>214649740.00000003</v>
      </c>
      <c r="D132" s="633"/>
      <c r="E132" s="633"/>
      <c r="F132" s="654"/>
      <c r="G132" s="633">
        <f t="shared" si="35"/>
        <v>214649740.00000003</v>
      </c>
      <c r="H132" s="654"/>
      <c r="I132" s="682">
        <f t="shared" si="36"/>
        <v>214649740.00000003</v>
      </c>
      <c r="J132" s="682"/>
      <c r="K132" s="682"/>
      <c r="L132" s="682"/>
      <c r="M132" s="682"/>
      <c r="N132" s="682">
        <f t="shared" si="34"/>
        <v>214649740.00000003</v>
      </c>
      <c r="O132" s="682">
        <v>0</v>
      </c>
      <c r="P132" s="682">
        <v>28672744</v>
      </c>
      <c r="Q132" s="682">
        <v>99137641</v>
      </c>
      <c r="R132" s="683">
        <v>82207800</v>
      </c>
      <c r="S132" s="682">
        <f t="shared" si="25"/>
        <v>210018185</v>
      </c>
      <c r="T132" s="637">
        <f t="shared" si="24"/>
        <v>0.9784227318421163</v>
      </c>
      <c r="U132" s="686"/>
      <c r="V132" s="686"/>
      <c r="W132" s="686"/>
      <c r="X132" s="686"/>
      <c r="Y132" s="686"/>
      <c r="Z132" s="644"/>
    </row>
    <row r="133" spans="1:26" ht="17.25" customHeight="1" collapsed="1">
      <c r="A133" s="692" t="s">
        <v>464</v>
      </c>
      <c r="B133" s="689"/>
      <c r="C133" s="633"/>
      <c r="D133" s="633"/>
      <c r="E133" s="633"/>
      <c r="F133" s="647">
        <f>+F134+F135+F136+F137</f>
        <v>147195030.564</v>
      </c>
      <c r="G133" s="647">
        <f>SUM(G134:G137)</f>
        <v>147195030.564</v>
      </c>
      <c r="H133" s="654"/>
      <c r="I133" s="676">
        <f t="shared" si="36"/>
        <v>147195030.564</v>
      </c>
      <c r="J133" s="676">
        <f>+J134+J135+J136+J137</f>
        <v>6000000</v>
      </c>
      <c r="K133" s="677"/>
      <c r="L133" s="677"/>
      <c r="M133" s="676">
        <f>+M134+M135+M136+M137</f>
        <v>0</v>
      </c>
      <c r="N133" s="678">
        <f t="shared" si="34"/>
        <v>153195030.564</v>
      </c>
      <c r="O133" s="678">
        <f>+O134+O135+O136+O137</f>
        <v>32516546</v>
      </c>
      <c r="P133" s="678">
        <f>SUM(P134:P137)</f>
        <v>38592116</v>
      </c>
      <c r="Q133" s="678">
        <f>+Q134+Q135+Q136+Q137</f>
        <v>32393322</v>
      </c>
      <c r="R133" s="649">
        <f>SUM(R134:R137)</f>
        <v>48756758</v>
      </c>
      <c r="S133" s="678">
        <f t="shared" si="25"/>
        <v>152258742</v>
      </c>
      <c r="T133" s="627">
        <f t="shared" si="24"/>
        <v>0.9938882575984809</v>
      </c>
      <c r="U133" s="665"/>
      <c r="V133" s="665"/>
      <c r="W133" s="665"/>
      <c r="X133" s="665"/>
      <c r="Y133" s="665"/>
      <c r="Z133" s="644"/>
    </row>
    <row r="134" spans="1:26" ht="15" hidden="1" outlineLevel="1">
      <c r="A134" s="691" t="s">
        <v>200</v>
      </c>
      <c r="B134" s="689"/>
      <c r="C134" s="633"/>
      <c r="D134" s="633"/>
      <c r="E134" s="633"/>
      <c r="F134" s="633">
        <v>96349278.56400001</v>
      </c>
      <c r="G134" s="633">
        <f>+F134+E134+C134+B134</f>
        <v>96349278.56400001</v>
      </c>
      <c r="H134" s="654"/>
      <c r="I134" s="682">
        <f t="shared" si="36"/>
        <v>96349278.56400001</v>
      </c>
      <c r="J134" s="682"/>
      <c r="K134" s="682"/>
      <c r="L134" s="682"/>
      <c r="M134" s="682"/>
      <c r="N134" s="682">
        <f>+I134+J134+L134+M134+449000</f>
        <v>96798278.56400001</v>
      </c>
      <c r="O134" s="682">
        <v>22611483</v>
      </c>
      <c r="P134" s="682">
        <v>25657715</v>
      </c>
      <c r="Q134" s="682">
        <v>27582103</v>
      </c>
      <c r="R134" s="683">
        <v>20286650</v>
      </c>
      <c r="S134" s="682">
        <f t="shared" si="25"/>
        <v>96137951</v>
      </c>
      <c r="T134" s="637">
        <f t="shared" si="24"/>
        <v>0.9931783129432057</v>
      </c>
      <c r="U134" s="665"/>
      <c r="V134" s="665"/>
      <c r="W134" s="665"/>
      <c r="X134" s="665"/>
      <c r="Y134" s="665"/>
      <c r="Z134" s="644"/>
    </row>
    <row r="135" spans="1:26" ht="15" hidden="1" outlineLevel="1">
      <c r="A135" s="691" t="s">
        <v>465</v>
      </c>
      <c r="B135" s="689"/>
      <c r="C135" s="633"/>
      <c r="D135" s="633"/>
      <c r="E135" s="633"/>
      <c r="F135" s="633">
        <v>21000000</v>
      </c>
      <c r="G135" s="633">
        <f>+F135+E135+C135+B135</f>
        <v>21000000</v>
      </c>
      <c r="H135" s="654"/>
      <c r="I135" s="682">
        <f t="shared" si="36"/>
        <v>21000000</v>
      </c>
      <c r="J135" s="682">
        <v>6000000</v>
      </c>
      <c r="K135" s="682"/>
      <c r="L135" s="682"/>
      <c r="M135" s="682"/>
      <c r="N135" s="682">
        <f>+I135+J135+L135+M135-449000</f>
        <v>26551000</v>
      </c>
      <c r="O135" s="682">
        <v>3761949</v>
      </c>
      <c r="P135" s="682">
        <v>9457881</v>
      </c>
      <c r="Q135" s="682">
        <v>4811219</v>
      </c>
      <c r="R135" s="683">
        <v>8473100</v>
      </c>
      <c r="S135" s="682">
        <f t="shared" si="25"/>
        <v>26504149</v>
      </c>
      <c r="T135" s="637">
        <f t="shared" si="24"/>
        <v>0.9982354336936462</v>
      </c>
      <c r="U135" s="665"/>
      <c r="V135" s="665"/>
      <c r="W135" s="665"/>
      <c r="X135" s="665"/>
      <c r="Y135" s="665"/>
      <c r="Z135" s="644"/>
    </row>
    <row r="136" spans="1:26" ht="15" hidden="1" outlineLevel="1">
      <c r="A136" s="691" t="s">
        <v>466</v>
      </c>
      <c r="B136" s="689"/>
      <c r="C136" s="633"/>
      <c r="D136" s="633"/>
      <c r="E136" s="633"/>
      <c r="F136" s="633">
        <v>25845752</v>
      </c>
      <c r="G136" s="633">
        <f>+F136+E136+C136+B136</f>
        <v>25845752</v>
      </c>
      <c r="H136" s="654"/>
      <c r="I136" s="682">
        <f t="shared" si="36"/>
        <v>25845752</v>
      </c>
      <c r="J136" s="682"/>
      <c r="K136" s="682"/>
      <c r="L136" s="682"/>
      <c r="M136" s="682"/>
      <c r="N136" s="682">
        <f>+I136+J136+L136+M136</f>
        <v>25845752</v>
      </c>
      <c r="O136" s="682">
        <v>2248369</v>
      </c>
      <c r="P136" s="682">
        <v>3476520</v>
      </c>
      <c r="Q136" s="682">
        <v>0</v>
      </c>
      <c r="R136" s="683">
        <v>19997008</v>
      </c>
      <c r="S136" s="682">
        <f t="shared" si="25"/>
        <v>25721897</v>
      </c>
      <c r="T136" s="637">
        <f aca="true" t="shared" si="37" ref="T136:T196">+S136/N136</f>
        <v>0.9952079165659409</v>
      </c>
      <c r="U136" s="665"/>
      <c r="V136" s="665"/>
      <c r="W136" s="665"/>
      <c r="X136" s="665"/>
      <c r="Y136" s="665"/>
      <c r="Z136" s="644"/>
    </row>
    <row r="137" spans="1:26" ht="15" hidden="1" outlineLevel="1">
      <c r="A137" s="691" t="s">
        <v>426</v>
      </c>
      <c r="B137" s="689"/>
      <c r="C137" s="633"/>
      <c r="D137" s="633"/>
      <c r="E137" s="633"/>
      <c r="F137" s="633">
        <v>4000000</v>
      </c>
      <c r="G137" s="633">
        <f>+F137+E137+C137+B137</f>
        <v>4000000</v>
      </c>
      <c r="H137" s="654"/>
      <c r="I137" s="682">
        <f t="shared" si="36"/>
        <v>4000000</v>
      </c>
      <c r="J137" s="682"/>
      <c r="K137" s="682"/>
      <c r="L137" s="682"/>
      <c r="M137" s="682"/>
      <c r="N137" s="682">
        <f>+I137+J137+L137+M137</f>
        <v>4000000</v>
      </c>
      <c r="O137" s="682">
        <v>3894745</v>
      </c>
      <c r="P137" s="682">
        <v>0</v>
      </c>
      <c r="Q137" s="682">
        <v>0</v>
      </c>
      <c r="R137" s="683">
        <v>0</v>
      </c>
      <c r="S137" s="682">
        <f t="shared" si="25"/>
        <v>3894745</v>
      </c>
      <c r="T137" s="637">
        <f t="shared" si="37"/>
        <v>0.97368625</v>
      </c>
      <c r="U137" s="686"/>
      <c r="V137" s="686"/>
      <c r="W137" s="686"/>
      <c r="X137" s="686"/>
      <c r="Y137" s="686"/>
      <c r="Z137" s="644"/>
    </row>
    <row r="138" spans="1:26" ht="15" collapsed="1">
      <c r="A138" s="692" t="s">
        <v>467</v>
      </c>
      <c r="B138" s="658"/>
      <c r="C138" s="633"/>
      <c r="D138" s="633"/>
      <c r="E138" s="633"/>
      <c r="F138" s="647">
        <f>+F139+F140+F141+F142</f>
        <v>258084907.12335002</v>
      </c>
      <c r="G138" s="647">
        <f>+F138+E138+C138+B138</f>
        <v>258084907.12335002</v>
      </c>
      <c r="H138" s="675"/>
      <c r="I138" s="676">
        <f t="shared" si="36"/>
        <v>258084907.12335002</v>
      </c>
      <c r="J138" s="676"/>
      <c r="K138" s="677"/>
      <c r="L138" s="677"/>
      <c r="M138" s="676">
        <f>+M139+M140+M141+M142</f>
        <v>-24200000</v>
      </c>
      <c r="N138" s="678">
        <f>+I138+J138+L138+M138</f>
        <v>233884907.12335002</v>
      </c>
      <c r="O138" s="678">
        <f>+O139+O140+O141+O142</f>
        <v>55272626</v>
      </c>
      <c r="P138" s="678">
        <f>SUM(P139:P142)</f>
        <v>61618224</v>
      </c>
      <c r="Q138" s="678">
        <f>+Q139+Q140+Q141+Q142</f>
        <v>65187274</v>
      </c>
      <c r="R138" s="649">
        <f>SUM(R139:R142)</f>
        <v>46479411</v>
      </c>
      <c r="S138" s="678">
        <f t="shared" si="25"/>
        <v>228557535</v>
      </c>
      <c r="T138" s="627">
        <f t="shared" si="37"/>
        <v>0.9772222492298728</v>
      </c>
      <c r="U138" s="665"/>
      <c r="V138" s="665"/>
      <c r="W138" s="665"/>
      <c r="X138" s="665"/>
      <c r="Y138" s="665"/>
      <c r="Z138" s="644"/>
    </row>
    <row r="139" spans="1:26" ht="14.25" hidden="1" outlineLevel="1">
      <c r="A139" s="691" t="s">
        <v>468</v>
      </c>
      <c r="B139" s="658"/>
      <c r="C139" s="633"/>
      <c r="D139" s="633"/>
      <c r="E139" s="633"/>
      <c r="F139" s="633">
        <v>230534907.12335002</v>
      </c>
      <c r="G139" s="633">
        <f aca="true" t="shared" si="38" ref="G139:G146">+F139+E139+C139+B139</f>
        <v>230534907.12335002</v>
      </c>
      <c r="H139" s="654"/>
      <c r="I139" s="682">
        <f t="shared" si="36"/>
        <v>230534907.12335002</v>
      </c>
      <c r="J139" s="682"/>
      <c r="K139" s="682"/>
      <c r="L139" s="682"/>
      <c r="M139" s="682">
        <v>-24200000</v>
      </c>
      <c r="N139" s="682">
        <f>+I139+J139+L139+M139+1000000</f>
        <v>207334907.12335002</v>
      </c>
      <c r="O139" s="682">
        <v>46087152</v>
      </c>
      <c r="P139" s="682">
        <v>58066164</v>
      </c>
      <c r="Q139" s="682">
        <v>61711654</v>
      </c>
      <c r="R139" s="706">
        <v>37508951</v>
      </c>
      <c r="S139" s="682">
        <f t="shared" si="25"/>
        <v>203373921</v>
      </c>
      <c r="T139" s="637">
        <f t="shared" si="37"/>
        <v>0.9808957103350016</v>
      </c>
      <c r="U139" s="665"/>
      <c r="V139" s="665"/>
      <c r="W139" s="665"/>
      <c r="X139" s="665"/>
      <c r="Y139" s="665"/>
      <c r="Z139" s="644"/>
    </row>
    <row r="140" spans="1:26" ht="14.25" hidden="1" outlineLevel="1">
      <c r="A140" s="691" t="s">
        <v>469</v>
      </c>
      <c r="B140" s="658"/>
      <c r="C140" s="633"/>
      <c r="D140" s="633"/>
      <c r="E140" s="633"/>
      <c r="F140" s="633">
        <v>800000</v>
      </c>
      <c r="G140" s="633">
        <f t="shared" si="38"/>
        <v>800000</v>
      </c>
      <c r="H140" s="654"/>
      <c r="I140" s="682">
        <f t="shared" si="36"/>
        <v>800000</v>
      </c>
      <c r="J140" s="682"/>
      <c r="K140" s="682"/>
      <c r="L140" s="682"/>
      <c r="M140" s="682"/>
      <c r="N140" s="682">
        <f>+I140+J140+L140+M140</f>
        <v>800000</v>
      </c>
      <c r="O140" s="682">
        <v>798080</v>
      </c>
      <c r="P140" s="682">
        <v>0</v>
      </c>
      <c r="Q140" s="682">
        <v>0</v>
      </c>
      <c r="R140" s="683">
        <v>0</v>
      </c>
      <c r="S140" s="682">
        <f t="shared" si="25"/>
        <v>798080</v>
      </c>
      <c r="T140" s="637">
        <f t="shared" si="37"/>
        <v>0.9976</v>
      </c>
      <c r="U140" s="665"/>
      <c r="V140" s="665"/>
      <c r="W140" s="665"/>
      <c r="X140" s="665"/>
      <c r="Y140" s="665"/>
      <c r="Z140" s="644"/>
    </row>
    <row r="141" spans="1:26" ht="14.25" hidden="1" outlineLevel="1">
      <c r="A141" s="691" t="s">
        <v>470</v>
      </c>
      <c r="B141" s="658"/>
      <c r="C141" s="633"/>
      <c r="D141" s="633"/>
      <c r="E141" s="633"/>
      <c r="F141" s="633">
        <v>22750000</v>
      </c>
      <c r="G141" s="633">
        <f t="shared" si="38"/>
        <v>22750000</v>
      </c>
      <c r="H141" s="654"/>
      <c r="I141" s="682">
        <f t="shared" si="36"/>
        <v>22750000</v>
      </c>
      <c r="J141" s="682"/>
      <c r="K141" s="682"/>
      <c r="L141" s="682"/>
      <c r="M141" s="682"/>
      <c r="N141" s="682">
        <f>+I141+J141+L141+M141-1000000</f>
        <v>21750000</v>
      </c>
      <c r="O141" s="682">
        <v>4387394</v>
      </c>
      <c r="P141" s="682">
        <v>3552060</v>
      </c>
      <c r="Q141" s="682">
        <v>3475620</v>
      </c>
      <c r="R141" s="683">
        <v>8970460</v>
      </c>
      <c r="S141" s="682">
        <f t="shared" si="25"/>
        <v>20385534</v>
      </c>
      <c r="T141" s="637">
        <f t="shared" si="37"/>
        <v>0.9372659310344827</v>
      </c>
      <c r="U141" s="665"/>
      <c r="V141" s="665"/>
      <c r="W141" s="665"/>
      <c r="X141" s="665"/>
      <c r="Y141" s="665"/>
      <c r="Z141" s="644"/>
    </row>
    <row r="142" spans="1:26" ht="15" hidden="1" outlineLevel="1">
      <c r="A142" s="691" t="s">
        <v>426</v>
      </c>
      <c r="B142" s="658"/>
      <c r="C142" s="633"/>
      <c r="D142" s="633"/>
      <c r="E142" s="633"/>
      <c r="F142" s="633">
        <v>4000000</v>
      </c>
      <c r="G142" s="633">
        <f t="shared" si="38"/>
        <v>4000000</v>
      </c>
      <c r="H142" s="654"/>
      <c r="I142" s="682">
        <f t="shared" si="36"/>
        <v>4000000</v>
      </c>
      <c r="J142" s="682"/>
      <c r="K142" s="682"/>
      <c r="L142" s="682"/>
      <c r="M142" s="682"/>
      <c r="N142" s="682">
        <f>+I142+J142+L142+M142</f>
        <v>4000000</v>
      </c>
      <c r="O142" s="682">
        <v>4000000</v>
      </c>
      <c r="P142" s="682">
        <v>0</v>
      </c>
      <c r="Q142" s="682">
        <v>0</v>
      </c>
      <c r="R142" s="683">
        <v>0</v>
      </c>
      <c r="S142" s="682">
        <f t="shared" si="25"/>
        <v>4000000</v>
      </c>
      <c r="T142" s="637">
        <f t="shared" si="37"/>
        <v>1</v>
      </c>
      <c r="U142" s="686"/>
      <c r="V142" s="686"/>
      <c r="W142" s="686"/>
      <c r="X142" s="686"/>
      <c r="Y142" s="686"/>
      <c r="Z142" s="644"/>
    </row>
    <row r="143" spans="1:26" ht="15" collapsed="1">
      <c r="A143" s="692" t="s">
        <v>471</v>
      </c>
      <c r="B143" s="658"/>
      <c r="C143" s="633"/>
      <c r="D143" s="633"/>
      <c r="E143" s="633"/>
      <c r="F143" s="647">
        <f>+F144+F145+F146</f>
        <v>92975000</v>
      </c>
      <c r="G143" s="647">
        <f t="shared" si="38"/>
        <v>92975000</v>
      </c>
      <c r="H143" s="675"/>
      <c r="I143" s="676">
        <f t="shared" si="36"/>
        <v>92975000</v>
      </c>
      <c r="J143" s="676"/>
      <c r="K143" s="677"/>
      <c r="L143" s="677"/>
      <c r="M143" s="676">
        <f>+M144+M145+M146</f>
        <v>-28079000</v>
      </c>
      <c r="N143" s="678">
        <f>+I143+J143+L143+M143</f>
        <v>64896000</v>
      </c>
      <c r="O143" s="678">
        <f>+O144+O145+O146</f>
        <v>8211846</v>
      </c>
      <c r="P143" s="678">
        <f>SUM(P144:P146)</f>
        <v>28787210</v>
      </c>
      <c r="Q143" s="678">
        <f>+Q144+Q145+Q146</f>
        <v>13198660</v>
      </c>
      <c r="R143" s="649">
        <f>SUM(R144:R146)</f>
        <v>13561985</v>
      </c>
      <c r="S143" s="678">
        <f t="shared" si="25"/>
        <v>63759701</v>
      </c>
      <c r="T143" s="627">
        <f t="shared" si="37"/>
        <v>0.9824904616617357</v>
      </c>
      <c r="U143" s="665"/>
      <c r="V143" s="665"/>
      <c r="W143" s="665"/>
      <c r="X143" s="665"/>
      <c r="Y143" s="665"/>
      <c r="Z143" s="644"/>
    </row>
    <row r="144" spans="1:26" ht="14.25" hidden="1" outlineLevel="1">
      <c r="A144" s="691" t="s">
        <v>472</v>
      </c>
      <c r="B144" s="658"/>
      <c r="C144" s="633"/>
      <c r="D144" s="633"/>
      <c r="E144" s="633"/>
      <c r="F144" s="633">
        <v>15200000</v>
      </c>
      <c r="G144" s="633">
        <f t="shared" si="38"/>
        <v>15200000</v>
      </c>
      <c r="H144" s="654"/>
      <c r="I144" s="682">
        <f t="shared" si="36"/>
        <v>15200000</v>
      </c>
      <c r="J144" s="682"/>
      <c r="K144" s="682"/>
      <c r="L144" s="682"/>
      <c r="M144" s="682">
        <v>-1259000</v>
      </c>
      <c r="N144" s="682">
        <f>+I144+J144+L144+M144</f>
        <v>13941000</v>
      </c>
      <c r="O144" s="682">
        <v>0</v>
      </c>
      <c r="P144" s="682">
        <v>13940070</v>
      </c>
      <c r="Q144" s="682">
        <v>0</v>
      </c>
      <c r="R144" s="683">
        <v>0</v>
      </c>
      <c r="S144" s="682">
        <f>SUM(O144:R144)</f>
        <v>13940070</v>
      </c>
      <c r="T144" s="637">
        <f t="shared" si="37"/>
        <v>0.9999332902948138</v>
      </c>
      <c r="U144" s="665"/>
      <c r="V144" s="665"/>
      <c r="W144" s="665"/>
      <c r="X144" s="665"/>
      <c r="Y144" s="665"/>
      <c r="Z144" s="644"/>
    </row>
    <row r="145" spans="1:26" ht="14.25" hidden="1" outlineLevel="1">
      <c r="A145" s="691" t="s">
        <v>473</v>
      </c>
      <c r="B145" s="658"/>
      <c r="C145" s="633"/>
      <c r="D145" s="633"/>
      <c r="E145" s="633"/>
      <c r="F145" s="633">
        <v>56175000</v>
      </c>
      <c r="G145" s="633">
        <f t="shared" si="38"/>
        <v>56175000</v>
      </c>
      <c r="H145" s="654"/>
      <c r="I145" s="682">
        <f t="shared" si="36"/>
        <v>56175000</v>
      </c>
      <c r="J145" s="682"/>
      <c r="K145" s="682"/>
      <c r="L145" s="682"/>
      <c r="M145" s="682">
        <v>-6000000</v>
      </c>
      <c r="N145" s="682">
        <f>+I145+J145+L145+M145</f>
        <v>50175000</v>
      </c>
      <c r="O145" s="682">
        <v>7435503</v>
      </c>
      <c r="P145" s="682">
        <v>14847140</v>
      </c>
      <c r="Q145" s="682">
        <v>13198660</v>
      </c>
      <c r="R145" s="683">
        <v>13561985</v>
      </c>
      <c r="S145" s="682">
        <f t="shared" si="25"/>
        <v>49043288</v>
      </c>
      <c r="T145" s="637">
        <f t="shared" si="37"/>
        <v>0.9774447035376184</v>
      </c>
      <c r="U145" s="665"/>
      <c r="V145" s="665"/>
      <c r="W145" s="665"/>
      <c r="X145" s="665"/>
      <c r="Y145" s="665"/>
      <c r="Z145" s="644"/>
    </row>
    <row r="146" spans="1:26" ht="14.25" hidden="1" outlineLevel="1">
      <c r="A146" s="691" t="s">
        <v>474</v>
      </c>
      <c r="B146" s="658"/>
      <c r="C146" s="633"/>
      <c r="D146" s="633"/>
      <c r="E146" s="633"/>
      <c r="F146" s="633">
        <v>21600000</v>
      </c>
      <c r="G146" s="633">
        <f t="shared" si="38"/>
        <v>21600000</v>
      </c>
      <c r="H146" s="654"/>
      <c r="I146" s="682">
        <f t="shared" si="36"/>
        <v>21600000</v>
      </c>
      <c r="J146" s="682"/>
      <c r="K146" s="682"/>
      <c r="L146" s="682"/>
      <c r="M146" s="682">
        <v>-20820000</v>
      </c>
      <c r="N146" s="682">
        <f>+I146+J146+L146+M146</f>
        <v>780000</v>
      </c>
      <c r="O146" s="682">
        <v>776343</v>
      </c>
      <c r="P146" s="682"/>
      <c r="Q146" s="682">
        <v>0</v>
      </c>
      <c r="R146" s="683">
        <v>0</v>
      </c>
      <c r="S146" s="682">
        <f t="shared" si="25"/>
        <v>776343</v>
      </c>
      <c r="T146" s="637">
        <f t="shared" si="37"/>
        <v>0.9953115384615384</v>
      </c>
      <c r="U146" s="700"/>
      <c r="V146" s="700"/>
      <c r="W146" s="700"/>
      <c r="X146" s="700"/>
      <c r="Y146" s="700"/>
      <c r="Z146" s="644"/>
    </row>
    <row r="147" spans="1:26" ht="15" collapsed="1">
      <c r="A147" s="693"/>
      <c r="B147" s="657"/>
      <c r="C147" s="634"/>
      <c r="D147" s="634"/>
      <c r="E147" s="634"/>
      <c r="F147" s="634"/>
      <c r="G147" s="634"/>
      <c r="H147" s="619"/>
      <c r="I147" s="620"/>
      <c r="J147" s="620"/>
      <c r="K147" s="664"/>
      <c r="L147" s="664"/>
      <c r="M147" s="664"/>
      <c r="N147" s="622"/>
      <c r="O147" s="622"/>
      <c r="P147" s="622">
        <v>0</v>
      </c>
      <c r="Q147" s="622"/>
      <c r="R147" s="701"/>
      <c r="S147" s="622"/>
      <c r="T147" s="627"/>
      <c r="U147" s="686"/>
      <c r="V147" s="686"/>
      <c r="W147" s="686"/>
      <c r="X147" s="686"/>
      <c r="Y147" s="686"/>
      <c r="Z147" s="644"/>
    </row>
    <row r="148" spans="1:26" s="673" customFormat="1" ht="30">
      <c r="A148" s="666" t="s">
        <v>475</v>
      </c>
      <c r="B148" s="667">
        <f>+B149+B152</f>
        <v>309227078.7764</v>
      </c>
      <c r="C148" s="667"/>
      <c r="D148" s="667"/>
      <c r="E148" s="667"/>
      <c r="F148" s="667"/>
      <c r="G148" s="667">
        <f>SUM(B148:F148)</f>
        <v>309227078.7764</v>
      </c>
      <c r="H148" s="667"/>
      <c r="I148" s="668">
        <f>+H148+G148</f>
        <v>309227078.7764</v>
      </c>
      <c r="J148" s="668">
        <f>+J149+J152</f>
        <v>0</v>
      </c>
      <c r="K148" s="668"/>
      <c r="L148" s="668">
        <f>+L149+L152</f>
        <v>-57600000</v>
      </c>
      <c r="M148" s="669">
        <f>+M149+M152</f>
        <v>-55000000</v>
      </c>
      <c r="N148" s="670">
        <f aca="true" t="shared" si="39" ref="N148:N156">+I148+J148+L148+M148</f>
        <v>196627078.77640003</v>
      </c>
      <c r="O148" s="670">
        <f>+O149+O152</f>
        <v>54333294</v>
      </c>
      <c r="P148" s="670">
        <f>+P149</f>
        <v>38017070</v>
      </c>
      <c r="Q148" s="670">
        <f>+Q149+Q152</f>
        <v>26204420.05</v>
      </c>
      <c r="R148" s="670">
        <f>+R149+R152</f>
        <v>63076279</v>
      </c>
      <c r="S148" s="670">
        <f aca="true" t="shared" si="40" ref="S148:S196">SUM(O148:R148)</f>
        <v>181631063.05</v>
      </c>
      <c r="T148" s="672">
        <f t="shared" si="37"/>
        <v>0.9237337206059336</v>
      </c>
      <c r="U148" s="686"/>
      <c r="V148" s="686"/>
      <c r="W148" s="686"/>
      <c r="X148" s="686"/>
      <c r="Y148" s="686"/>
      <c r="Z148" s="644"/>
    </row>
    <row r="149" spans="1:26" s="680" customFormat="1" ht="15">
      <c r="A149" s="674" t="s">
        <v>91</v>
      </c>
      <c r="B149" s="647">
        <f>+B150+B151</f>
        <v>151627078.77640003</v>
      </c>
      <c r="C149" s="707"/>
      <c r="D149" s="707"/>
      <c r="E149" s="633"/>
      <c r="F149" s="647"/>
      <c r="G149" s="647">
        <f aca="true" t="shared" si="41" ref="G149:G157">+SUM(B149:F149)</f>
        <v>151627078.77640003</v>
      </c>
      <c r="H149" s="675"/>
      <c r="I149" s="676">
        <f aca="true" t="shared" si="42" ref="I149:I154">+G149+H149</f>
        <v>151627078.77640003</v>
      </c>
      <c r="J149" s="676">
        <f>SUM(J150:J151)</f>
        <v>0</v>
      </c>
      <c r="K149" s="676"/>
      <c r="L149" s="676">
        <f>SUM(L150:L151)</f>
        <v>0</v>
      </c>
      <c r="M149" s="677">
        <f>SUM(M150:M151)</f>
        <v>0</v>
      </c>
      <c r="N149" s="678">
        <f t="shared" si="39"/>
        <v>151627078.77640003</v>
      </c>
      <c r="O149" s="678">
        <f>+O150+O151</f>
        <v>54333294</v>
      </c>
      <c r="P149" s="678">
        <f>SUM(P150:P152)</f>
        <v>38017070</v>
      </c>
      <c r="Q149" s="678">
        <f>+Q150+Q151</f>
        <v>26204420.05</v>
      </c>
      <c r="R149" s="690">
        <f>SUM(R150:R151)</f>
        <v>29818043</v>
      </c>
      <c r="S149" s="678">
        <f t="shared" si="40"/>
        <v>148372827.05</v>
      </c>
      <c r="T149" s="679">
        <f t="shared" si="37"/>
        <v>0.9785377931655667</v>
      </c>
      <c r="U149" s="665"/>
      <c r="V149" s="665"/>
      <c r="W149" s="665"/>
      <c r="X149" s="665"/>
      <c r="Y149" s="665"/>
      <c r="Z149" s="644"/>
    </row>
    <row r="150" spans="1:26" s="680" customFormat="1" ht="15" hidden="1" outlineLevel="1">
      <c r="A150" s="681" t="s">
        <v>476</v>
      </c>
      <c r="B150" s="633">
        <v>112590507.26440002</v>
      </c>
      <c r="C150" s="654"/>
      <c r="D150" s="654"/>
      <c r="E150" s="654"/>
      <c r="F150" s="633"/>
      <c r="G150" s="633">
        <f t="shared" si="41"/>
        <v>112590507.26440002</v>
      </c>
      <c r="H150" s="654"/>
      <c r="I150" s="682">
        <f t="shared" si="42"/>
        <v>112590507.26440002</v>
      </c>
      <c r="J150" s="682"/>
      <c r="K150" s="682"/>
      <c r="L150" s="682"/>
      <c r="M150" s="682"/>
      <c r="N150" s="682">
        <f t="shared" si="39"/>
        <v>112590507.26440002</v>
      </c>
      <c r="O150" s="682">
        <v>36963296</v>
      </c>
      <c r="P150" s="682">
        <v>32012845</v>
      </c>
      <c r="Q150" s="682">
        <v>20200195.05</v>
      </c>
      <c r="R150" s="683">
        <v>21076858</v>
      </c>
      <c r="S150" s="682">
        <f t="shared" si="40"/>
        <v>110253194.05</v>
      </c>
      <c r="T150" s="637">
        <f t="shared" si="37"/>
        <v>0.9792405836762842</v>
      </c>
      <c r="U150" s="665"/>
      <c r="V150" s="665"/>
      <c r="W150" s="665"/>
      <c r="X150" s="665"/>
      <c r="Y150" s="665"/>
      <c r="Z150" s="644"/>
    </row>
    <row r="151" spans="1:26" s="680" customFormat="1" ht="15" hidden="1" outlineLevel="1">
      <c r="A151" s="681" t="s">
        <v>93</v>
      </c>
      <c r="B151" s="633">
        <v>39036571.512</v>
      </c>
      <c r="C151" s="654"/>
      <c r="D151" s="654"/>
      <c r="E151" s="654"/>
      <c r="F151" s="633"/>
      <c r="G151" s="633">
        <f t="shared" si="41"/>
        <v>39036571.512</v>
      </c>
      <c r="H151" s="654"/>
      <c r="I151" s="682">
        <f t="shared" si="42"/>
        <v>39036571.512</v>
      </c>
      <c r="J151" s="682"/>
      <c r="K151" s="682"/>
      <c r="L151" s="682"/>
      <c r="M151" s="682"/>
      <c r="N151" s="682">
        <f t="shared" si="39"/>
        <v>39036571.512</v>
      </c>
      <c r="O151" s="682">
        <v>17369998</v>
      </c>
      <c r="P151" s="682">
        <v>6004225</v>
      </c>
      <c r="Q151" s="682">
        <v>6004225</v>
      </c>
      <c r="R151" s="683">
        <v>8741185</v>
      </c>
      <c r="S151" s="682">
        <f t="shared" si="40"/>
        <v>38119633</v>
      </c>
      <c r="T151" s="637">
        <f t="shared" si="37"/>
        <v>0.9765107826716255</v>
      </c>
      <c r="U151" s="686"/>
      <c r="V151" s="686"/>
      <c r="W151" s="686"/>
      <c r="X151" s="686"/>
      <c r="Y151" s="686"/>
      <c r="Z151" s="644"/>
    </row>
    <row r="152" spans="1:27" s="680" customFormat="1" ht="15" collapsed="1">
      <c r="A152" s="674" t="s">
        <v>477</v>
      </c>
      <c r="B152" s="647">
        <f>SUM(B153:B156)</f>
        <v>157600000</v>
      </c>
      <c r="C152" s="654"/>
      <c r="D152" s="654"/>
      <c r="E152" s="654"/>
      <c r="F152" s="633"/>
      <c r="G152" s="647">
        <f t="shared" si="41"/>
        <v>157600000</v>
      </c>
      <c r="H152" s="654"/>
      <c r="I152" s="676">
        <f>+G152+H152</f>
        <v>157600000</v>
      </c>
      <c r="J152" s="682">
        <f>SUM(J153:J155)</f>
        <v>0</v>
      </c>
      <c r="K152" s="682"/>
      <c r="L152" s="676">
        <f>SUM(L153:L155)</f>
        <v>-57600000</v>
      </c>
      <c r="M152" s="677">
        <f>SUM(M153:M155)</f>
        <v>-55000000</v>
      </c>
      <c r="N152" s="678">
        <f>+I152+J152+L152+M152</f>
        <v>45000000</v>
      </c>
      <c r="O152" s="678">
        <f>SUM(O153:O156)</f>
        <v>0</v>
      </c>
      <c r="P152" s="678">
        <f>SUM(P153:P156)</f>
        <v>0</v>
      </c>
      <c r="Q152" s="690">
        <f>SUM(Q153:Q157)</f>
        <v>0</v>
      </c>
      <c r="R152" s="690">
        <f>SUM(R153:R157)</f>
        <v>33258236</v>
      </c>
      <c r="S152" s="678">
        <f>SUM(O152:R152)</f>
        <v>33258236</v>
      </c>
      <c r="T152" s="627">
        <f t="shared" si="37"/>
        <v>0.7390719111111111</v>
      </c>
      <c r="U152" s="665"/>
      <c r="V152" s="665"/>
      <c r="W152" s="665"/>
      <c r="X152" s="665"/>
      <c r="Y152" s="665"/>
      <c r="Z152" s="644"/>
      <c r="AA152" s="680" t="s">
        <v>544</v>
      </c>
    </row>
    <row r="153" spans="1:26" s="680" customFormat="1" ht="15" hidden="1" outlineLevel="1">
      <c r="A153" s="681" t="s">
        <v>478</v>
      </c>
      <c r="B153" s="633">
        <v>30000000</v>
      </c>
      <c r="C153" s="654"/>
      <c r="D153" s="654"/>
      <c r="E153" s="654"/>
      <c r="F153" s="633"/>
      <c r="G153" s="633">
        <f t="shared" si="41"/>
        <v>30000000</v>
      </c>
      <c r="H153" s="654"/>
      <c r="I153" s="682">
        <f t="shared" si="42"/>
        <v>30000000</v>
      </c>
      <c r="J153" s="682"/>
      <c r="K153" s="682"/>
      <c r="L153" s="682"/>
      <c r="M153" s="682"/>
      <c r="N153" s="682">
        <f>+I153+J153+L153+M153-30000000</f>
        <v>0</v>
      </c>
      <c r="O153" s="682"/>
      <c r="P153" s="682">
        <v>0</v>
      </c>
      <c r="Q153" s="682">
        <v>0</v>
      </c>
      <c r="R153" s="683">
        <v>0</v>
      </c>
      <c r="S153" s="682">
        <f t="shared" si="40"/>
        <v>0</v>
      </c>
      <c r="T153" s="637">
        <f>_xlfn.IFERROR(S153/N153,0)</f>
        <v>0</v>
      </c>
      <c r="U153" s="665"/>
      <c r="V153" s="665"/>
      <c r="W153" s="665"/>
      <c r="X153" s="665"/>
      <c r="Y153" s="665"/>
      <c r="Z153" s="644"/>
    </row>
    <row r="154" spans="1:26" s="680" customFormat="1" ht="15" hidden="1" outlineLevel="1">
      <c r="A154" s="681" t="s">
        <v>479</v>
      </c>
      <c r="B154" s="633">
        <v>28200000</v>
      </c>
      <c r="C154" s="654"/>
      <c r="D154" s="654"/>
      <c r="E154" s="654"/>
      <c r="F154" s="633"/>
      <c r="G154" s="633">
        <f t="shared" si="41"/>
        <v>28200000</v>
      </c>
      <c r="H154" s="654"/>
      <c r="I154" s="682">
        <f t="shared" si="42"/>
        <v>28200000</v>
      </c>
      <c r="J154" s="682"/>
      <c r="K154" s="682"/>
      <c r="L154" s="682"/>
      <c r="M154" s="682">
        <v>-13200000</v>
      </c>
      <c r="N154" s="682">
        <f>+I154+J154+L154+M154-15000000</f>
        <v>0</v>
      </c>
      <c r="O154" s="682"/>
      <c r="P154" s="682">
        <v>0</v>
      </c>
      <c r="Q154" s="682">
        <v>0</v>
      </c>
      <c r="R154" s="683">
        <v>0</v>
      </c>
      <c r="S154" s="682">
        <f t="shared" si="40"/>
        <v>0</v>
      </c>
      <c r="T154" s="637">
        <f>+_xlfn.IFERROR(S154/N154,0)</f>
        <v>0</v>
      </c>
      <c r="U154" s="665"/>
      <c r="V154" s="665"/>
      <c r="W154" s="665"/>
      <c r="X154" s="665"/>
      <c r="Y154" s="665"/>
      <c r="Z154" s="644"/>
    </row>
    <row r="155" spans="1:26" s="680" customFormat="1" ht="15" hidden="1" outlineLevel="1">
      <c r="A155" s="681" t="s">
        <v>480</v>
      </c>
      <c r="B155" s="633">
        <v>99400000</v>
      </c>
      <c r="C155" s="654"/>
      <c r="D155" s="654"/>
      <c r="E155" s="654"/>
      <c r="F155" s="633"/>
      <c r="G155" s="633">
        <f t="shared" si="41"/>
        <v>99400000</v>
      </c>
      <c r="H155" s="654"/>
      <c r="I155" s="682">
        <f>+G155+H155</f>
        <v>99400000</v>
      </c>
      <c r="J155" s="682"/>
      <c r="K155" s="682"/>
      <c r="L155" s="682">
        <v>-57600000</v>
      </c>
      <c r="M155" s="682">
        <v>-41800000</v>
      </c>
      <c r="N155" s="682">
        <f t="shared" si="39"/>
        <v>0</v>
      </c>
      <c r="O155" s="682"/>
      <c r="P155" s="682">
        <v>0</v>
      </c>
      <c r="Q155" s="682">
        <v>0</v>
      </c>
      <c r="R155" s="683">
        <v>0</v>
      </c>
      <c r="S155" s="682">
        <f t="shared" si="40"/>
        <v>0</v>
      </c>
      <c r="T155" s="637">
        <f>_xlfn.IFERROR(S155/N155,0)</f>
        <v>0</v>
      </c>
      <c r="U155" s="665"/>
      <c r="V155" s="665"/>
      <c r="W155" s="665"/>
      <c r="X155" s="665"/>
      <c r="Y155" s="665"/>
      <c r="Z155" s="644"/>
    </row>
    <row r="156" spans="1:26" s="680" customFormat="1" ht="15" hidden="1" outlineLevel="1">
      <c r="A156" s="681" t="s">
        <v>481</v>
      </c>
      <c r="B156" s="633">
        <v>0</v>
      </c>
      <c r="C156" s="654"/>
      <c r="D156" s="654"/>
      <c r="E156" s="654"/>
      <c r="F156" s="633"/>
      <c r="G156" s="633">
        <f t="shared" si="41"/>
        <v>0</v>
      </c>
      <c r="H156" s="654"/>
      <c r="I156" s="682">
        <f>+G156+H156</f>
        <v>0</v>
      </c>
      <c r="J156" s="682"/>
      <c r="K156" s="682"/>
      <c r="L156" s="682"/>
      <c r="M156" s="682"/>
      <c r="N156" s="682">
        <f t="shared" si="39"/>
        <v>0</v>
      </c>
      <c r="O156" s="682"/>
      <c r="P156" s="682">
        <v>0</v>
      </c>
      <c r="Q156" s="682">
        <v>0</v>
      </c>
      <c r="R156" s="683">
        <v>0</v>
      </c>
      <c r="S156" s="682">
        <f t="shared" si="40"/>
        <v>0</v>
      </c>
      <c r="T156" s="637">
        <f>_xlfn.IFERROR(S156/N156,0)</f>
        <v>0</v>
      </c>
      <c r="U156" s="700"/>
      <c r="V156" s="700"/>
      <c r="W156" s="700"/>
      <c r="X156" s="700"/>
      <c r="Y156" s="700"/>
      <c r="Z156" s="644"/>
    </row>
    <row r="157" spans="1:26" s="680" customFormat="1" ht="15" hidden="1" outlineLevel="1">
      <c r="A157" s="681" t="s">
        <v>519</v>
      </c>
      <c r="B157" s="633"/>
      <c r="C157" s="654"/>
      <c r="D157" s="654"/>
      <c r="E157" s="654"/>
      <c r="F157" s="633"/>
      <c r="G157" s="633">
        <f t="shared" si="41"/>
        <v>0</v>
      </c>
      <c r="H157" s="654"/>
      <c r="I157" s="682">
        <f>+G157+H157</f>
        <v>0</v>
      </c>
      <c r="J157" s="682"/>
      <c r="K157" s="685"/>
      <c r="L157" s="685"/>
      <c r="M157" s="685"/>
      <c r="N157" s="682">
        <f>+I157+J157+L157+M157+30000000+15000000</f>
        <v>45000000</v>
      </c>
      <c r="O157" s="682"/>
      <c r="P157" s="682"/>
      <c r="Q157" s="682">
        <v>0</v>
      </c>
      <c r="R157" s="683">
        <v>33258236</v>
      </c>
      <c r="S157" s="682">
        <f t="shared" si="40"/>
        <v>33258236</v>
      </c>
      <c r="T157" s="637">
        <f>+S157/N157</f>
        <v>0.7390719111111111</v>
      </c>
      <c r="U157" s="700"/>
      <c r="V157" s="700"/>
      <c r="W157" s="700"/>
      <c r="X157" s="700"/>
      <c r="Y157" s="700"/>
      <c r="Z157" s="644"/>
    </row>
    <row r="158" spans="1:26" s="680" customFormat="1" ht="15" collapsed="1">
      <c r="A158" s="681"/>
      <c r="B158" s="633"/>
      <c r="C158" s="654"/>
      <c r="D158" s="654"/>
      <c r="E158" s="654"/>
      <c r="F158" s="633"/>
      <c r="G158" s="633"/>
      <c r="H158" s="654"/>
      <c r="I158" s="682"/>
      <c r="J158" s="682"/>
      <c r="K158" s="685"/>
      <c r="L158" s="685"/>
      <c r="M158" s="685"/>
      <c r="N158" s="708"/>
      <c r="O158" s="708"/>
      <c r="P158" s="708"/>
      <c r="Q158" s="708"/>
      <c r="R158" s="709"/>
      <c r="S158" s="708"/>
      <c r="T158" s="627"/>
      <c r="U158" s="686"/>
      <c r="V158" s="686"/>
      <c r="W158" s="686"/>
      <c r="X158" s="686"/>
      <c r="Y158" s="686"/>
      <c r="Z158" s="644"/>
    </row>
    <row r="159" spans="1:26" s="673" customFormat="1" ht="16.5" customHeight="1">
      <c r="A159" s="666" t="s">
        <v>482</v>
      </c>
      <c r="B159" s="667">
        <f>+B160+B165</f>
        <v>465165110.13275003</v>
      </c>
      <c r="C159" s="667"/>
      <c r="D159" s="667"/>
      <c r="E159" s="667"/>
      <c r="F159" s="667"/>
      <c r="G159" s="667">
        <f>SUM(B159:F159)</f>
        <v>465165110.13275003</v>
      </c>
      <c r="H159" s="667"/>
      <c r="I159" s="668">
        <f>+H159+G159</f>
        <v>465165110.13275003</v>
      </c>
      <c r="J159" s="668">
        <f>+J160+J165</f>
        <v>36100000</v>
      </c>
      <c r="K159" s="668"/>
      <c r="L159" s="668">
        <f>+L160+L165</f>
        <v>-36000000</v>
      </c>
      <c r="M159" s="668">
        <f>+M160+M165</f>
        <v>0</v>
      </c>
      <c r="N159" s="670">
        <f>+I159+J159+L159+M159</f>
        <v>465265110.13275003</v>
      </c>
      <c r="O159" s="670">
        <f>+O160</f>
        <v>77109144</v>
      </c>
      <c r="P159" s="670">
        <f>+P160+P165</f>
        <v>83143105</v>
      </c>
      <c r="Q159" s="670">
        <f>+Q160+Q165</f>
        <v>87435927</v>
      </c>
      <c r="R159" s="670">
        <f>+R160+R165</f>
        <v>131544918</v>
      </c>
      <c r="S159" s="670">
        <f>SUM(O159:R159)</f>
        <v>379233094</v>
      </c>
      <c r="T159" s="672">
        <f aca="true" t="shared" si="43" ref="T159:T166">+S159/N159</f>
        <v>0.8150903339642139</v>
      </c>
      <c r="U159" s="710"/>
      <c r="V159" s="686"/>
      <c r="W159" s="686"/>
      <c r="X159" s="686"/>
      <c r="Y159" s="686"/>
      <c r="Z159" s="644"/>
    </row>
    <row r="160" spans="1:26" s="680" customFormat="1" ht="15">
      <c r="A160" s="674" t="s">
        <v>94</v>
      </c>
      <c r="B160" s="647">
        <f>+B161+B162+B163+B164</f>
        <v>328618990.13275003</v>
      </c>
      <c r="C160" s="675"/>
      <c r="D160" s="675"/>
      <c r="E160" s="675"/>
      <c r="F160" s="675"/>
      <c r="G160" s="647">
        <f aca="true" t="shared" si="44" ref="G160:G166">+SUM(B160:F160)</f>
        <v>328618990.13275003</v>
      </c>
      <c r="H160" s="675"/>
      <c r="I160" s="676">
        <f aca="true" t="shared" si="45" ref="I160:I166">+G160+H160</f>
        <v>328618990.13275003</v>
      </c>
      <c r="J160" s="676">
        <f>+J161+J162+J163+J164</f>
        <v>36100000</v>
      </c>
      <c r="K160" s="676"/>
      <c r="L160" s="676">
        <f>+L161+L162+L163+L164</f>
        <v>0</v>
      </c>
      <c r="M160" s="677">
        <f>+M161+M162+M163+M164</f>
        <v>0</v>
      </c>
      <c r="N160" s="678">
        <f>+I160+J160+L160+M160</f>
        <v>364718990.13275003</v>
      </c>
      <c r="O160" s="678">
        <f>+O161+O162+O163+O164</f>
        <v>77109144</v>
      </c>
      <c r="P160" s="678">
        <f>+P161+P162+P163+P164</f>
        <v>80025880</v>
      </c>
      <c r="Q160" s="678">
        <f>+Q161+Q162+Q163+Q164</f>
        <v>82301187</v>
      </c>
      <c r="R160" s="690">
        <f>+SUM(R161:R164)</f>
        <v>86563007</v>
      </c>
      <c r="S160" s="678">
        <f>SUM(O160:R160)</f>
        <v>325999218</v>
      </c>
      <c r="T160" s="627">
        <f t="shared" si="43"/>
        <v>0.8938366984437611</v>
      </c>
      <c r="U160" s="665"/>
      <c r="V160" s="665"/>
      <c r="W160" s="665"/>
      <c r="X160" s="665"/>
      <c r="Y160" s="665"/>
      <c r="Z160" s="644"/>
    </row>
    <row r="161" spans="1:26" s="680" customFormat="1" ht="15" hidden="1" outlineLevel="1">
      <c r="A161" s="681" t="s">
        <v>95</v>
      </c>
      <c r="B161" s="633">
        <v>126792014.63275</v>
      </c>
      <c r="C161" s="675"/>
      <c r="D161" s="675"/>
      <c r="E161" s="675"/>
      <c r="F161" s="675"/>
      <c r="G161" s="633">
        <f t="shared" si="44"/>
        <v>126792014.63275</v>
      </c>
      <c r="H161" s="654"/>
      <c r="I161" s="682">
        <f t="shared" si="45"/>
        <v>126792014.63275</v>
      </c>
      <c r="J161" s="682"/>
      <c r="K161" s="682"/>
      <c r="L161" s="682"/>
      <c r="M161" s="682"/>
      <c r="N161" s="682">
        <f>+I161+J161+L161+M161+1630705</f>
        <v>128422719.63275</v>
      </c>
      <c r="O161" s="682">
        <v>27054558</v>
      </c>
      <c r="P161" s="682">
        <v>31772401</v>
      </c>
      <c r="Q161" s="682">
        <v>33461640</v>
      </c>
      <c r="R161" s="683">
        <v>29045706</v>
      </c>
      <c r="S161" s="682">
        <f t="shared" si="40"/>
        <v>121334305</v>
      </c>
      <c r="T161" s="637">
        <f t="shared" si="43"/>
        <v>0.9448040451641211</v>
      </c>
      <c r="U161" s="665"/>
      <c r="V161" s="665"/>
      <c r="W161" s="665"/>
      <c r="X161" s="665"/>
      <c r="Y161" s="665"/>
      <c r="Z161" s="644"/>
    </row>
    <row r="162" spans="1:26" s="680" customFormat="1" ht="15" hidden="1" outlineLevel="1">
      <c r="A162" s="681" t="s">
        <v>483</v>
      </c>
      <c r="B162" s="633">
        <v>22373425.5</v>
      </c>
      <c r="C162" s="675"/>
      <c r="D162" s="675"/>
      <c r="E162" s="675"/>
      <c r="F162" s="675"/>
      <c r="G162" s="633">
        <f t="shared" si="44"/>
        <v>22373425.5</v>
      </c>
      <c r="H162" s="654"/>
      <c r="I162" s="682">
        <f t="shared" si="45"/>
        <v>22373425.5</v>
      </c>
      <c r="J162" s="682"/>
      <c r="K162" s="682"/>
      <c r="L162" s="682"/>
      <c r="M162" s="682"/>
      <c r="N162" s="682">
        <f>+I162+J162+L162+M162</f>
        <v>22373425.5</v>
      </c>
      <c r="O162" s="682">
        <v>13886005</v>
      </c>
      <c r="P162" s="682">
        <v>0</v>
      </c>
      <c r="Q162" s="682">
        <v>8487420</v>
      </c>
      <c r="R162" s="683">
        <v>0</v>
      </c>
      <c r="S162" s="682">
        <f t="shared" si="40"/>
        <v>22373425</v>
      </c>
      <c r="T162" s="637">
        <f t="shared" si="43"/>
        <v>0.9999999776520587</v>
      </c>
      <c r="U162" s="665"/>
      <c r="V162" s="665"/>
      <c r="W162" s="665"/>
      <c r="X162" s="665"/>
      <c r="Y162" s="665"/>
      <c r="Z162" s="644"/>
    </row>
    <row r="163" spans="1:26" s="680" customFormat="1" ht="15" hidden="1" outlineLevel="1">
      <c r="A163" s="681" t="s">
        <v>140</v>
      </c>
      <c r="B163" s="633">
        <v>54753550</v>
      </c>
      <c r="C163" s="675"/>
      <c r="D163" s="675"/>
      <c r="E163" s="675"/>
      <c r="F163" s="675"/>
      <c r="G163" s="633">
        <f t="shared" si="44"/>
        <v>54753550</v>
      </c>
      <c r="H163" s="654"/>
      <c r="I163" s="682">
        <f t="shared" si="45"/>
        <v>54753550</v>
      </c>
      <c r="J163" s="682">
        <v>24100000</v>
      </c>
      <c r="K163" s="682"/>
      <c r="L163" s="682"/>
      <c r="M163" s="682"/>
      <c r="N163" s="682">
        <f>+I163+J163+L163+M163</f>
        <v>78853550</v>
      </c>
      <c r="O163" s="682">
        <v>12851933</v>
      </c>
      <c r="P163" s="682">
        <v>16358954</v>
      </c>
      <c r="Q163" s="682">
        <v>8006575</v>
      </c>
      <c r="R163" s="683">
        <v>13575100</v>
      </c>
      <c r="S163" s="682">
        <f t="shared" si="40"/>
        <v>50792562</v>
      </c>
      <c r="T163" s="637">
        <f t="shared" si="43"/>
        <v>0.6441379240376622</v>
      </c>
      <c r="U163" s="665"/>
      <c r="V163" s="665"/>
      <c r="W163" s="665"/>
      <c r="X163" s="665"/>
      <c r="Y163" s="665"/>
      <c r="Z163" s="644"/>
    </row>
    <row r="164" spans="1:26" s="680" customFormat="1" ht="15" hidden="1" outlineLevel="1">
      <c r="A164" s="684" t="s">
        <v>218</v>
      </c>
      <c r="B164" s="634">
        <v>124700000</v>
      </c>
      <c r="C164" s="687"/>
      <c r="D164" s="687"/>
      <c r="E164" s="687"/>
      <c r="F164" s="687"/>
      <c r="G164" s="634">
        <f t="shared" si="44"/>
        <v>124700000</v>
      </c>
      <c r="H164" s="619"/>
      <c r="I164" s="620">
        <f t="shared" si="45"/>
        <v>124700000</v>
      </c>
      <c r="J164" s="620">
        <v>12000000</v>
      </c>
      <c r="K164" s="620"/>
      <c r="L164" s="620"/>
      <c r="M164" s="620"/>
      <c r="N164" s="620">
        <f>+I164+J164+L164+M164-1630705</f>
        <v>135069295</v>
      </c>
      <c r="O164" s="620">
        <v>23316648</v>
      </c>
      <c r="P164" s="620">
        <v>31894525</v>
      </c>
      <c r="Q164" s="620">
        <v>32345552</v>
      </c>
      <c r="R164" s="706">
        <v>43942201</v>
      </c>
      <c r="S164" s="620">
        <f t="shared" si="40"/>
        <v>131498926</v>
      </c>
      <c r="T164" s="637">
        <f t="shared" si="43"/>
        <v>0.9735663904960783</v>
      </c>
      <c r="U164" s="686"/>
      <c r="V164" s="686"/>
      <c r="W164" s="686"/>
      <c r="X164" s="686"/>
      <c r="Y164" s="686"/>
      <c r="Z164" s="644"/>
    </row>
    <row r="165" spans="1:27" s="680" customFormat="1" ht="15" collapsed="1">
      <c r="A165" s="674" t="s">
        <v>484</v>
      </c>
      <c r="B165" s="647">
        <f>+B166</f>
        <v>136546120</v>
      </c>
      <c r="C165" s="675"/>
      <c r="D165" s="675"/>
      <c r="E165" s="675"/>
      <c r="F165" s="675"/>
      <c r="G165" s="647">
        <f t="shared" si="44"/>
        <v>136546120</v>
      </c>
      <c r="H165" s="675"/>
      <c r="I165" s="676">
        <f t="shared" si="45"/>
        <v>136546120</v>
      </c>
      <c r="J165" s="676">
        <f>+J166</f>
        <v>0</v>
      </c>
      <c r="K165" s="676"/>
      <c r="L165" s="676">
        <f>+L166</f>
        <v>-36000000</v>
      </c>
      <c r="M165" s="677">
        <f>+M166</f>
        <v>0</v>
      </c>
      <c r="N165" s="678">
        <f>+I165+J165+L165+M165</f>
        <v>100546120</v>
      </c>
      <c r="O165" s="678">
        <v>0</v>
      </c>
      <c r="P165" s="678">
        <f>+P166</f>
        <v>3117225</v>
      </c>
      <c r="Q165" s="678">
        <f>+Q166</f>
        <v>5134740</v>
      </c>
      <c r="R165" s="690">
        <f>+R166</f>
        <v>44981911</v>
      </c>
      <c r="S165" s="678">
        <f t="shared" si="40"/>
        <v>53233876</v>
      </c>
      <c r="T165" s="627">
        <f t="shared" si="43"/>
        <v>0.5294473421749144</v>
      </c>
      <c r="U165" s="665"/>
      <c r="V165" s="665"/>
      <c r="W165" s="665"/>
      <c r="X165" s="665"/>
      <c r="Y165" s="665"/>
      <c r="Z165" s="644"/>
      <c r="AA165" s="680" t="s">
        <v>544</v>
      </c>
    </row>
    <row r="166" spans="1:26" s="680" customFormat="1" ht="15" hidden="1" outlineLevel="1">
      <c r="A166" s="681" t="s">
        <v>484</v>
      </c>
      <c r="B166" s="633">
        <v>136546120</v>
      </c>
      <c r="C166" s="675"/>
      <c r="D166" s="675"/>
      <c r="E166" s="675"/>
      <c r="F166" s="675"/>
      <c r="G166" s="633">
        <f t="shared" si="44"/>
        <v>136546120</v>
      </c>
      <c r="H166" s="654"/>
      <c r="I166" s="682">
        <f t="shared" si="45"/>
        <v>136546120</v>
      </c>
      <c r="J166" s="682"/>
      <c r="K166" s="682"/>
      <c r="L166" s="682">
        <v>-36000000</v>
      </c>
      <c r="M166" s="682">
        <v>0</v>
      </c>
      <c r="N166" s="708">
        <f>+I166+J166+L166+M166</f>
        <v>100546120</v>
      </c>
      <c r="O166" s="682"/>
      <c r="P166" s="682">
        <v>3117225</v>
      </c>
      <c r="Q166" s="682">
        <v>5134740</v>
      </c>
      <c r="R166" s="683">
        <v>44981911</v>
      </c>
      <c r="S166" s="682">
        <f t="shared" si="40"/>
        <v>53233876</v>
      </c>
      <c r="T166" s="637">
        <f t="shared" si="43"/>
        <v>0.5294473421749144</v>
      </c>
      <c r="U166" s="686"/>
      <c r="V166" s="686"/>
      <c r="W166" s="686"/>
      <c r="X166" s="686"/>
      <c r="Y166" s="686"/>
      <c r="Z166" s="644"/>
    </row>
    <row r="167" spans="1:26" s="680" customFormat="1" ht="15" collapsed="1">
      <c r="A167" s="684"/>
      <c r="B167" s="634"/>
      <c r="C167" s="687"/>
      <c r="D167" s="687"/>
      <c r="E167" s="687"/>
      <c r="F167" s="687"/>
      <c r="G167" s="634"/>
      <c r="H167" s="619"/>
      <c r="I167" s="620"/>
      <c r="J167" s="662"/>
      <c r="K167" s="688"/>
      <c r="L167" s="688"/>
      <c r="M167" s="688"/>
      <c r="N167" s="678"/>
      <c r="O167" s="678"/>
      <c r="P167" s="678"/>
      <c r="Q167" s="678"/>
      <c r="R167" s="690"/>
      <c r="S167" s="678"/>
      <c r="T167" s="627"/>
      <c r="U167" s="686"/>
      <c r="V167" s="686"/>
      <c r="W167" s="686"/>
      <c r="X167" s="686"/>
      <c r="Y167" s="686"/>
      <c r="Z167" s="644"/>
    </row>
    <row r="168" spans="1:26" s="673" customFormat="1" ht="15.75" customHeight="1">
      <c r="A168" s="666" t="s">
        <v>485</v>
      </c>
      <c r="B168" s="667"/>
      <c r="C168" s="667"/>
      <c r="D168" s="667">
        <f>+D169+D174</f>
        <v>1057839867.7941864</v>
      </c>
      <c r="E168" s="667"/>
      <c r="F168" s="667"/>
      <c r="G168" s="667">
        <f>+B168+C168+D168+E168+F168</f>
        <v>1057839867.7941864</v>
      </c>
      <c r="H168" s="667"/>
      <c r="I168" s="668">
        <f>+G168+H168</f>
        <v>1057839867.7941864</v>
      </c>
      <c r="J168" s="668">
        <f>+J169+J174</f>
        <v>15000000</v>
      </c>
      <c r="K168" s="668"/>
      <c r="L168" s="668">
        <f>+L169+L174</f>
        <v>-201858929</v>
      </c>
      <c r="M168" s="668">
        <f>+M169+M174</f>
        <v>-105843000</v>
      </c>
      <c r="N168" s="670">
        <f>+I168+J168+L168+M168</f>
        <v>765137938.7941864</v>
      </c>
      <c r="O168" s="670">
        <f>+O169+O174</f>
        <v>10512866</v>
      </c>
      <c r="P168" s="670">
        <f>+P169+P174</f>
        <v>129834969</v>
      </c>
      <c r="Q168" s="670">
        <f>+Q169+Q174</f>
        <v>211015661</v>
      </c>
      <c r="R168" s="671">
        <f>+R169+R174</f>
        <v>332697098</v>
      </c>
      <c r="S168" s="670">
        <f t="shared" si="40"/>
        <v>684060594</v>
      </c>
      <c r="T168" s="672">
        <f t="shared" si="37"/>
        <v>0.8940356494124972</v>
      </c>
      <c r="U168" s="686"/>
      <c r="V168" s="686"/>
      <c r="W168" s="686"/>
      <c r="X168" s="686"/>
      <c r="Y168" s="686"/>
      <c r="Z168" s="644"/>
    </row>
    <row r="169" spans="1:26" ht="15">
      <c r="A169" s="674" t="s">
        <v>486</v>
      </c>
      <c r="B169" s="689"/>
      <c r="C169" s="689"/>
      <c r="D169" s="689">
        <f>+D170</f>
        <v>197000000</v>
      </c>
      <c r="E169" s="633"/>
      <c r="F169" s="654"/>
      <c r="G169" s="647">
        <f>+B169+C169+D169+E169+F169</f>
        <v>197000000</v>
      </c>
      <c r="H169" s="654"/>
      <c r="I169" s="676">
        <f>+H169+G169</f>
        <v>197000000</v>
      </c>
      <c r="J169" s="676">
        <f>+J170</f>
        <v>15000000</v>
      </c>
      <c r="K169" s="676"/>
      <c r="L169" s="676">
        <f>+L170</f>
        <v>0</v>
      </c>
      <c r="M169" s="677">
        <f>+M170</f>
        <v>-10000000</v>
      </c>
      <c r="N169" s="678">
        <f>+I169+J169+L169+M169</f>
        <v>202000000</v>
      </c>
      <c r="O169" s="678">
        <v>0</v>
      </c>
      <c r="P169" s="678">
        <f>+P170</f>
        <v>76533391</v>
      </c>
      <c r="Q169" s="678">
        <f>+Q170</f>
        <v>18117526</v>
      </c>
      <c r="R169" s="690">
        <f>+R170</f>
        <v>85500000</v>
      </c>
      <c r="S169" s="678">
        <f t="shared" si="40"/>
        <v>180150917</v>
      </c>
      <c r="T169" s="627">
        <f t="shared" si="37"/>
        <v>0.8918362227722773</v>
      </c>
      <c r="U169" s="686"/>
      <c r="V169" s="686"/>
      <c r="W169" s="686"/>
      <c r="X169" s="686"/>
      <c r="Y169" s="686"/>
      <c r="Z169" s="644"/>
    </row>
    <row r="170" spans="1:26" ht="15">
      <c r="A170" s="674" t="s">
        <v>99</v>
      </c>
      <c r="B170" s="689"/>
      <c r="C170" s="658"/>
      <c r="D170" s="689">
        <f>+D171+D172</f>
        <v>197000000</v>
      </c>
      <c r="E170" s="633"/>
      <c r="F170" s="654"/>
      <c r="G170" s="647">
        <f>+B170+C170+D170+E170+F170</f>
        <v>197000000</v>
      </c>
      <c r="H170" s="654"/>
      <c r="I170" s="678">
        <f>+H170+G170</f>
        <v>197000000</v>
      </c>
      <c r="J170" s="676">
        <f>+J171+J172</f>
        <v>15000000</v>
      </c>
      <c r="K170" s="676"/>
      <c r="L170" s="676">
        <f>+L171+L172</f>
        <v>0</v>
      </c>
      <c r="M170" s="677">
        <f>+M171+M172</f>
        <v>-10000000</v>
      </c>
      <c r="N170" s="678">
        <f>+I170+J170+L170+M170</f>
        <v>202000000</v>
      </c>
      <c r="O170" s="678"/>
      <c r="P170" s="678">
        <f>+P171+P172</f>
        <v>76533391</v>
      </c>
      <c r="Q170" s="678">
        <f>+Q171+Q172</f>
        <v>18117526</v>
      </c>
      <c r="R170" s="690">
        <f>+R171+R172</f>
        <v>85500000</v>
      </c>
      <c r="S170" s="678">
        <f t="shared" si="40"/>
        <v>180150917</v>
      </c>
      <c r="T170" s="627">
        <f t="shared" si="37"/>
        <v>0.8918362227722773</v>
      </c>
      <c r="U170" s="700"/>
      <c r="V170" s="700"/>
      <c r="W170" s="700"/>
      <c r="X170" s="700"/>
      <c r="Y170" s="700"/>
      <c r="Z170" s="644"/>
    </row>
    <row r="171" spans="1:26" ht="15" hidden="1" outlineLevel="1">
      <c r="A171" s="691" t="s">
        <v>487</v>
      </c>
      <c r="B171" s="689"/>
      <c r="C171" s="658"/>
      <c r="D171" s="658">
        <v>120000000</v>
      </c>
      <c r="E171" s="633"/>
      <c r="F171" s="654"/>
      <c r="G171" s="633">
        <f>+B171+C171+D171+E171+F171</f>
        <v>120000000</v>
      </c>
      <c r="H171" s="654"/>
      <c r="I171" s="708">
        <f>+H171+G171</f>
        <v>120000000</v>
      </c>
      <c r="J171" s="708">
        <v>15000000</v>
      </c>
      <c r="K171" s="708"/>
      <c r="L171" s="708"/>
      <c r="M171" s="708">
        <v>-10000000</v>
      </c>
      <c r="N171" s="708">
        <f>+I171+J171+L171+M171</f>
        <v>125000000</v>
      </c>
      <c r="O171" s="708">
        <v>0</v>
      </c>
      <c r="P171" s="708">
        <v>66302574</v>
      </c>
      <c r="Q171" s="708">
        <v>3435338</v>
      </c>
      <c r="R171" s="709">
        <v>40000000</v>
      </c>
      <c r="S171" s="708">
        <f t="shared" si="40"/>
        <v>109737912</v>
      </c>
      <c r="T171" s="637">
        <f t="shared" si="37"/>
        <v>0.877903296</v>
      </c>
      <c r="U171" s="700"/>
      <c r="V171" s="700"/>
      <c r="W171" s="700"/>
      <c r="X171" s="700"/>
      <c r="Y171" s="700"/>
      <c r="Z171" s="644"/>
    </row>
    <row r="172" spans="1:26" ht="29.25" hidden="1" outlineLevel="1">
      <c r="A172" s="691" t="s">
        <v>488</v>
      </c>
      <c r="B172" s="689"/>
      <c r="C172" s="658"/>
      <c r="D172" s="658">
        <v>77000000</v>
      </c>
      <c r="E172" s="633"/>
      <c r="F172" s="654"/>
      <c r="G172" s="633">
        <f>+B172+C172+D172+E172+F172</f>
        <v>77000000</v>
      </c>
      <c r="H172" s="654"/>
      <c r="I172" s="708">
        <f>+H172+G172</f>
        <v>77000000</v>
      </c>
      <c r="J172" s="708"/>
      <c r="K172" s="708"/>
      <c r="L172" s="708"/>
      <c r="M172" s="708"/>
      <c r="N172" s="708">
        <f>+I172+J172+L172+M172</f>
        <v>77000000</v>
      </c>
      <c r="O172" s="708">
        <v>0</v>
      </c>
      <c r="P172" s="708">
        <v>10230817</v>
      </c>
      <c r="Q172" s="708">
        <v>14682188</v>
      </c>
      <c r="R172" s="709">
        <v>45500000</v>
      </c>
      <c r="S172" s="708">
        <f t="shared" si="40"/>
        <v>70413005</v>
      </c>
      <c r="T172" s="637">
        <f t="shared" si="37"/>
        <v>0.9144546103896104</v>
      </c>
      <c r="U172" s="700"/>
      <c r="V172" s="700"/>
      <c r="W172" s="700"/>
      <c r="X172" s="700"/>
      <c r="Y172" s="700"/>
      <c r="Z172" s="644"/>
    </row>
    <row r="173" spans="1:26" ht="15" collapsed="1">
      <c r="A173" s="691"/>
      <c r="B173" s="689"/>
      <c r="C173" s="658"/>
      <c r="D173" s="658"/>
      <c r="E173" s="633"/>
      <c r="F173" s="654"/>
      <c r="G173" s="647"/>
      <c r="H173" s="654"/>
      <c r="I173" s="708"/>
      <c r="J173" s="682"/>
      <c r="K173" s="685"/>
      <c r="L173" s="685"/>
      <c r="M173" s="685"/>
      <c r="N173" s="708"/>
      <c r="O173" s="708"/>
      <c r="P173" s="708"/>
      <c r="Q173" s="708"/>
      <c r="R173" s="709"/>
      <c r="S173" s="708">
        <f t="shared" si="40"/>
        <v>0</v>
      </c>
      <c r="T173" s="627"/>
      <c r="U173" s="686"/>
      <c r="V173" s="686"/>
      <c r="W173" s="686"/>
      <c r="X173" s="686"/>
      <c r="Y173" s="686"/>
      <c r="Z173" s="644"/>
    </row>
    <row r="174" spans="1:26" ht="15">
      <c r="A174" s="674" t="s">
        <v>489</v>
      </c>
      <c r="B174" s="647"/>
      <c r="C174" s="647"/>
      <c r="D174" s="647">
        <f>+D175+D180</f>
        <v>860839867.7941864</v>
      </c>
      <c r="E174" s="654"/>
      <c r="F174" s="654"/>
      <c r="G174" s="647">
        <f>+B174+C174+D174+E174+F174</f>
        <v>860839867.7941864</v>
      </c>
      <c r="H174" s="675"/>
      <c r="I174" s="678">
        <f>+H174+G174</f>
        <v>860839867.7941864</v>
      </c>
      <c r="J174" s="682"/>
      <c r="K174" s="685"/>
      <c r="L174" s="703">
        <f>+L175+L180</f>
        <v>-201858929</v>
      </c>
      <c r="M174" s="703">
        <f>+M175+M180</f>
        <v>-95843000</v>
      </c>
      <c r="N174" s="678">
        <f>+I174+J174+L174+M174</f>
        <v>563137938.7941864</v>
      </c>
      <c r="O174" s="678">
        <f>+O175+O180</f>
        <v>10512866</v>
      </c>
      <c r="P174" s="678">
        <f>+P175+P180</f>
        <v>53301578</v>
      </c>
      <c r="Q174" s="678">
        <f>+Q175+Q180</f>
        <v>192898135</v>
      </c>
      <c r="R174" s="690">
        <f>+R175+R180</f>
        <v>247197098</v>
      </c>
      <c r="S174" s="678">
        <f t="shared" si="40"/>
        <v>503909677</v>
      </c>
      <c r="T174" s="627">
        <f t="shared" si="37"/>
        <v>0.8948245932053374</v>
      </c>
      <c r="U174" s="686"/>
      <c r="V174" s="686"/>
      <c r="W174" s="686"/>
      <c r="X174" s="686"/>
      <c r="Y174" s="686"/>
      <c r="Z174" s="644"/>
    </row>
    <row r="175" spans="1:26" ht="15">
      <c r="A175" s="674" t="s">
        <v>490</v>
      </c>
      <c r="B175" s="647"/>
      <c r="C175" s="647"/>
      <c r="D175" s="647">
        <f>SUM(D176:D179)</f>
        <v>384276027.79418635</v>
      </c>
      <c r="E175" s="654"/>
      <c r="F175" s="654"/>
      <c r="G175" s="647">
        <f aca="true" t="shared" si="46" ref="G175:G187">+B175+C175+D175+E175+F175</f>
        <v>384276027.79418635</v>
      </c>
      <c r="H175" s="675"/>
      <c r="I175" s="678">
        <f>+H175+G175</f>
        <v>384276027.79418635</v>
      </c>
      <c r="J175" s="682"/>
      <c r="K175" s="685"/>
      <c r="L175" s="703">
        <f>SUM(L176:L179)</f>
        <v>-201858929</v>
      </c>
      <c r="M175" s="703">
        <f>SUM(M176:M179)</f>
        <v>-22890000</v>
      </c>
      <c r="N175" s="678">
        <f>+I175+J175+L175+M175</f>
        <v>159527098.79418635</v>
      </c>
      <c r="O175" s="678">
        <f>SUM(O176:O179)</f>
        <v>0</v>
      </c>
      <c r="P175" s="678">
        <f>SUM(P176:P179)</f>
        <v>7592583</v>
      </c>
      <c r="Q175" s="678">
        <f>SUM(Q176:Q179)</f>
        <v>76481027</v>
      </c>
      <c r="R175" s="690">
        <f>SUM(R176:R179)</f>
        <v>66721977</v>
      </c>
      <c r="S175" s="678">
        <f t="shared" si="40"/>
        <v>150795587</v>
      </c>
      <c r="T175" s="627">
        <f t="shared" si="37"/>
        <v>0.9452662785182893</v>
      </c>
      <c r="U175" s="700"/>
      <c r="V175" s="700"/>
      <c r="W175" s="700"/>
      <c r="X175" s="700"/>
      <c r="Y175" s="700"/>
      <c r="Z175" s="644"/>
    </row>
    <row r="176" spans="1:26" ht="15" hidden="1" outlineLevel="1">
      <c r="A176" s="704" t="s">
        <v>491</v>
      </c>
      <c r="B176" s="647"/>
      <c r="C176" s="633"/>
      <c r="D176" s="633">
        <v>182794897.79418635</v>
      </c>
      <c r="E176" s="654"/>
      <c r="F176" s="654"/>
      <c r="G176" s="633">
        <f t="shared" si="46"/>
        <v>182794897.79418635</v>
      </c>
      <c r="H176" s="654"/>
      <c r="I176" s="708">
        <f aca="true" t="shared" si="47" ref="I176:I187">+H176+G176</f>
        <v>182794897.79418635</v>
      </c>
      <c r="J176" s="708"/>
      <c r="K176" s="708"/>
      <c r="L176" s="708">
        <v>-91397449</v>
      </c>
      <c r="M176" s="708">
        <v>-22890000</v>
      </c>
      <c r="N176" s="708">
        <f>+I176+J176+L176+M176-21000000-7000000-12500000-200000</f>
        <v>27807448.794186354</v>
      </c>
      <c r="O176" s="708">
        <v>0</v>
      </c>
      <c r="P176" s="708">
        <v>0</v>
      </c>
      <c r="Q176" s="708">
        <v>15805940</v>
      </c>
      <c r="R176" s="709">
        <v>6865000</v>
      </c>
      <c r="S176" s="708">
        <f t="shared" si="40"/>
        <v>22670940</v>
      </c>
      <c r="T176" s="637">
        <f t="shared" si="37"/>
        <v>0.815282990100831</v>
      </c>
      <c r="U176" s="700"/>
      <c r="V176" s="700"/>
      <c r="W176" s="700"/>
      <c r="X176" s="700"/>
      <c r="Y176" s="700"/>
      <c r="Z176" s="644"/>
    </row>
    <row r="177" spans="1:26" ht="15" hidden="1" outlineLevel="1">
      <c r="A177" s="704" t="s">
        <v>492</v>
      </c>
      <c r="B177" s="647"/>
      <c r="C177" s="633"/>
      <c r="D177" s="633">
        <v>104557650</v>
      </c>
      <c r="E177" s="654"/>
      <c r="F177" s="654"/>
      <c r="G177" s="633">
        <f t="shared" si="46"/>
        <v>104557650</v>
      </c>
      <c r="H177" s="654"/>
      <c r="I177" s="708">
        <f t="shared" si="47"/>
        <v>104557650</v>
      </c>
      <c r="J177" s="708"/>
      <c r="K177" s="708"/>
      <c r="L177" s="708">
        <v>-62446120</v>
      </c>
      <c r="M177" s="708">
        <v>0</v>
      </c>
      <c r="N177" s="708">
        <f>+I177+J177+L177+M177+21000000+12500000</f>
        <v>75611530</v>
      </c>
      <c r="O177" s="708">
        <v>0</v>
      </c>
      <c r="P177" s="708">
        <v>4473884</v>
      </c>
      <c r="Q177" s="708">
        <v>44482665</v>
      </c>
      <c r="R177" s="709">
        <v>26145573</v>
      </c>
      <c r="S177" s="708">
        <f t="shared" si="40"/>
        <v>75102122</v>
      </c>
      <c r="T177" s="637">
        <f t="shared" si="37"/>
        <v>0.9932628264498814</v>
      </c>
      <c r="U177" s="700"/>
      <c r="V177" s="700"/>
      <c r="W177" s="700"/>
      <c r="X177" s="700"/>
      <c r="Y177" s="700"/>
      <c r="Z177" s="644"/>
    </row>
    <row r="178" spans="1:26" ht="15" hidden="1" outlineLevel="1">
      <c r="A178" s="704" t="s">
        <v>493</v>
      </c>
      <c r="B178" s="647"/>
      <c r="C178" s="633"/>
      <c r="D178" s="633">
        <v>90643480</v>
      </c>
      <c r="E178" s="654"/>
      <c r="F178" s="654"/>
      <c r="G178" s="633">
        <f t="shared" si="46"/>
        <v>90643480</v>
      </c>
      <c r="H178" s="654"/>
      <c r="I178" s="708">
        <f t="shared" si="47"/>
        <v>90643480</v>
      </c>
      <c r="J178" s="708"/>
      <c r="K178" s="708"/>
      <c r="L178" s="708">
        <v>-48015360</v>
      </c>
      <c r="M178" s="708">
        <v>0</v>
      </c>
      <c r="N178" s="708">
        <f>+I178+J178+L178+M178+200000</f>
        <v>42828120</v>
      </c>
      <c r="O178" s="708">
        <v>0</v>
      </c>
      <c r="P178" s="708">
        <v>0</v>
      </c>
      <c r="Q178" s="708">
        <v>8192422</v>
      </c>
      <c r="R178" s="709">
        <v>33711404</v>
      </c>
      <c r="S178" s="708">
        <f t="shared" si="40"/>
        <v>41903826</v>
      </c>
      <c r="T178" s="637">
        <f t="shared" si="37"/>
        <v>0.978418525025147</v>
      </c>
      <c r="U178" s="700"/>
      <c r="V178" s="700"/>
      <c r="W178" s="700"/>
      <c r="X178" s="700"/>
      <c r="Y178" s="700"/>
      <c r="Z178" s="644"/>
    </row>
    <row r="179" spans="1:26" ht="15" hidden="1" outlineLevel="1">
      <c r="A179" s="704" t="s">
        <v>494</v>
      </c>
      <c r="B179" s="647"/>
      <c r="C179" s="633"/>
      <c r="D179" s="633">
        <v>6280000</v>
      </c>
      <c r="E179" s="654"/>
      <c r="F179" s="654"/>
      <c r="G179" s="633">
        <f t="shared" si="46"/>
        <v>6280000</v>
      </c>
      <c r="H179" s="654"/>
      <c r="I179" s="708">
        <f t="shared" si="47"/>
        <v>6280000</v>
      </c>
      <c r="J179" s="708"/>
      <c r="K179" s="708"/>
      <c r="L179" s="708"/>
      <c r="M179" s="708"/>
      <c r="N179" s="708">
        <f>+I179+J179+L179+M179+7000000</f>
        <v>13280000</v>
      </c>
      <c r="O179" s="708">
        <v>0</v>
      </c>
      <c r="P179" s="708">
        <v>3118699</v>
      </c>
      <c r="Q179" s="708">
        <v>8000000</v>
      </c>
      <c r="R179" s="709">
        <v>0</v>
      </c>
      <c r="S179" s="708">
        <f t="shared" si="40"/>
        <v>11118699</v>
      </c>
      <c r="T179" s="637">
        <f t="shared" si="37"/>
        <v>0.8372514307228915</v>
      </c>
      <c r="U179" s="686"/>
      <c r="V179" s="686"/>
      <c r="W179" s="686"/>
      <c r="X179" s="686"/>
      <c r="Y179" s="686"/>
      <c r="Z179" s="644"/>
    </row>
    <row r="180" spans="1:26" ht="15" collapsed="1">
      <c r="A180" s="674" t="s">
        <v>495</v>
      </c>
      <c r="B180" s="647"/>
      <c r="C180" s="647"/>
      <c r="D180" s="647">
        <f>+D181+D182+D183+D184+D186+D185+D187</f>
        <v>476563840</v>
      </c>
      <c r="E180" s="654"/>
      <c r="F180" s="654"/>
      <c r="G180" s="647">
        <f>+B180+C180+D180+E180+F180</f>
        <v>476563840</v>
      </c>
      <c r="H180" s="675"/>
      <c r="I180" s="678">
        <f>+H180+G180</f>
        <v>476563840</v>
      </c>
      <c r="J180" s="682"/>
      <c r="K180" s="685"/>
      <c r="L180" s="685">
        <f>SUM(L181:L186)</f>
        <v>0</v>
      </c>
      <c r="M180" s="678">
        <f>SUM(M181:M187)</f>
        <v>-72953000</v>
      </c>
      <c r="N180" s="678">
        <f>+I180+J180+L180+M180</f>
        <v>403610840</v>
      </c>
      <c r="O180" s="678">
        <f>+O181+O182+O183+O184+O186+O185+O187</f>
        <v>10512866</v>
      </c>
      <c r="P180" s="678">
        <f>+P181+P182+P183+P184+P186+P185+P187</f>
        <v>45708995</v>
      </c>
      <c r="Q180" s="678">
        <f>+Q181+Q182+Q183+Q184+Q186+Q185+Q187</f>
        <v>116417108</v>
      </c>
      <c r="R180" s="690">
        <f>SUM(R181:R187)</f>
        <v>180475121</v>
      </c>
      <c r="S180" s="678">
        <f t="shared" si="40"/>
        <v>353114090</v>
      </c>
      <c r="T180" s="627">
        <f t="shared" si="37"/>
        <v>0.8748875277978163</v>
      </c>
      <c r="U180" s="700"/>
      <c r="V180" s="700"/>
      <c r="W180" s="700"/>
      <c r="X180" s="700"/>
      <c r="Y180" s="700"/>
      <c r="Z180" s="644"/>
    </row>
    <row r="181" spans="1:26" ht="15" hidden="1" outlineLevel="1">
      <c r="A181" s="691" t="s">
        <v>496</v>
      </c>
      <c r="B181" s="647"/>
      <c r="C181" s="633"/>
      <c r="D181" s="633">
        <v>112000000</v>
      </c>
      <c r="E181" s="654"/>
      <c r="F181" s="654"/>
      <c r="G181" s="633">
        <f t="shared" si="46"/>
        <v>112000000</v>
      </c>
      <c r="H181" s="654"/>
      <c r="I181" s="708">
        <f t="shared" si="47"/>
        <v>112000000</v>
      </c>
      <c r="J181" s="708"/>
      <c r="K181" s="708"/>
      <c r="L181" s="708"/>
      <c r="M181" s="708"/>
      <c r="N181" s="708">
        <f>+I181+J181+L181+M181-33965000</f>
        <v>78035000</v>
      </c>
      <c r="O181" s="708">
        <v>0</v>
      </c>
      <c r="P181" s="708">
        <v>0</v>
      </c>
      <c r="Q181" s="708">
        <v>5114062</v>
      </c>
      <c r="R181" s="709">
        <v>55413865</v>
      </c>
      <c r="S181" s="708">
        <f t="shared" si="40"/>
        <v>60527927</v>
      </c>
      <c r="T181" s="637">
        <f t="shared" si="37"/>
        <v>0.7756510155699365</v>
      </c>
      <c r="U181" s="700"/>
      <c r="V181" s="700"/>
      <c r="W181" s="700"/>
      <c r="X181" s="700"/>
      <c r="Y181" s="700"/>
      <c r="Z181" s="644"/>
    </row>
    <row r="182" spans="1:26" ht="15" hidden="1" outlineLevel="1">
      <c r="A182" s="691" t="s">
        <v>497</v>
      </c>
      <c r="B182" s="647"/>
      <c r="C182" s="633"/>
      <c r="D182" s="633">
        <v>99021440</v>
      </c>
      <c r="E182" s="654"/>
      <c r="F182" s="654"/>
      <c r="G182" s="633">
        <f t="shared" si="46"/>
        <v>99021440</v>
      </c>
      <c r="H182" s="654"/>
      <c r="I182" s="708">
        <f t="shared" si="47"/>
        <v>99021440</v>
      </c>
      <c r="J182" s="708"/>
      <c r="K182" s="708"/>
      <c r="L182" s="708"/>
      <c r="M182" s="708"/>
      <c r="N182" s="708">
        <f>+I182+J182+L182+M182+2340000</f>
        <v>101361440</v>
      </c>
      <c r="O182" s="708">
        <v>0</v>
      </c>
      <c r="P182" s="708">
        <v>12940069</v>
      </c>
      <c r="Q182" s="708">
        <v>58162345</v>
      </c>
      <c r="R182" s="709">
        <v>21607444</v>
      </c>
      <c r="S182" s="708">
        <f t="shared" si="40"/>
        <v>92709858</v>
      </c>
      <c r="T182" s="637">
        <f t="shared" si="37"/>
        <v>0.9146462204956836</v>
      </c>
      <c r="U182" s="700"/>
      <c r="V182" s="700"/>
      <c r="W182" s="700"/>
      <c r="X182" s="700"/>
      <c r="Y182" s="700"/>
      <c r="Z182" s="644"/>
    </row>
    <row r="183" spans="1:26" ht="15" hidden="1" outlineLevel="1">
      <c r="A183" s="691" t="s">
        <v>498</v>
      </c>
      <c r="B183" s="647"/>
      <c r="C183" s="633"/>
      <c r="D183" s="633">
        <v>69872400</v>
      </c>
      <c r="E183" s="654"/>
      <c r="F183" s="654"/>
      <c r="G183" s="633">
        <f t="shared" si="46"/>
        <v>69872400</v>
      </c>
      <c r="H183" s="654"/>
      <c r="I183" s="708">
        <f t="shared" si="47"/>
        <v>69872400</v>
      </c>
      <c r="J183" s="708"/>
      <c r="K183" s="708"/>
      <c r="L183" s="708"/>
      <c r="M183" s="708">
        <v>-21079000</v>
      </c>
      <c r="N183" s="708">
        <f>+I183+J183+L183+M183+7660000</f>
        <v>56453400</v>
      </c>
      <c r="O183" s="708">
        <v>0</v>
      </c>
      <c r="P183" s="708">
        <v>9243086</v>
      </c>
      <c r="Q183" s="708">
        <v>17000289</v>
      </c>
      <c r="R183" s="709">
        <v>22574539</v>
      </c>
      <c r="S183" s="708">
        <f t="shared" si="40"/>
        <v>48817914</v>
      </c>
      <c r="T183" s="637">
        <f t="shared" si="37"/>
        <v>0.8647471011489122</v>
      </c>
      <c r="U183" s="700"/>
      <c r="V183" s="700"/>
      <c r="W183" s="700"/>
      <c r="X183" s="700"/>
      <c r="Y183" s="700"/>
      <c r="Z183" s="644"/>
    </row>
    <row r="184" spans="1:26" ht="15" hidden="1" outlineLevel="1">
      <c r="A184" s="691" t="s">
        <v>499</v>
      </c>
      <c r="B184" s="647"/>
      <c r="C184" s="633"/>
      <c r="D184" s="633">
        <v>6580000</v>
      </c>
      <c r="E184" s="654"/>
      <c r="F184" s="654"/>
      <c r="G184" s="633">
        <f t="shared" si="46"/>
        <v>6580000</v>
      </c>
      <c r="H184" s="654"/>
      <c r="I184" s="708">
        <f t="shared" si="47"/>
        <v>6580000</v>
      </c>
      <c r="J184" s="708"/>
      <c r="K184" s="708"/>
      <c r="L184" s="708"/>
      <c r="M184" s="708"/>
      <c r="N184" s="708">
        <f>+I184+J184+L184+M184</f>
        <v>6580000</v>
      </c>
      <c r="O184" s="708">
        <v>0</v>
      </c>
      <c r="P184" s="708">
        <v>0</v>
      </c>
      <c r="Q184" s="708">
        <v>1119640</v>
      </c>
      <c r="R184" s="709">
        <v>4940541</v>
      </c>
      <c r="S184" s="708">
        <f t="shared" si="40"/>
        <v>6060181</v>
      </c>
      <c r="T184" s="637">
        <f t="shared" si="37"/>
        <v>0.9210001519756839</v>
      </c>
      <c r="U184" s="700"/>
      <c r="V184" s="700"/>
      <c r="W184" s="700"/>
      <c r="X184" s="700"/>
      <c r="Y184" s="700"/>
      <c r="Z184" s="644"/>
    </row>
    <row r="185" spans="1:26" ht="15" hidden="1" outlineLevel="1">
      <c r="A185" s="691" t="s">
        <v>500</v>
      </c>
      <c r="B185" s="647"/>
      <c r="C185" s="633"/>
      <c r="D185" s="633">
        <v>81600000</v>
      </c>
      <c r="E185" s="654"/>
      <c r="F185" s="654"/>
      <c r="G185" s="633">
        <f t="shared" si="46"/>
        <v>81600000</v>
      </c>
      <c r="H185" s="654"/>
      <c r="I185" s="708">
        <f t="shared" si="47"/>
        <v>81600000</v>
      </c>
      <c r="J185" s="708"/>
      <c r="K185" s="708"/>
      <c r="L185" s="708"/>
      <c r="M185" s="708">
        <v>-34384000</v>
      </c>
      <c r="N185" s="708">
        <f>+I185+J185+L185+M185-3720000</f>
        <v>43496000</v>
      </c>
      <c r="O185" s="708">
        <v>0</v>
      </c>
      <c r="P185" s="708">
        <v>0</v>
      </c>
      <c r="Q185" s="708">
        <v>8482332</v>
      </c>
      <c r="R185" s="709">
        <v>23212232</v>
      </c>
      <c r="S185" s="708">
        <f t="shared" si="40"/>
        <v>31694564</v>
      </c>
      <c r="T185" s="637">
        <f t="shared" si="37"/>
        <v>0.7286776715100239</v>
      </c>
      <c r="U185" s="700"/>
      <c r="V185" s="700"/>
      <c r="W185" s="700"/>
      <c r="X185" s="700"/>
      <c r="Y185" s="700"/>
      <c r="Z185" s="644"/>
    </row>
    <row r="186" spans="1:26" ht="15" hidden="1" outlineLevel="1">
      <c r="A186" s="691" t="s">
        <v>501</v>
      </c>
      <c r="B186" s="647"/>
      <c r="C186" s="633"/>
      <c r="D186" s="633">
        <v>35000000</v>
      </c>
      <c r="E186" s="654"/>
      <c r="F186" s="654"/>
      <c r="G186" s="633">
        <f t="shared" si="46"/>
        <v>35000000</v>
      </c>
      <c r="H186" s="654"/>
      <c r="I186" s="708">
        <f t="shared" si="47"/>
        <v>35000000</v>
      </c>
      <c r="J186" s="708"/>
      <c r="K186" s="708"/>
      <c r="L186" s="708"/>
      <c r="M186" s="708"/>
      <c r="N186" s="708">
        <f>+I186+J186+L186+M186+27685000</f>
        <v>62685000</v>
      </c>
      <c r="O186" s="708">
        <v>512866</v>
      </c>
      <c r="P186" s="708">
        <v>8525840</v>
      </c>
      <c r="Q186" s="708">
        <v>11538440</v>
      </c>
      <c r="R186" s="709">
        <v>39226500</v>
      </c>
      <c r="S186" s="708">
        <f t="shared" si="40"/>
        <v>59803646</v>
      </c>
      <c r="T186" s="637">
        <f t="shared" si="37"/>
        <v>0.9540343941931881</v>
      </c>
      <c r="U186" s="700"/>
      <c r="V186" s="700"/>
      <c r="W186" s="700"/>
      <c r="X186" s="700"/>
      <c r="Y186" s="700"/>
      <c r="Z186" s="644"/>
    </row>
    <row r="187" spans="1:26" ht="15" hidden="1" outlineLevel="1">
      <c r="A187" s="691" t="s">
        <v>502</v>
      </c>
      <c r="B187" s="647"/>
      <c r="C187" s="633"/>
      <c r="D187" s="633">
        <v>72490000</v>
      </c>
      <c r="E187" s="654"/>
      <c r="F187" s="654"/>
      <c r="G187" s="633">
        <f t="shared" si="46"/>
        <v>72490000</v>
      </c>
      <c r="H187" s="654"/>
      <c r="I187" s="708">
        <f t="shared" si="47"/>
        <v>72490000</v>
      </c>
      <c r="J187" s="708"/>
      <c r="K187" s="708"/>
      <c r="L187" s="708"/>
      <c r="M187" s="708">
        <v>-17490000</v>
      </c>
      <c r="N187" s="708">
        <f>+I187+J187+L187+M187</f>
        <v>55000000</v>
      </c>
      <c r="O187" s="708">
        <v>10000000</v>
      </c>
      <c r="P187" s="708">
        <v>15000000</v>
      </c>
      <c r="Q187" s="708">
        <v>15000000</v>
      </c>
      <c r="R187" s="709">
        <v>13500000</v>
      </c>
      <c r="S187" s="708">
        <f t="shared" si="40"/>
        <v>53500000</v>
      </c>
      <c r="T187" s="637">
        <f t="shared" si="37"/>
        <v>0.9727272727272728</v>
      </c>
      <c r="U187" s="686"/>
      <c r="V187" s="686"/>
      <c r="W187" s="686"/>
      <c r="X187" s="686"/>
      <c r="Y187" s="686"/>
      <c r="Z187" s="644"/>
    </row>
    <row r="188" spans="1:26" ht="15" collapsed="1">
      <c r="A188" s="674"/>
      <c r="B188" s="647"/>
      <c r="C188" s="647"/>
      <c r="D188" s="647"/>
      <c r="E188" s="675"/>
      <c r="F188" s="675"/>
      <c r="G188" s="647"/>
      <c r="H188" s="675"/>
      <c r="I188" s="678"/>
      <c r="J188" s="676"/>
      <c r="K188" s="677"/>
      <c r="L188" s="677"/>
      <c r="M188" s="688"/>
      <c r="N188" s="678"/>
      <c r="O188" s="678"/>
      <c r="P188" s="678"/>
      <c r="Q188" s="678"/>
      <c r="R188" s="690"/>
      <c r="S188" s="678"/>
      <c r="T188" s="627"/>
      <c r="U188" s="686"/>
      <c r="V188" s="686"/>
      <c r="W188" s="686"/>
      <c r="X188" s="686"/>
      <c r="Y188" s="686"/>
      <c r="Z188" s="644"/>
    </row>
    <row r="189" spans="1:26" ht="15">
      <c r="A189" s="695"/>
      <c r="B189" s="647"/>
      <c r="C189" s="647"/>
      <c r="D189" s="647"/>
      <c r="E189" s="647"/>
      <c r="F189" s="647"/>
      <c r="G189" s="647"/>
      <c r="H189" s="647"/>
      <c r="I189" s="676"/>
      <c r="J189" s="676"/>
      <c r="K189" s="677"/>
      <c r="L189" s="677"/>
      <c r="M189" s="677"/>
      <c r="N189" s="678"/>
      <c r="O189" s="678"/>
      <c r="P189" s="678"/>
      <c r="Q189" s="678"/>
      <c r="R189" s="690"/>
      <c r="S189" s="678"/>
      <c r="T189" s="627"/>
      <c r="U189" s="686"/>
      <c r="V189" s="686"/>
      <c r="W189" s="686"/>
      <c r="X189" s="686"/>
      <c r="Y189" s="686"/>
      <c r="Z189" s="644"/>
    </row>
    <row r="190" spans="1:26" ht="15">
      <c r="A190" s="711" t="s">
        <v>58</v>
      </c>
      <c r="B190" s="619"/>
      <c r="C190" s="619"/>
      <c r="D190" s="619"/>
      <c r="E190" s="619"/>
      <c r="F190" s="634"/>
      <c r="G190" s="634"/>
      <c r="H190" s="625">
        <f>+H191+H192</f>
        <v>1700748351.4595</v>
      </c>
      <c r="I190" s="662">
        <f>+H190+G190</f>
        <v>1700748351.4595</v>
      </c>
      <c r="J190" s="620"/>
      <c r="K190" s="664"/>
      <c r="L190" s="664">
        <f>+L191+L192</f>
        <v>0</v>
      </c>
      <c r="M190" s="688">
        <f>+M191+M192</f>
        <v>0</v>
      </c>
      <c r="N190" s="623">
        <f>+I190+J190+L190+M190</f>
        <v>1700748351.4595</v>
      </c>
      <c r="O190" s="623">
        <f>+O191+O192</f>
        <v>398307051</v>
      </c>
      <c r="P190" s="623">
        <f>+P191+P192</f>
        <v>430438925</v>
      </c>
      <c r="Q190" s="623">
        <f>+Q191+Q192</f>
        <v>465969712</v>
      </c>
      <c r="R190" s="649">
        <f>+R191+R192</f>
        <v>497011428</v>
      </c>
      <c r="S190" s="623">
        <f t="shared" si="40"/>
        <v>1791727116</v>
      </c>
      <c r="T190" s="627">
        <f t="shared" si="37"/>
        <v>1.0534933721749171</v>
      </c>
      <c r="U190" s="665"/>
      <c r="V190" s="665"/>
      <c r="W190" s="665"/>
      <c r="X190" s="665"/>
      <c r="Y190" s="665"/>
      <c r="Z190" s="644"/>
    </row>
    <row r="191" spans="1:27" ht="14.25" outlineLevel="1">
      <c r="A191" s="712" t="s">
        <v>503</v>
      </c>
      <c r="B191" s="619"/>
      <c r="C191" s="619"/>
      <c r="D191" s="619"/>
      <c r="E191" s="619"/>
      <c r="F191" s="634"/>
      <c r="G191" s="634"/>
      <c r="H191" s="634">
        <v>1063557654.5598</v>
      </c>
      <c r="I191" s="620">
        <f>+H191+G191</f>
        <v>1063557654.5598</v>
      </c>
      <c r="J191" s="620"/>
      <c r="K191" s="620"/>
      <c r="L191" s="620"/>
      <c r="M191" s="620">
        <v>0</v>
      </c>
      <c r="N191" s="620">
        <f>+I191+J191+L191+M191</f>
        <v>1063557654.5598</v>
      </c>
      <c r="O191" s="620">
        <v>250277346</v>
      </c>
      <c r="P191" s="620">
        <v>269024326.5</v>
      </c>
      <c r="Q191" s="620">
        <v>291231070</v>
      </c>
      <c r="R191" s="706">
        <v>310632142</v>
      </c>
      <c r="S191" s="620">
        <f t="shared" si="40"/>
        <v>1121164884.5</v>
      </c>
      <c r="T191" s="637">
        <f t="shared" si="37"/>
        <v>1.0541646517170178</v>
      </c>
      <c r="U191" s="665"/>
      <c r="V191" s="665"/>
      <c r="W191" s="665"/>
      <c r="X191" s="665"/>
      <c r="Y191" s="665"/>
      <c r="Z191" s="644"/>
      <c r="AA191" s="753" t="s">
        <v>544</v>
      </c>
    </row>
    <row r="192" spans="1:27" ht="15" outlineLevel="1">
      <c r="A192" s="712" t="s">
        <v>504</v>
      </c>
      <c r="B192" s="619"/>
      <c r="C192" s="619"/>
      <c r="D192" s="619"/>
      <c r="E192" s="619"/>
      <c r="F192" s="634"/>
      <c r="G192" s="634"/>
      <c r="H192" s="634">
        <v>637190696.8997</v>
      </c>
      <c r="I192" s="620">
        <f>+H192+G192</f>
        <v>637190696.8997</v>
      </c>
      <c r="J192" s="620"/>
      <c r="K192" s="620"/>
      <c r="L192" s="620"/>
      <c r="M192" s="620">
        <v>0</v>
      </c>
      <c r="N192" s="620">
        <f>+I192+J192+L192+M192</f>
        <v>637190696.8997</v>
      </c>
      <c r="O192" s="620">
        <v>148029705</v>
      </c>
      <c r="P192" s="620">
        <v>161414598.5</v>
      </c>
      <c r="Q192" s="620">
        <v>174738642</v>
      </c>
      <c r="R192" s="706">
        <v>186379286</v>
      </c>
      <c r="S192" s="620">
        <f t="shared" si="40"/>
        <v>670562231.5</v>
      </c>
      <c r="T192" s="637">
        <f t="shared" si="37"/>
        <v>1.0523729156164265</v>
      </c>
      <c r="U192" s="686"/>
      <c r="V192" s="686"/>
      <c r="W192" s="686"/>
      <c r="X192" s="686"/>
      <c r="Y192" s="686"/>
      <c r="Z192" s="644"/>
      <c r="AA192" s="753" t="s">
        <v>544</v>
      </c>
    </row>
    <row r="193" spans="1:26" ht="15">
      <c r="A193" s="646"/>
      <c r="B193" s="619"/>
      <c r="C193" s="619"/>
      <c r="D193" s="619"/>
      <c r="E193" s="619"/>
      <c r="F193" s="634"/>
      <c r="G193" s="634"/>
      <c r="H193" s="634"/>
      <c r="I193" s="620"/>
      <c r="J193" s="620"/>
      <c r="K193" s="664"/>
      <c r="L193" s="664"/>
      <c r="M193" s="664"/>
      <c r="N193" s="623"/>
      <c r="O193" s="623"/>
      <c r="P193" s="623"/>
      <c r="Q193" s="623"/>
      <c r="R193" s="649"/>
      <c r="S193" s="623"/>
      <c r="T193" s="627"/>
      <c r="U193" s="686"/>
      <c r="V193" s="686"/>
      <c r="W193" s="686"/>
      <c r="X193" s="686"/>
      <c r="Y193" s="686"/>
      <c r="Z193" s="644"/>
    </row>
    <row r="194" spans="1:26" ht="15">
      <c r="A194" s="711" t="s">
        <v>342</v>
      </c>
      <c r="B194" s="619"/>
      <c r="C194" s="619"/>
      <c r="D194" s="619"/>
      <c r="E194" s="619"/>
      <c r="F194" s="634"/>
      <c r="G194" s="625">
        <f>+B194+C194+E194+F194</f>
        <v>0</v>
      </c>
      <c r="H194" s="625">
        <f>+H195+H196</f>
        <v>3686559222.98098</v>
      </c>
      <c r="I194" s="662">
        <f>+H194+G194</f>
        <v>3686559222.98098</v>
      </c>
      <c r="J194" s="662">
        <f>+J195+J196</f>
        <v>247262369</v>
      </c>
      <c r="K194" s="662"/>
      <c r="L194" s="662">
        <f>+L195+L196</f>
        <v>123667355</v>
      </c>
      <c r="M194" s="662">
        <f>+M195+M196</f>
        <v>809831647</v>
      </c>
      <c r="N194" s="623">
        <f>+I194+J194+L194+M194</f>
        <v>4867320593.98098</v>
      </c>
      <c r="O194" s="623">
        <f>+O195+O196</f>
        <v>0</v>
      </c>
      <c r="P194" s="623">
        <f>+P195+P196</f>
        <v>0</v>
      </c>
      <c r="Q194" s="623">
        <f>+Q195+Q196</f>
        <v>0</v>
      </c>
      <c r="R194" s="623">
        <f>+R195+R196</f>
        <v>0</v>
      </c>
      <c r="S194" s="623">
        <f>+O194+P194+Q194+R194</f>
        <v>0</v>
      </c>
      <c r="T194" s="627">
        <f t="shared" si="37"/>
        <v>0</v>
      </c>
      <c r="U194" s="665"/>
      <c r="V194" s="665"/>
      <c r="W194" s="665"/>
      <c r="X194" s="665"/>
      <c r="Y194" s="665"/>
      <c r="Z194" s="644"/>
    </row>
    <row r="195" spans="1:26" ht="14.25" hidden="1" outlineLevel="1">
      <c r="A195" s="656" t="s">
        <v>343</v>
      </c>
      <c r="B195" s="619"/>
      <c r="C195" s="619"/>
      <c r="D195" s="619"/>
      <c r="E195" s="619"/>
      <c r="F195" s="634"/>
      <c r="G195" s="634">
        <f>+B195+C195+E195+F195</f>
        <v>0</v>
      </c>
      <c r="H195" s="634">
        <v>943897542.3321247</v>
      </c>
      <c r="I195" s="620">
        <f>+H195+G195</f>
        <v>943897542.3321247</v>
      </c>
      <c r="J195" s="620">
        <f>115390705-1000000</f>
        <v>114390705</v>
      </c>
      <c r="K195" s="620"/>
      <c r="L195" s="620">
        <f>-15432645-14500000+57600000+36000000</f>
        <v>63667355</v>
      </c>
      <c r="M195" s="620">
        <f>621745460+16300000+10000000+22890000+72953000+24200000+28079000+10983997+55000000+60000000</f>
        <v>922151457</v>
      </c>
      <c r="N195" s="620">
        <f>+I195+J195+L195+M195</f>
        <v>2044107059.3321247</v>
      </c>
      <c r="O195" s="620"/>
      <c r="P195" s="620"/>
      <c r="Q195" s="620">
        <v>0</v>
      </c>
      <c r="R195" s="706"/>
      <c r="S195" s="620">
        <f t="shared" si="40"/>
        <v>0</v>
      </c>
      <c r="T195" s="637">
        <f t="shared" si="37"/>
        <v>0</v>
      </c>
      <c r="U195" s="665"/>
      <c r="V195" s="665"/>
      <c r="W195" s="665"/>
      <c r="X195" s="665"/>
      <c r="Y195" s="665"/>
      <c r="Z195" s="644"/>
    </row>
    <row r="196" spans="1:26" ht="15" hidden="1" outlineLevel="1">
      <c r="A196" s="656" t="s">
        <v>344</v>
      </c>
      <c r="B196" s="619"/>
      <c r="C196" s="619"/>
      <c r="D196" s="619"/>
      <c r="E196" s="619"/>
      <c r="F196" s="634"/>
      <c r="G196" s="634">
        <f>+B196+C196+E196+F196</f>
        <v>0</v>
      </c>
      <c r="H196" s="634">
        <v>2742661680.648855</v>
      </c>
      <c r="I196" s="620">
        <f>+H196+G196</f>
        <v>2742661680.648855</v>
      </c>
      <c r="J196" s="620">
        <f>+'[27]Anexo 1 Minagricultura'!E23</f>
        <v>132871664</v>
      </c>
      <c r="K196" s="620"/>
      <c r="L196" s="620">
        <f>60000000</f>
        <v>60000000</v>
      </c>
      <c r="M196" s="620">
        <f>373080190-1200000000+35000000+600000000+79600000</f>
        <v>-112319810</v>
      </c>
      <c r="N196" s="620">
        <f>+I196+J196+L196+M196</f>
        <v>2823213534.648855</v>
      </c>
      <c r="O196" s="620"/>
      <c r="P196" s="620"/>
      <c r="Q196" s="620">
        <v>0</v>
      </c>
      <c r="R196" s="706"/>
      <c r="S196" s="620">
        <f t="shared" si="40"/>
        <v>0</v>
      </c>
      <c r="T196" s="637">
        <f t="shared" si="37"/>
        <v>0</v>
      </c>
      <c r="U196" s="686"/>
      <c r="V196" s="686"/>
      <c r="W196" s="686"/>
      <c r="X196" s="686"/>
      <c r="Y196" s="686"/>
      <c r="Z196" s="644"/>
    </row>
    <row r="197" spans="1:26" ht="15" collapsed="1">
      <c r="A197" s="646"/>
      <c r="B197" s="619"/>
      <c r="C197" s="619"/>
      <c r="D197" s="619"/>
      <c r="E197" s="619"/>
      <c r="F197" s="634"/>
      <c r="G197" s="634"/>
      <c r="H197" s="634"/>
      <c r="I197" s="620"/>
      <c r="J197" s="620"/>
      <c r="K197" s="662"/>
      <c r="L197" s="662"/>
      <c r="M197" s="662"/>
      <c r="N197" s="623"/>
      <c r="O197" s="623"/>
      <c r="P197" s="623"/>
      <c r="Q197" s="623"/>
      <c r="R197" s="649"/>
      <c r="S197" s="623"/>
      <c r="T197" s="627"/>
      <c r="U197" s="686"/>
      <c r="V197" s="686"/>
      <c r="W197" s="686"/>
      <c r="X197" s="686"/>
      <c r="Y197" s="686"/>
      <c r="Z197" s="644"/>
    </row>
    <row r="198" spans="1:26" ht="15">
      <c r="A198" s="646" t="s">
        <v>345</v>
      </c>
      <c r="B198" s="625">
        <f>+B39+B37</f>
        <v>2425663892.0014725</v>
      </c>
      <c r="C198" s="625">
        <f>+C37+C39</f>
        <v>1512429847.9775555</v>
      </c>
      <c r="D198" s="625">
        <f>+D39+D37</f>
        <v>1247024577.6325583</v>
      </c>
      <c r="E198" s="625">
        <f>+E37+E39</f>
        <v>9117548742.246445</v>
      </c>
      <c r="F198" s="625">
        <f>+F39+F37</f>
        <v>4623960689.084303</v>
      </c>
      <c r="G198" s="625">
        <f>+B198+C198+E198+F198+D198</f>
        <v>18926627748.942333</v>
      </c>
      <c r="H198" s="625">
        <f>+H194+H190+H39+H37</f>
        <v>6224944331.402115</v>
      </c>
      <c r="I198" s="662">
        <f>+H198+G198</f>
        <v>25151572080.344448</v>
      </c>
      <c r="J198" s="662">
        <f>+J194+J190+J39+J37</f>
        <v>1026362369</v>
      </c>
      <c r="K198" s="662"/>
      <c r="L198" s="662">
        <f>+L194+L190+L39+L37</f>
        <v>-201858928.90098912</v>
      </c>
      <c r="M198" s="688">
        <f>+M37+M39+M190+M194</f>
        <v>-295174350</v>
      </c>
      <c r="N198" s="623">
        <f>+I198+J198+L198+M198</f>
        <v>25680901170.44346</v>
      </c>
      <c r="O198" s="623">
        <f>+O190+O39+O37</f>
        <v>3582090802</v>
      </c>
      <c r="P198" s="623">
        <f>+P190+P39+P37</f>
        <v>3862705024</v>
      </c>
      <c r="Q198" s="623">
        <f>+Q190+Q39+Q37</f>
        <v>5574909924.4800005</v>
      </c>
      <c r="R198" s="649">
        <f>+R190+R39+R37</f>
        <v>5074015196</v>
      </c>
      <c r="S198" s="623">
        <f>SUM(O198:R198)</f>
        <v>18093720946.48</v>
      </c>
      <c r="T198" s="627">
        <f>+S198/(N198-N194)</f>
        <v>0.8693228385192745</v>
      </c>
      <c r="U198" s="700"/>
      <c r="V198" s="700"/>
      <c r="W198" s="700"/>
      <c r="X198" s="700"/>
      <c r="Y198" s="700"/>
      <c r="Z198" s="644"/>
    </row>
    <row r="199" spans="1:26" ht="15.75" thickBot="1">
      <c r="A199" s="713"/>
      <c r="B199" s="714"/>
      <c r="C199" s="715"/>
      <c r="D199" s="715"/>
      <c r="E199" s="716"/>
      <c r="F199" s="715"/>
      <c r="G199" s="715"/>
      <c r="H199" s="715"/>
      <c r="I199" s="717"/>
      <c r="J199" s="717"/>
      <c r="K199" s="718"/>
      <c r="L199" s="718"/>
      <c r="M199" s="718"/>
      <c r="N199" s="719"/>
      <c r="O199" s="720"/>
      <c r="P199" s="720"/>
      <c r="Q199" s="720"/>
      <c r="R199" s="721"/>
      <c r="S199" s="720"/>
      <c r="T199" s="722" t="s">
        <v>130</v>
      </c>
      <c r="U199" s="609"/>
      <c r="V199" s="609"/>
      <c r="W199" s="609"/>
      <c r="X199" s="609"/>
      <c r="Y199" s="609"/>
      <c r="Z199" s="644"/>
    </row>
    <row r="200" spans="1:26" ht="15.75" thickTop="1">
      <c r="A200" s="723"/>
      <c r="B200" s="724"/>
      <c r="C200" s="521"/>
      <c r="D200" s="521"/>
      <c r="E200" s="521"/>
      <c r="F200" s="521"/>
      <c r="G200" s="521"/>
      <c r="H200" s="644"/>
      <c r="I200" s="608"/>
      <c r="J200" s="608"/>
      <c r="K200" s="608"/>
      <c r="L200" s="608"/>
      <c r="M200" s="608"/>
      <c r="N200" s="609"/>
      <c r="O200" s="609"/>
      <c r="P200" s="609"/>
      <c r="Q200" s="609"/>
      <c r="R200" s="609"/>
      <c r="S200" s="609"/>
      <c r="T200" s="609"/>
      <c r="U200" s="609"/>
      <c r="V200" s="609"/>
      <c r="W200" s="609"/>
      <c r="X200" s="609"/>
      <c r="Y200" s="609"/>
      <c r="Z200" s="521"/>
    </row>
    <row r="201" spans="1:26" ht="14.25" hidden="1" outlineLevel="1">
      <c r="A201" s="723"/>
      <c r="B201" s="521"/>
      <c r="C201" s="521"/>
      <c r="D201" s="521"/>
      <c r="E201" s="644"/>
      <c r="F201" s="521"/>
      <c r="G201" s="644"/>
      <c r="H201" s="644"/>
      <c r="I201" s="609"/>
      <c r="J201" s="609"/>
      <c r="K201" s="609"/>
      <c r="L201" s="609"/>
      <c r="M201" s="609"/>
      <c r="N201" s="609"/>
      <c r="O201" s="609"/>
      <c r="P201" s="609"/>
      <c r="Q201" s="609"/>
      <c r="R201" s="609"/>
      <c r="S201" s="609"/>
      <c r="T201" s="609"/>
      <c r="U201" s="609"/>
      <c r="V201" s="609"/>
      <c r="W201" s="609"/>
      <c r="X201" s="609"/>
      <c r="Y201" s="609"/>
      <c r="Z201" s="521"/>
    </row>
    <row r="202" spans="1:26" ht="15.75" hidden="1" outlineLevel="1" thickBot="1">
      <c r="A202" s="723"/>
      <c r="B202" s="644"/>
      <c r="C202" s="521"/>
      <c r="D202" s="521"/>
      <c r="E202" s="521"/>
      <c r="F202" s="521"/>
      <c r="G202" s="603" t="s">
        <v>346</v>
      </c>
      <c r="H202" s="603" t="s">
        <v>347</v>
      </c>
      <c r="I202" s="725"/>
      <c r="J202" s="725"/>
      <c r="K202" s="725"/>
      <c r="L202" s="725"/>
      <c r="M202" s="725"/>
      <c r="N202" s="609"/>
      <c r="O202" s="609"/>
      <c r="P202" s="609"/>
      <c r="Q202" s="609"/>
      <c r="R202" s="609"/>
      <c r="S202" s="609"/>
      <c r="T202" s="609"/>
      <c r="U202" s="609"/>
      <c r="V202" s="609"/>
      <c r="W202" s="609"/>
      <c r="X202" s="609"/>
      <c r="Y202" s="609"/>
      <c r="Z202" s="521"/>
    </row>
    <row r="203" spans="1:22" s="521" customFormat="1" ht="15.75" hidden="1" outlineLevel="1" thickBot="1">
      <c r="A203" s="775" t="s">
        <v>520</v>
      </c>
      <c r="B203" s="776"/>
      <c r="C203" s="776"/>
      <c r="D203" s="776"/>
      <c r="E203" s="776"/>
      <c r="F203" s="776"/>
      <c r="G203" s="776"/>
      <c r="H203" s="776"/>
      <c r="I203" s="776"/>
      <c r="J203" s="776"/>
      <c r="K203" s="776"/>
      <c r="L203" s="776"/>
      <c r="M203" s="776"/>
      <c r="N203" s="776"/>
      <c r="O203" s="776"/>
      <c r="P203" s="776"/>
      <c r="Q203" s="776"/>
      <c r="R203" s="776"/>
      <c r="S203" s="777"/>
      <c r="T203" s="726">
        <f>+$S$37+$S$39+$S$191-$S$79-$Y$37</f>
        <v>11303665051.98</v>
      </c>
      <c r="U203" s="724">
        <v>11303665051.98</v>
      </c>
      <c r="V203" s="644">
        <f>+T203-U203</f>
        <v>0</v>
      </c>
    </row>
    <row r="204" spans="1:21" s="521" customFormat="1" ht="15.75" hidden="1" outlineLevel="1" thickBot="1">
      <c r="A204" s="727"/>
      <c r="B204" s="728"/>
      <c r="C204" s="729"/>
      <c r="D204" s="729"/>
      <c r="E204" s="729"/>
      <c r="F204" s="730"/>
      <c r="G204" s="730"/>
      <c r="H204" s="731"/>
      <c r="I204" s="731"/>
      <c r="J204" s="731"/>
      <c r="K204" s="731"/>
      <c r="L204" s="731"/>
      <c r="M204" s="732"/>
      <c r="N204" s="729"/>
      <c r="O204" s="729"/>
      <c r="P204" s="729"/>
      <c r="Q204" s="729"/>
      <c r="R204" s="729"/>
      <c r="S204" s="729"/>
      <c r="T204" s="733"/>
      <c r="U204" s="529"/>
    </row>
    <row r="205" spans="1:21" s="521" customFormat="1" ht="15.75" hidden="1" outlineLevel="1" thickBot="1">
      <c r="A205" s="775" t="s">
        <v>521</v>
      </c>
      <c r="B205" s="776"/>
      <c r="C205" s="776"/>
      <c r="D205" s="776"/>
      <c r="E205" s="776"/>
      <c r="F205" s="776"/>
      <c r="G205" s="776"/>
      <c r="H205" s="776"/>
      <c r="I205" s="776"/>
      <c r="J205" s="776"/>
      <c r="K205" s="776"/>
      <c r="L205" s="776"/>
      <c r="M205" s="776"/>
      <c r="N205" s="776"/>
      <c r="O205" s="776"/>
      <c r="P205" s="776"/>
      <c r="Q205" s="776"/>
      <c r="R205" s="776"/>
      <c r="S205" s="777"/>
      <c r="T205" s="726">
        <f>+$Y$37+$S$79+$S$192</f>
        <v>6790055894.5</v>
      </c>
      <c r="U205" s="724">
        <v>6790055895.5</v>
      </c>
    </row>
    <row r="206" spans="1:26" ht="14.25" hidden="1" outlineLevel="1">
      <c r="A206" s="723"/>
      <c r="B206" s="521"/>
      <c r="C206" s="521"/>
      <c r="D206" s="521"/>
      <c r="E206" s="521"/>
      <c r="F206" s="521"/>
      <c r="G206" s="644"/>
      <c r="H206" s="521"/>
      <c r="I206" s="609"/>
      <c r="J206" s="609"/>
      <c r="K206" s="609"/>
      <c r="L206" s="609"/>
      <c r="M206" s="609"/>
      <c r="N206" s="609"/>
      <c r="O206" s="609"/>
      <c r="P206" s="609"/>
      <c r="Q206" s="609"/>
      <c r="R206" s="609"/>
      <c r="S206" s="609"/>
      <c r="T206" s="609"/>
      <c r="U206" s="609"/>
      <c r="V206" s="609"/>
      <c r="W206" s="609"/>
      <c r="X206" s="609"/>
      <c r="Y206" s="609"/>
      <c r="Z206" s="521"/>
    </row>
    <row r="207" spans="1:26" ht="14.25" hidden="1" outlineLevel="1">
      <c r="A207" s="521"/>
      <c r="B207" s="521"/>
      <c r="C207" s="521"/>
      <c r="D207" s="521"/>
      <c r="E207" s="521"/>
      <c r="F207" s="521"/>
      <c r="G207" s="521"/>
      <c r="H207" s="521"/>
      <c r="I207" s="609"/>
      <c r="J207" s="609"/>
      <c r="K207" s="609"/>
      <c r="L207" s="609"/>
      <c r="M207" s="609"/>
      <c r="N207" s="609"/>
      <c r="O207" s="609">
        <v>2089207497</v>
      </c>
      <c r="P207" s="609">
        <v>2290111916.5</v>
      </c>
      <c r="Q207" s="609">
        <v>3656089060.02</v>
      </c>
      <c r="R207" s="609">
        <v>3268256578.46</v>
      </c>
      <c r="S207" s="609"/>
      <c r="T207" s="609"/>
      <c r="U207" s="609">
        <f>+U203+U205</f>
        <v>18093720947.48</v>
      </c>
      <c r="V207" s="609">
        <f>+T207-U207</f>
        <v>-18093720947.48</v>
      </c>
      <c r="W207" s="609"/>
      <c r="X207" s="609"/>
      <c r="Y207" s="609"/>
      <c r="Z207" s="521"/>
    </row>
    <row r="208" spans="1:26" ht="14.25" hidden="1" outlineLevel="1">
      <c r="A208" s="521"/>
      <c r="B208" s="521"/>
      <c r="C208" s="521"/>
      <c r="D208" s="521"/>
      <c r="E208" s="521"/>
      <c r="F208" s="521"/>
      <c r="G208" s="644"/>
      <c r="H208" s="644"/>
      <c r="I208" s="608"/>
      <c r="J208" s="608"/>
      <c r="K208" s="608"/>
      <c r="L208" s="608"/>
      <c r="M208" s="608"/>
      <c r="N208" s="609"/>
      <c r="O208" s="609">
        <v>1492883305</v>
      </c>
      <c r="P208" s="609">
        <v>1572593107.5</v>
      </c>
      <c r="Q208" s="609">
        <v>1918820865.46</v>
      </c>
      <c r="R208" s="609">
        <v>1805758617.54</v>
      </c>
      <c r="S208" s="609"/>
      <c r="T208" s="609"/>
      <c r="U208" s="609"/>
      <c r="V208" s="609"/>
      <c r="W208" s="609"/>
      <c r="X208" s="609"/>
      <c r="Y208" s="609"/>
      <c r="Z208" s="521"/>
    </row>
    <row r="209" spans="1:29" ht="14.25" hidden="1" outlineLevel="1">
      <c r="A209" s="521"/>
      <c r="B209" s="521"/>
      <c r="C209" s="521"/>
      <c r="D209" s="521"/>
      <c r="E209" s="521"/>
      <c r="F209" s="521"/>
      <c r="G209" s="521"/>
      <c r="H209" s="521"/>
      <c r="I209" s="608"/>
      <c r="J209" s="608"/>
      <c r="K209" s="608"/>
      <c r="L209" s="608"/>
      <c r="M209" s="608"/>
      <c r="N209" s="609"/>
      <c r="O209" s="609">
        <f>+O198-O207-O208</f>
        <v>0</v>
      </c>
      <c r="P209" s="609">
        <f>+P198-P207-P208</f>
        <v>0</v>
      </c>
      <c r="Q209" s="609">
        <f>+Q198-Q207-Q208</f>
        <v>-0.9999995231628418</v>
      </c>
      <c r="R209" s="609">
        <f>+R198-R207-R208</f>
        <v>0</v>
      </c>
      <c r="S209" s="609"/>
      <c r="T209" s="609"/>
      <c r="U209" s="609"/>
      <c r="V209" s="609"/>
      <c r="W209" s="609"/>
      <c r="X209" s="609"/>
      <c r="Y209" s="609"/>
      <c r="Z209" s="521"/>
      <c r="AA209" s="521"/>
      <c r="AB209" s="521"/>
      <c r="AC209" s="521"/>
    </row>
    <row r="210" spans="1:29" ht="14.25" hidden="1" outlineLevel="1">
      <c r="A210" s="521"/>
      <c r="B210" s="521"/>
      <c r="C210" s="521"/>
      <c r="D210" s="521"/>
      <c r="E210" s="521"/>
      <c r="F210" s="521"/>
      <c r="G210" s="521"/>
      <c r="H210" s="521"/>
      <c r="I210" s="608"/>
      <c r="J210" s="608"/>
      <c r="K210" s="608"/>
      <c r="L210" s="608"/>
      <c r="M210" s="608"/>
      <c r="N210" s="609"/>
      <c r="O210" s="609"/>
      <c r="P210" s="609"/>
      <c r="Q210" s="609"/>
      <c r="R210" s="609"/>
      <c r="S210" s="609"/>
      <c r="T210" s="609"/>
      <c r="U210" s="609"/>
      <c r="V210" s="609"/>
      <c r="W210" s="609"/>
      <c r="X210" s="609"/>
      <c r="Y210" s="609"/>
      <c r="Z210" s="521"/>
      <c r="AA210" s="521"/>
      <c r="AB210" s="521"/>
      <c r="AC210" s="521"/>
    </row>
    <row r="211" spans="1:29" s="608" customFormat="1" ht="12" customHeight="1" hidden="1" outlineLevel="1">
      <c r="A211" s="521"/>
      <c r="B211" s="521"/>
      <c r="C211" s="521"/>
      <c r="D211" s="521"/>
      <c r="E211" s="521"/>
      <c r="F211" s="521"/>
      <c r="G211" s="521"/>
      <c r="H211" s="643"/>
      <c r="N211" s="609"/>
      <c r="O211" s="609"/>
      <c r="P211" s="609"/>
      <c r="Q211" s="609">
        <f>+Q79+W37+Q192</f>
        <v>1918820865.46</v>
      </c>
      <c r="R211" s="609"/>
      <c r="S211" s="609"/>
      <c r="T211" s="609"/>
      <c r="U211" s="609"/>
      <c r="V211" s="609"/>
      <c r="W211" s="609"/>
      <c r="X211" s="609"/>
      <c r="Y211" s="609"/>
      <c r="Z211" s="521"/>
      <c r="AA211" s="521"/>
      <c r="AB211" s="521"/>
      <c r="AC211" s="521"/>
    </row>
    <row r="212" spans="1:29" ht="14.25" hidden="1" outlineLevel="1">
      <c r="A212" s="521"/>
      <c r="B212" s="521"/>
      <c r="C212" s="521"/>
      <c r="D212" s="521"/>
      <c r="E212" s="521"/>
      <c r="F212" s="521"/>
      <c r="G212" s="521"/>
      <c r="H212" s="521"/>
      <c r="I212" s="608"/>
      <c r="J212" s="608"/>
      <c r="K212" s="608"/>
      <c r="L212" s="608"/>
      <c r="M212" s="608"/>
      <c r="N212" s="609"/>
      <c r="O212" s="609"/>
      <c r="P212" s="609"/>
      <c r="Q212" s="609">
        <f>+Q208-Q211</f>
        <v>0</v>
      </c>
      <c r="R212" s="609"/>
      <c r="S212" s="609"/>
      <c r="T212" s="609"/>
      <c r="U212" s="609"/>
      <c r="V212" s="609"/>
      <c r="W212" s="609"/>
      <c r="X212" s="609"/>
      <c r="Y212" s="609"/>
      <c r="Z212" s="521"/>
      <c r="AA212" s="521"/>
      <c r="AB212" s="521"/>
      <c r="AC212" s="521"/>
    </row>
    <row r="213" spans="1:29" ht="14.25" collapsed="1">
      <c r="A213" s="521"/>
      <c r="B213" s="521"/>
      <c r="C213" s="521"/>
      <c r="D213" s="521"/>
      <c r="E213" s="521"/>
      <c r="F213" s="521"/>
      <c r="G213" s="521"/>
      <c r="H213" s="521"/>
      <c r="I213" s="608"/>
      <c r="J213" s="608"/>
      <c r="K213" s="608"/>
      <c r="L213" s="608"/>
      <c r="M213" s="608"/>
      <c r="N213" s="609"/>
      <c r="O213" s="609"/>
      <c r="P213" s="609"/>
      <c r="Q213" s="609"/>
      <c r="R213" s="609"/>
      <c r="S213" s="609"/>
      <c r="T213" s="609"/>
      <c r="U213" s="609"/>
      <c r="V213" s="609"/>
      <c r="W213" s="609"/>
      <c r="X213" s="609"/>
      <c r="Y213" s="609"/>
      <c r="Z213" s="521"/>
      <c r="AA213" s="521"/>
      <c r="AB213" s="521"/>
      <c r="AC213" s="521"/>
    </row>
    <row r="214" spans="1:29" ht="14.25">
      <c r="A214" s="521"/>
      <c r="B214" s="521"/>
      <c r="C214" s="521"/>
      <c r="D214" s="521"/>
      <c r="E214" s="521"/>
      <c r="F214" s="521"/>
      <c r="G214" s="521"/>
      <c r="H214" s="521"/>
      <c r="I214" s="608"/>
      <c r="J214" s="608"/>
      <c r="K214" s="608"/>
      <c r="L214" s="608"/>
      <c r="M214" s="608"/>
      <c r="N214" s="609"/>
      <c r="O214" s="609"/>
      <c r="P214" s="609"/>
      <c r="Q214" s="609"/>
      <c r="R214" s="609"/>
      <c r="S214" s="609"/>
      <c r="T214" s="609"/>
      <c r="U214" s="609"/>
      <c r="V214" s="609"/>
      <c r="W214" s="609"/>
      <c r="X214" s="609"/>
      <c r="Y214" s="609"/>
      <c r="Z214" s="521"/>
      <c r="AA214" s="521"/>
      <c r="AB214" s="521"/>
      <c r="AC214" s="521"/>
    </row>
  </sheetData>
  <sheetProtection/>
  <mergeCells count="7">
    <mergeCell ref="A205:S205"/>
    <mergeCell ref="A1:T1"/>
    <mergeCell ref="A2:T2"/>
    <mergeCell ref="A3:T3"/>
    <mergeCell ref="A4:T4"/>
    <mergeCell ref="U7:Y7"/>
    <mergeCell ref="A203:S203"/>
  </mergeCells>
  <printOptions horizontalCentered="1"/>
  <pageMargins left="0.11811023622047245" right="0.11811023622047245" top="0.11811023622047245" bottom="0.11811023622047245" header="0" footer="0"/>
  <pageSetup horizontalDpi="600" verticalDpi="600" orientation="portrait" scale="48" r:id="rId1"/>
  <colBreaks count="1" manualBreakCount="1">
    <brk id="20" max="20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272"/>
  <sheetViews>
    <sheetView view="pageBreakPreview" zoomScale="75" zoomScaleNormal="80" zoomScaleSheetLayoutView="75" zoomScalePageLayoutView="0" workbookViewId="0" topLeftCell="A1">
      <pane xSplit="1" ySplit="6" topLeftCell="B15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70" sqref="D170"/>
    </sheetView>
  </sheetViews>
  <sheetFormatPr defaultColWidth="11.421875" defaultRowHeight="12.75" outlineLevelRow="2"/>
  <cols>
    <col min="1" max="1" width="55.8515625" style="378" customWidth="1"/>
    <col min="2" max="11" width="19.140625" style="378" customWidth="1"/>
    <col min="12" max="12" width="13.421875" style="378" customWidth="1"/>
    <col min="13" max="13" width="14.421875" style="378" bestFit="1" customWidth="1"/>
    <col min="14" max="16384" width="11.421875" style="378" customWidth="1"/>
  </cols>
  <sheetData>
    <row r="1" spans="1:12" ht="15" outlineLevel="1">
      <c r="A1" s="774" t="s">
        <v>328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</row>
    <row r="2" spans="1:12" ht="15" outlineLevel="1">
      <c r="A2" s="774" t="s">
        <v>298</v>
      </c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</row>
    <row r="3" spans="1:12" ht="15" outlineLevel="1">
      <c r="A3" s="774" t="s">
        <v>548</v>
      </c>
      <c r="B3" s="774"/>
      <c r="C3" s="774"/>
      <c r="D3" s="774"/>
      <c r="E3" s="774"/>
      <c r="F3" s="774"/>
      <c r="G3" s="774"/>
      <c r="H3" s="774"/>
      <c r="I3" s="774"/>
      <c r="J3" s="774"/>
      <c r="K3" s="774"/>
      <c r="L3" s="774"/>
    </row>
    <row r="4" spans="1:12" ht="15" outlineLevel="1">
      <c r="A4" s="774" t="s">
        <v>329</v>
      </c>
      <c r="B4" s="774"/>
      <c r="C4" s="774"/>
      <c r="D4" s="774"/>
      <c r="E4" s="774"/>
      <c r="F4" s="774"/>
      <c r="G4" s="774"/>
      <c r="H4" s="774"/>
      <c r="I4" s="774"/>
      <c r="J4" s="774"/>
      <c r="K4" s="774"/>
      <c r="L4" s="774"/>
    </row>
    <row r="5" ht="15.75" outlineLevel="1" thickBot="1">
      <c r="A5" s="531"/>
    </row>
    <row r="6" spans="1:12" ht="105.75" thickTop="1">
      <c r="A6" s="533" t="s">
        <v>235</v>
      </c>
      <c r="B6" s="534" t="s">
        <v>522</v>
      </c>
      <c r="C6" s="400" t="s">
        <v>348</v>
      </c>
      <c r="D6" s="400" t="s">
        <v>349</v>
      </c>
      <c r="E6" s="400" t="s">
        <v>523</v>
      </c>
      <c r="F6" s="400" t="s">
        <v>350</v>
      </c>
      <c r="G6" s="400" t="s">
        <v>351</v>
      </c>
      <c r="H6" s="400" t="s">
        <v>524</v>
      </c>
      <c r="I6" s="400" t="s">
        <v>525</v>
      </c>
      <c r="J6" s="400" t="s">
        <v>541</v>
      </c>
      <c r="K6" s="744" t="s">
        <v>536</v>
      </c>
      <c r="L6" s="401" t="s">
        <v>547</v>
      </c>
    </row>
    <row r="7" spans="1:12" ht="15">
      <c r="A7" s="535" t="s">
        <v>22</v>
      </c>
      <c r="B7" s="536"/>
      <c r="C7" s="536"/>
      <c r="D7" s="536"/>
      <c r="E7" s="536"/>
      <c r="F7" s="536"/>
      <c r="G7" s="536"/>
      <c r="H7" s="536"/>
      <c r="I7" s="536"/>
      <c r="J7" s="536"/>
      <c r="K7" s="536"/>
      <c r="L7" s="537"/>
    </row>
    <row r="8" spans="1:12" ht="15">
      <c r="A8" s="538" t="s">
        <v>23</v>
      </c>
      <c r="B8" s="539">
        <f aca="true" t="shared" si="0" ref="B8:G8">+B9+B10+B11+B12+B13+B15+B16+B17</f>
        <v>2772232049.4367943</v>
      </c>
      <c r="C8" s="539">
        <f t="shared" si="0"/>
        <v>807990933</v>
      </c>
      <c r="D8" s="539">
        <f t="shared" si="0"/>
        <v>287609354</v>
      </c>
      <c r="E8" s="539">
        <f t="shared" si="0"/>
        <v>113597440</v>
      </c>
      <c r="F8" s="539">
        <f t="shared" si="0"/>
        <v>898523403</v>
      </c>
      <c r="G8" s="539">
        <f t="shared" si="0"/>
        <v>264454694</v>
      </c>
      <c r="H8" s="539">
        <f aca="true" t="shared" si="1" ref="H8:H20">+C8+D8+F8+G8+E8</f>
        <v>2372175824</v>
      </c>
      <c r="I8" s="539">
        <f>+I9+I10+I11+I12+I13+I15+I16+I17</f>
        <v>267672562</v>
      </c>
      <c r="J8" s="539">
        <f>+H8+I8</f>
        <v>2639848386</v>
      </c>
      <c r="K8" s="539">
        <f>+J8-B8</f>
        <v>-132383663.43679428</v>
      </c>
      <c r="L8" s="540">
        <f>+J8/B8</f>
        <v>0.9522465431911844</v>
      </c>
    </row>
    <row r="9" spans="1:12" ht="14.25">
      <c r="A9" s="541" t="s">
        <v>24</v>
      </c>
      <c r="B9" s="542">
        <v>1900463688.2806833</v>
      </c>
      <c r="C9" s="542">
        <v>543652399</v>
      </c>
      <c r="D9" s="542">
        <v>203604481</v>
      </c>
      <c r="E9" s="542">
        <v>86450645</v>
      </c>
      <c r="F9" s="542">
        <v>602246907</v>
      </c>
      <c r="G9" s="542">
        <v>188223493</v>
      </c>
      <c r="H9" s="542">
        <f t="shared" si="1"/>
        <v>1624177925</v>
      </c>
      <c r="I9" s="542">
        <v>180493466</v>
      </c>
      <c r="J9" s="542">
        <f aca="true" t="shared" si="2" ref="J9:J72">+H9+I9</f>
        <v>1804671391</v>
      </c>
      <c r="K9" s="542">
        <f aca="true" t="shared" si="3" ref="K9:K72">+J9-B9</f>
        <v>-95792297.28068328</v>
      </c>
      <c r="L9" s="544">
        <f aca="true" t="shared" si="4" ref="L9:L72">+J9/B9</f>
        <v>0.9495953025193842</v>
      </c>
    </row>
    <row r="10" spans="1:12" ht="14.25">
      <c r="A10" s="541" t="s">
        <v>25</v>
      </c>
      <c r="B10" s="542">
        <v>123511661.60265364</v>
      </c>
      <c r="C10" s="542">
        <v>38839855</v>
      </c>
      <c r="D10" s="542">
        <v>9976327</v>
      </c>
      <c r="E10" s="542">
        <v>1774947</v>
      </c>
      <c r="F10" s="542">
        <v>43911509</v>
      </c>
      <c r="G10" s="542">
        <v>8793480</v>
      </c>
      <c r="H10" s="542">
        <f t="shared" si="1"/>
        <v>103296118</v>
      </c>
      <c r="I10" s="542">
        <v>13769831</v>
      </c>
      <c r="J10" s="542">
        <f t="shared" si="2"/>
        <v>117065949</v>
      </c>
      <c r="K10" s="542">
        <f t="shared" si="3"/>
        <v>-6445712.6026536375</v>
      </c>
      <c r="L10" s="544">
        <f t="shared" si="4"/>
        <v>0.9478129229336256</v>
      </c>
    </row>
    <row r="11" spans="1:12" ht="14.25">
      <c r="A11" s="541" t="s">
        <v>26</v>
      </c>
      <c r="B11" s="542">
        <v>14821399.392318435</v>
      </c>
      <c r="C11" s="542">
        <v>4335935</v>
      </c>
      <c r="D11" s="542">
        <v>881368</v>
      </c>
      <c r="E11" s="542">
        <v>141915</v>
      </c>
      <c r="F11" s="542">
        <v>5175781</v>
      </c>
      <c r="G11" s="542">
        <v>912065</v>
      </c>
      <c r="H11" s="542">
        <f t="shared" si="1"/>
        <v>11447064</v>
      </c>
      <c r="I11" s="542">
        <v>1235315</v>
      </c>
      <c r="J11" s="542">
        <f t="shared" si="2"/>
        <v>12682379</v>
      </c>
      <c r="K11" s="542">
        <f t="shared" si="3"/>
        <v>-2139020.392318435</v>
      </c>
      <c r="L11" s="544">
        <f t="shared" si="4"/>
        <v>0.8556802677197245</v>
      </c>
    </row>
    <row r="12" spans="1:12" ht="14.25">
      <c r="A12" s="541" t="s">
        <v>27</v>
      </c>
      <c r="B12" s="542">
        <v>123511661.60265364</v>
      </c>
      <c r="C12" s="542">
        <v>38839860</v>
      </c>
      <c r="D12" s="542">
        <v>9976327</v>
      </c>
      <c r="E12" s="542">
        <v>1774947</v>
      </c>
      <c r="F12" s="542">
        <v>43911509</v>
      </c>
      <c r="G12" s="542">
        <v>8793480</v>
      </c>
      <c r="H12" s="542">
        <f t="shared" si="1"/>
        <v>103296123</v>
      </c>
      <c r="I12" s="542">
        <v>13769831</v>
      </c>
      <c r="J12" s="542">
        <f t="shared" si="2"/>
        <v>117065954</v>
      </c>
      <c r="K12" s="542">
        <f t="shared" si="3"/>
        <v>-6445707.6026536375</v>
      </c>
      <c r="L12" s="544">
        <f t="shared" si="4"/>
        <v>0.947812963415633</v>
      </c>
    </row>
    <row r="13" spans="1:12" ht="14.25">
      <c r="A13" s="541" t="s">
        <v>28</v>
      </c>
      <c r="B13" s="542">
        <v>80173580.80132683</v>
      </c>
      <c r="C13" s="542">
        <v>23541701</v>
      </c>
      <c r="D13" s="542">
        <v>8925034</v>
      </c>
      <c r="E13" s="542">
        <v>3397232</v>
      </c>
      <c r="F13" s="542">
        <v>25149265</v>
      </c>
      <c r="G13" s="542">
        <v>7942313</v>
      </c>
      <c r="H13" s="542">
        <f t="shared" si="1"/>
        <v>68955545</v>
      </c>
      <c r="I13" s="542">
        <v>6723002</v>
      </c>
      <c r="J13" s="542">
        <f t="shared" si="2"/>
        <v>75678547</v>
      </c>
      <c r="K13" s="542">
        <f t="shared" si="3"/>
        <v>-4495033.801326826</v>
      </c>
      <c r="L13" s="544">
        <f t="shared" si="4"/>
        <v>0.9439337278390285</v>
      </c>
    </row>
    <row r="14" spans="1:12" ht="14.25">
      <c r="A14" s="541" t="s">
        <v>29</v>
      </c>
      <c r="B14" s="542">
        <v>25000000</v>
      </c>
      <c r="C14" s="542">
        <v>0</v>
      </c>
      <c r="D14" s="542">
        <v>0</v>
      </c>
      <c r="E14" s="542">
        <v>0</v>
      </c>
      <c r="F14" s="542">
        <v>0</v>
      </c>
      <c r="G14" s="542">
        <v>0</v>
      </c>
      <c r="H14" s="542">
        <f t="shared" si="1"/>
        <v>0</v>
      </c>
      <c r="I14" s="542">
        <v>24233540</v>
      </c>
      <c r="J14" s="542">
        <f t="shared" si="2"/>
        <v>24233540</v>
      </c>
      <c r="K14" s="542">
        <f t="shared" si="3"/>
        <v>-766460</v>
      </c>
      <c r="L14" s="544">
        <f t="shared" si="4"/>
        <v>0.9693416</v>
      </c>
    </row>
    <row r="15" spans="1:12" ht="14.25">
      <c r="A15" s="541" t="s">
        <v>30</v>
      </c>
      <c r="B15" s="542">
        <v>373114177.16189694</v>
      </c>
      <c r="C15" s="542">
        <v>111887863</v>
      </c>
      <c r="D15" s="542">
        <v>38016157</v>
      </c>
      <c r="E15" s="542">
        <v>14043604</v>
      </c>
      <c r="F15" s="542">
        <v>125515911</v>
      </c>
      <c r="G15" s="542">
        <v>34862163</v>
      </c>
      <c r="H15" s="542">
        <f t="shared" si="1"/>
        <v>324325698</v>
      </c>
      <c r="I15" s="542">
        <v>37084267</v>
      </c>
      <c r="J15" s="542">
        <f t="shared" si="2"/>
        <v>361409965</v>
      </c>
      <c r="K15" s="542">
        <f t="shared" si="3"/>
        <v>-11704212.161896944</v>
      </c>
      <c r="L15" s="544">
        <f t="shared" si="4"/>
        <v>0.9686310173177408</v>
      </c>
    </row>
    <row r="16" spans="1:12" ht="14.25">
      <c r="A16" s="541" t="s">
        <v>31</v>
      </c>
      <c r="B16" s="542">
        <v>69615946.93122734</v>
      </c>
      <c r="C16" s="542">
        <v>20845400</v>
      </c>
      <c r="D16" s="542">
        <v>7214540</v>
      </c>
      <c r="E16" s="542">
        <v>2673850</v>
      </c>
      <c r="F16" s="542">
        <v>23385377</v>
      </c>
      <c r="G16" s="542">
        <v>6635471</v>
      </c>
      <c r="H16" s="542">
        <f t="shared" si="1"/>
        <v>60754638</v>
      </c>
      <c r="I16" s="542">
        <v>6488200</v>
      </c>
      <c r="J16" s="542">
        <f t="shared" si="2"/>
        <v>67242838</v>
      </c>
      <c r="K16" s="542">
        <f t="shared" si="3"/>
        <v>-2373108.9312273413</v>
      </c>
      <c r="L16" s="544">
        <f t="shared" si="4"/>
        <v>0.9659114177736934</v>
      </c>
    </row>
    <row r="17" spans="1:12" ht="14.25">
      <c r="A17" s="541" t="s">
        <v>32</v>
      </c>
      <c r="B17" s="542">
        <v>87019933.66403417</v>
      </c>
      <c r="C17" s="542">
        <v>26047920</v>
      </c>
      <c r="D17" s="542">
        <v>9015120</v>
      </c>
      <c r="E17" s="542">
        <v>3340300</v>
      </c>
      <c r="F17" s="542">
        <v>29227144</v>
      </c>
      <c r="G17" s="542">
        <v>8292229</v>
      </c>
      <c r="H17" s="542">
        <f t="shared" si="1"/>
        <v>75922713</v>
      </c>
      <c r="I17" s="542">
        <v>8108650</v>
      </c>
      <c r="J17" s="542">
        <f t="shared" si="2"/>
        <v>84031363</v>
      </c>
      <c r="K17" s="542">
        <f t="shared" si="3"/>
        <v>-2988570.664034173</v>
      </c>
      <c r="L17" s="544">
        <f t="shared" si="4"/>
        <v>0.9656564819323763</v>
      </c>
    </row>
    <row r="18" spans="1:12" ht="14.25">
      <c r="A18" s="541" t="s">
        <v>33</v>
      </c>
      <c r="B18" s="542">
        <v>4950000</v>
      </c>
      <c r="C18" s="542">
        <v>450000</v>
      </c>
      <c r="D18" s="542">
        <v>450000</v>
      </c>
      <c r="E18" s="542">
        <v>450000</v>
      </c>
      <c r="F18" s="542">
        <v>1350000</v>
      </c>
      <c r="G18" s="542">
        <v>450000</v>
      </c>
      <c r="H18" s="542">
        <f t="shared" si="1"/>
        <v>3150000</v>
      </c>
      <c r="I18" s="542">
        <v>1768349</v>
      </c>
      <c r="J18" s="542">
        <f t="shared" si="2"/>
        <v>4918349</v>
      </c>
      <c r="K18" s="542">
        <f t="shared" si="3"/>
        <v>-31651</v>
      </c>
      <c r="L18" s="544">
        <f t="shared" si="4"/>
        <v>0.9936058585858586</v>
      </c>
    </row>
    <row r="19" spans="1:12" ht="14.25">
      <c r="A19" s="541" t="s">
        <v>34</v>
      </c>
      <c r="B19" s="542">
        <v>166583129.77350003</v>
      </c>
      <c r="C19" s="542">
        <v>58887042</v>
      </c>
      <c r="D19" s="542">
        <v>0</v>
      </c>
      <c r="E19" s="542">
        <v>0</v>
      </c>
      <c r="F19" s="542">
        <v>0</v>
      </c>
      <c r="G19" s="542">
        <v>0</v>
      </c>
      <c r="H19" s="542">
        <f t="shared" si="1"/>
        <v>58887042</v>
      </c>
      <c r="I19" s="542">
        <v>82233380</v>
      </c>
      <c r="J19" s="542">
        <f t="shared" si="2"/>
        <v>141120422</v>
      </c>
      <c r="K19" s="542">
        <f t="shared" si="3"/>
        <v>-25462707.773500025</v>
      </c>
      <c r="L19" s="544">
        <f t="shared" si="4"/>
        <v>0.8471471402409044</v>
      </c>
    </row>
    <row r="20" spans="1:13" ht="15">
      <c r="A20" s="547" t="s">
        <v>336</v>
      </c>
      <c r="B20" s="548">
        <f aca="true" t="shared" si="5" ref="B20:G20">SUM(B9:B19)</f>
        <v>2968765179.2102942</v>
      </c>
      <c r="C20" s="548">
        <f t="shared" si="5"/>
        <v>867327975</v>
      </c>
      <c r="D20" s="548">
        <f t="shared" si="5"/>
        <v>288059354</v>
      </c>
      <c r="E20" s="548">
        <f t="shared" si="5"/>
        <v>114047440</v>
      </c>
      <c r="F20" s="548">
        <f t="shared" si="5"/>
        <v>899873403</v>
      </c>
      <c r="G20" s="548">
        <f t="shared" si="5"/>
        <v>264904694</v>
      </c>
      <c r="H20" s="548">
        <f t="shared" si="1"/>
        <v>2434212866</v>
      </c>
      <c r="I20" s="548">
        <f>SUM(I9:I19)</f>
        <v>375907831</v>
      </c>
      <c r="J20" s="548">
        <f t="shared" si="2"/>
        <v>2810120697</v>
      </c>
      <c r="K20" s="548">
        <f t="shared" si="3"/>
        <v>-158644482.21029425</v>
      </c>
      <c r="L20" s="540">
        <f t="shared" si="4"/>
        <v>0.9465621318515686</v>
      </c>
      <c r="M20" s="545"/>
    </row>
    <row r="21" spans="1:12" ht="15">
      <c r="A21" s="535" t="s">
        <v>36</v>
      </c>
      <c r="B21" s="542"/>
      <c r="C21" s="542"/>
      <c r="D21" s="542"/>
      <c r="E21" s="542"/>
      <c r="F21" s="542"/>
      <c r="G21" s="542"/>
      <c r="H21" s="542"/>
      <c r="I21" s="542"/>
      <c r="J21" s="542"/>
      <c r="K21" s="542"/>
      <c r="L21" s="540"/>
    </row>
    <row r="22" spans="1:12" ht="14.25">
      <c r="A22" s="549" t="s">
        <v>105</v>
      </c>
      <c r="B22" s="542">
        <v>102606190</v>
      </c>
      <c r="C22" s="550">
        <v>267574</v>
      </c>
      <c r="D22" s="542">
        <v>1900620</v>
      </c>
      <c r="E22" s="542">
        <v>11999379</v>
      </c>
      <c r="F22" s="542">
        <v>6532146</v>
      </c>
      <c r="G22" s="542">
        <v>3500000</v>
      </c>
      <c r="H22" s="542">
        <f>+C22+D22+F22+G22+E22</f>
        <v>24199719</v>
      </c>
      <c r="I22" s="542">
        <v>73390751</v>
      </c>
      <c r="J22" s="542">
        <f t="shared" si="2"/>
        <v>97590470</v>
      </c>
      <c r="K22" s="542">
        <f t="shared" si="3"/>
        <v>-5015720</v>
      </c>
      <c r="L22" s="544">
        <f t="shared" si="4"/>
        <v>0.9511167893476992</v>
      </c>
    </row>
    <row r="23" spans="1:12" ht="14.25">
      <c r="A23" s="549" t="s">
        <v>38</v>
      </c>
      <c r="B23" s="542">
        <v>6840537.088000001</v>
      </c>
      <c r="C23" s="542">
        <v>0</v>
      </c>
      <c r="D23" s="542">
        <v>0</v>
      </c>
      <c r="E23" s="542"/>
      <c r="F23" s="542">
        <v>0</v>
      </c>
      <c r="G23" s="542">
        <v>0</v>
      </c>
      <c r="H23" s="542">
        <f>+C23+D23+F23+G23+E23</f>
        <v>0</v>
      </c>
      <c r="I23" s="542">
        <v>6840536</v>
      </c>
      <c r="J23" s="542">
        <f t="shared" si="2"/>
        <v>6840536</v>
      </c>
      <c r="K23" s="542">
        <f t="shared" si="3"/>
        <v>-1.088000001385808</v>
      </c>
      <c r="L23" s="544">
        <f t="shared" si="4"/>
        <v>0.9999998409481613</v>
      </c>
    </row>
    <row r="24" spans="1:12" ht="14.25">
      <c r="A24" s="549" t="s">
        <v>39</v>
      </c>
      <c r="B24" s="542">
        <v>24270405.5</v>
      </c>
      <c r="C24" s="542">
        <v>0</v>
      </c>
      <c r="D24" s="542">
        <v>0</v>
      </c>
      <c r="E24" s="542"/>
      <c r="F24" s="542">
        <v>4954962</v>
      </c>
      <c r="G24" s="542">
        <v>0</v>
      </c>
      <c r="H24" s="542">
        <f>+C24+D24+F24+G24+E24</f>
        <v>4954962</v>
      </c>
      <c r="I24" s="542">
        <v>16633233</v>
      </c>
      <c r="J24" s="542">
        <f t="shared" si="2"/>
        <v>21588195</v>
      </c>
      <c r="K24" s="542">
        <f t="shared" si="3"/>
        <v>-2682210.5</v>
      </c>
      <c r="L24" s="544">
        <f t="shared" si="4"/>
        <v>0.8894863746714079</v>
      </c>
    </row>
    <row r="25" spans="1:12" ht="14.25">
      <c r="A25" s="549" t="s">
        <v>40</v>
      </c>
      <c r="B25" s="542">
        <v>48852149.277600005</v>
      </c>
      <c r="C25" s="542">
        <v>6436986</v>
      </c>
      <c r="D25" s="542">
        <v>6327577</v>
      </c>
      <c r="E25" s="542"/>
      <c r="F25" s="542">
        <v>6327573</v>
      </c>
      <c r="G25" s="542">
        <v>6327577</v>
      </c>
      <c r="H25" s="542">
        <f>+C25+D25+F25+G25+E25</f>
        <v>25419713</v>
      </c>
      <c r="I25" s="542">
        <v>21755190</v>
      </c>
      <c r="J25" s="542">
        <f t="shared" si="2"/>
        <v>47174903</v>
      </c>
      <c r="K25" s="542">
        <f t="shared" si="3"/>
        <v>-1677246.2776000053</v>
      </c>
      <c r="L25" s="544">
        <f t="shared" si="4"/>
        <v>0.9656668887162132</v>
      </c>
    </row>
    <row r="26" spans="1:12" ht="14.25">
      <c r="A26" s="549" t="s">
        <v>41</v>
      </c>
      <c r="B26" s="542">
        <v>55500000</v>
      </c>
      <c r="C26" s="542">
        <v>9000000</v>
      </c>
      <c r="D26" s="542">
        <v>3500000</v>
      </c>
      <c r="E26" s="542">
        <v>1500000</v>
      </c>
      <c r="F26" s="542">
        <v>6972107</v>
      </c>
      <c r="G26" s="542">
        <v>8384961</v>
      </c>
      <c r="H26" s="542">
        <f>+C26+D26+F26+G26+E26</f>
        <v>29357068</v>
      </c>
      <c r="I26" s="542">
        <v>22770771</v>
      </c>
      <c r="J26" s="542">
        <f t="shared" si="2"/>
        <v>52127839</v>
      </c>
      <c r="K26" s="542">
        <f t="shared" si="3"/>
        <v>-3372161</v>
      </c>
      <c r="L26" s="544">
        <f t="shared" si="4"/>
        <v>0.9392403423423423</v>
      </c>
    </row>
    <row r="27" spans="1:12" ht="14.25">
      <c r="A27" s="549" t="s">
        <v>42</v>
      </c>
      <c r="B27" s="542">
        <v>51603047.75</v>
      </c>
      <c r="C27" s="542">
        <v>2818025</v>
      </c>
      <c r="D27" s="542">
        <v>0</v>
      </c>
      <c r="E27" s="542"/>
      <c r="F27" s="542">
        <v>4417514</v>
      </c>
      <c r="G27" s="542">
        <v>0</v>
      </c>
      <c r="H27" s="542">
        <f aca="true" t="shared" si="6" ref="H27:H35">+C27+D27+F27+G27+E27</f>
        <v>7235539</v>
      </c>
      <c r="I27" s="542">
        <v>42703035</v>
      </c>
      <c r="J27" s="542">
        <f t="shared" si="2"/>
        <v>49938574</v>
      </c>
      <c r="K27" s="542">
        <f t="shared" si="3"/>
        <v>-1664473.75</v>
      </c>
      <c r="L27" s="544">
        <f t="shared" si="4"/>
        <v>0.9677446619419877</v>
      </c>
    </row>
    <row r="28" spans="1:12" ht="14.25">
      <c r="A28" s="549" t="s">
        <v>43</v>
      </c>
      <c r="B28" s="542">
        <v>276707660</v>
      </c>
      <c r="C28" s="542">
        <v>9467010</v>
      </c>
      <c r="D28" s="542">
        <v>15505515</v>
      </c>
      <c r="E28" s="542">
        <v>6132088</v>
      </c>
      <c r="F28" s="542">
        <v>175598305</v>
      </c>
      <c r="G28" s="542">
        <v>19944035</v>
      </c>
      <c r="H28" s="542">
        <f t="shared" si="6"/>
        <v>226646953</v>
      </c>
      <c r="I28" s="542">
        <v>9312158</v>
      </c>
      <c r="J28" s="542">
        <f t="shared" si="2"/>
        <v>235959111</v>
      </c>
      <c r="K28" s="542">
        <f t="shared" si="3"/>
        <v>-40748549</v>
      </c>
      <c r="L28" s="544">
        <f t="shared" si="4"/>
        <v>0.8527379075808743</v>
      </c>
    </row>
    <row r="29" spans="1:12" ht="14.25">
      <c r="A29" s="549" t="s">
        <v>44</v>
      </c>
      <c r="B29" s="542">
        <v>42362751.9264</v>
      </c>
      <c r="C29" s="542">
        <v>18770802</v>
      </c>
      <c r="D29" s="542">
        <v>0</v>
      </c>
      <c r="E29" s="542">
        <v>0</v>
      </c>
      <c r="F29" s="542">
        <v>12768975</v>
      </c>
      <c r="G29" s="542">
        <v>0</v>
      </c>
      <c r="H29" s="542">
        <f t="shared" si="6"/>
        <v>31539777</v>
      </c>
      <c r="I29" s="542">
        <v>6272604</v>
      </c>
      <c r="J29" s="542">
        <f t="shared" si="2"/>
        <v>37812381</v>
      </c>
      <c r="K29" s="542">
        <f t="shared" si="3"/>
        <v>-4550370.926399998</v>
      </c>
      <c r="L29" s="544">
        <f t="shared" si="4"/>
        <v>0.8925855682297104</v>
      </c>
    </row>
    <row r="30" spans="1:12" ht="14.25">
      <c r="A30" s="549" t="s">
        <v>45</v>
      </c>
      <c r="B30" s="542">
        <v>134023279.68</v>
      </c>
      <c r="C30" s="542">
        <v>34209221</v>
      </c>
      <c r="D30" s="542">
        <v>8210000</v>
      </c>
      <c r="E30" s="542">
        <v>2137990</v>
      </c>
      <c r="F30" s="542">
        <v>43717149</v>
      </c>
      <c r="G30" s="542">
        <v>9951100</v>
      </c>
      <c r="H30" s="542">
        <f t="shared" si="6"/>
        <v>98225460</v>
      </c>
      <c r="I30" s="542">
        <v>11261810</v>
      </c>
      <c r="J30" s="542">
        <f t="shared" si="2"/>
        <v>109487270</v>
      </c>
      <c r="K30" s="542">
        <f t="shared" si="3"/>
        <v>-24536009.680000007</v>
      </c>
      <c r="L30" s="544">
        <f t="shared" si="4"/>
        <v>0.8169272551859402</v>
      </c>
    </row>
    <row r="31" spans="1:12" ht="14.25">
      <c r="A31" s="549" t="s">
        <v>46</v>
      </c>
      <c r="B31" s="542">
        <v>17211296</v>
      </c>
      <c r="C31" s="542">
        <v>950100</v>
      </c>
      <c r="D31" s="542">
        <v>1835850</v>
      </c>
      <c r="E31" s="542">
        <v>651940</v>
      </c>
      <c r="F31" s="542">
        <v>1925920</v>
      </c>
      <c r="G31" s="542">
        <v>771900</v>
      </c>
      <c r="H31" s="542">
        <f t="shared" si="6"/>
        <v>6135710</v>
      </c>
      <c r="I31" s="542">
        <v>2381432</v>
      </c>
      <c r="J31" s="542">
        <f t="shared" si="2"/>
        <v>8517142</v>
      </c>
      <c r="K31" s="542">
        <f t="shared" si="3"/>
        <v>-8694154</v>
      </c>
      <c r="L31" s="544">
        <f t="shared" si="4"/>
        <v>0.4948576795146629</v>
      </c>
    </row>
    <row r="32" spans="1:12" ht="14.25">
      <c r="A32" s="549" t="s">
        <v>47</v>
      </c>
      <c r="B32" s="542">
        <v>74490250</v>
      </c>
      <c r="C32" s="542">
        <v>4000000</v>
      </c>
      <c r="D32" s="542">
        <v>665925</v>
      </c>
      <c r="E32" s="542">
        <v>166374</v>
      </c>
      <c r="F32" s="542">
        <v>41977558</v>
      </c>
      <c r="G32" s="542">
        <v>0</v>
      </c>
      <c r="H32" s="542">
        <f t="shared" si="6"/>
        <v>46809857</v>
      </c>
      <c r="I32" s="542">
        <v>11617247</v>
      </c>
      <c r="J32" s="542">
        <f t="shared" si="2"/>
        <v>58427104</v>
      </c>
      <c r="K32" s="542">
        <f t="shared" si="3"/>
        <v>-16063146</v>
      </c>
      <c r="L32" s="544">
        <f t="shared" si="4"/>
        <v>0.7843590805508104</v>
      </c>
    </row>
    <row r="33" spans="1:12" ht="14.25">
      <c r="A33" s="549" t="s">
        <v>48</v>
      </c>
      <c r="B33" s="542">
        <v>19345645</v>
      </c>
      <c r="C33" s="542">
        <v>0</v>
      </c>
      <c r="D33" s="542">
        <v>0</v>
      </c>
      <c r="E33" s="542"/>
      <c r="F33" s="542">
        <v>0</v>
      </c>
      <c r="G33" s="542">
        <v>0</v>
      </c>
      <c r="H33" s="542">
        <f t="shared" si="6"/>
        <v>0</v>
      </c>
      <c r="I33" s="542">
        <v>9677924</v>
      </c>
      <c r="J33" s="542">
        <f t="shared" si="2"/>
        <v>9677924</v>
      </c>
      <c r="K33" s="542">
        <f t="shared" si="3"/>
        <v>-9667721</v>
      </c>
      <c r="L33" s="544">
        <f t="shared" si="4"/>
        <v>0.500263702761009</v>
      </c>
    </row>
    <row r="34" spans="1:12" ht="14.25">
      <c r="A34" s="549" t="s">
        <v>49</v>
      </c>
      <c r="B34" s="542">
        <v>161600000</v>
      </c>
      <c r="C34" s="542">
        <v>0</v>
      </c>
      <c r="D34" s="542">
        <v>0</v>
      </c>
      <c r="E34" s="542"/>
      <c r="F34" s="542">
        <v>27207819</v>
      </c>
      <c r="G34" s="542">
        <v>0</v>
      </c>
      <c r="H34" s="542">
        <f t="shared" si="6"/>
        <v>27207819</v>
      </c>
      <c r="I34" s="542">
        <v>73840733.43</v>
      </c>
      <c r="J34" s="542">
        <f t="shared" si="2"/>
        <v>101048552.43</v>
      </c>
      <c r="K34" s="542">
        <f t="shared" si="3"/>
        <v>-60551447.56999999</v>
      </c>
      <c r="L34" s="544">
        <f t="shared" si="4"/>
        <v>0.6253004482054456</v>
      </c>
    </row>
    <row r="35" spans="1:12" ht="14.25">
      <c r="A35" s="549" t="s">
        <v>50</v>
      </c>
      <c r="B35" s="542">
        <v>31655595</v>
      </c>
      <c r="C35" s="542">
        <v>0</v>
      </c>
      <c r="D35" s="542">
        <v>0</v>
      </c>
      <c r="E35" s="542"/>
      <c r="F35" s="542">
        <v>0</v>
      </c>
      <c r="G35" s="542">
        <v>0</v>
      </c>
      <c r="H35" s="542">
        <f t="shared" si="6"/>
        <v>0</v>
      </c>
      <c r="I35" s="542">
        <v>24381912</v>
      </c>
      <c r="J35" s="542">
        <f t="shared" si="2"/>
        <v>24381912</v>
      </c>
      <c r="K35" s="542">
        <f t="shared" si="3"/>
        <v>-7273683</v>
      </c>
      <c r="L35" s="544">
        <f t="shared" si="4"/>
        <v>0.7702244105662838</v>
      </c>
    </row>
    <row r="36" spans="1:13" ht="15">
      <c r="A36" s="547" t="s">
        <v>337</v>
      </c>
      <c r="B36" s="553">
        <f>SUM(B21:B35)</f>
        <v>1047068807.2219999</v>
      </c>
      <c r="C36" s="553">
        <f>SUM(C22:C35)</f>
        <v>85919718</v>
      </c>
      <c r="D36" s="553">
        <f>SUM(D22:D35)</f>
        <v>37945487</v>
      </c>
      <c r="E36" s="553">
        <f>SUM(E22:E35)</f>
        <v>22587771</v>
      </c>
      <c r="F36" s="553">
        <f>SUM(F22:F35)</f>
        <v>332400028</v>
      </c>
      <c r="G36" s="553">
        <f>SUM(G22:G35)</f>
        <v>48879573</v>
      </c>
      <c r="H36" s="553">
        <f>+C36+D36+F36+G36+E36</f>
        <v>527732577</v>
      </c>
      <c r="I36" s="553">
        <f>SUM(I22:I35)</f>
        <v>332839336.43</v>
      </c>
      <c r="J36" s="553">
        <f t="shared" si="2"/>
        <v>860571913.4300001</v>
      </c>
      <c r="K36" s="553">
        <f t="shared" si="3"/>
        <v>-186496893.79199982</v>
      </c>
      <c r="L36" s="540">
        <f t="shared" si="4"/>
        <v>0.8218866873832307</v>
      </c>
      <c r="M36" s="545"/>
    </row>
    <row r="37" spans="1:13" ht="15">
      <c r="A37" s="547" t="s">
        <v>338</v>
      </c>
      <c r="B37" s="553">
        <f aca="true" t="shared" si="7" ref="B37:G37">+B36+B20</f>
        <v>4015833986.432294</v>
      </c>
      <c r="C37" s="553">
        <f t="shared" si="7"/>
        <v>953247693</v>
      </c>
      <c r="D37" s="553">
        <f t="shared" si="7"/>
        <v>326004841</v>
      </c>
      <c r="E37" s="553">
        <f t="shared" si="7"/>
        <v>136635211</v>
      </c>
      <c r="F37" s="553">
        <f t="shared" si="7"/>
        <v>1232273431</v>
      </c>
      <c r="G37" s="553">
        <f t="shared" si="7"/>
        <v>313784267</v>
      </c>
      <c r="H37" s="553">
        <f>+C37+D37+F37+G37+E37</f>
        <v>2961945443</v>
      </c>
      <c r="I37" s="553">
        <f>+I36+I20</f>
        <v>708747167.4300001</v>
      </c>
      <c r="J37" s="553">
        <f t="shared" si="2"/>
        <v>3670692610.4300003</v>
      </c>
      <c r="K37" s="553">
        <f t="shared" si="3"/>
        <v>-345141376.0022936</v>
      </c>
      <c r="L37" s="540">
        <f t="shared" si="4"/>
        <v>0.9140548695069637</v>
      </c>
      <c r="M37" s="545"/>
    </row>
    <row r="38" spans="1:12" ht="15">
      <c r="A38" s="549"/>
      <c r="B38" s="536"/>
      <c r="C38" s="536"/>
      <c r="D38" s="536"/>
      <c r="E38" s="536"/>
      <c r="F38" s="536"/>
      <c r="G38" s="536"/>
      <c r="H38" s="536"/>
      <c r="I38" s="536"/>
      <c r="J38" s="536"/>
      <c r="K38" s="536"/>
      <c r="L38" s="540"/>
    </row>
    <row r="39" spans="1:13" ht="15">
      <c r="A39" s="547" t="s">
        <v>339</v>
      </c>
      <c r="B39" s="553">
        <f>+B41+B49+B78+B114+B124+B146+B155+B164</f>
        <v>15096998238.570683</v>
      </c>
      <c r="C39" s="553">
        <f>+C41+C114+C146+C155</f>
        <v>1438804317.05</v>
      </c>
      <c r="D39" s="553">
        <f>+D41+D49+D78+D114+D124+D146+D155+D164</f>
        <v>953662677</v>
      </c>
      <c r="E39" s="553">
        <f>+E41+E49+E78+E114+E124+E146+E155+E164</f>
        <v>684060594</v>
      </c>
      <c r="F39" s="553">
        <f>+F41+F49+F78+F114+F124+F146+F155+F164</f>
        <v>4887220232</v>
      </c>
      <c r="G39" s="553">
        <f>+G41+G49+G78+G114+G124+G146+G155+G164</f>
        <v>4667553400</v>
      </c>
      <c r="H39" s="553">
        <f>+C39+D39+F39+G39+E39</f>
        <v>12631301220.05</v>
      </c>
      <c r="I39" s="553">
        <v>0</v>
      </c>
      <c r="J39" s="553">
        <f t="shared" si="2"/>
        <v>12631301220.05</v>
      </c>
      <c r="K39" s="553">
        <f t="shared" si="3"/>
        <v>-2465697018.5206833</v>
      </c>
      <c r="L39" s="540">
        <f t="shared" si="4"/>
        <v>0.8366763392592059</v>
      </c>
      <c r="M39" s="545"/>
    </row>
    <row r="40" spans="1:12" ht="15">
      <c r="A40" s="547"/>
      <c r="B40" s="553"/>
      <c r="C40" s="553"/>
      <c r="D40" s="553"/>
      <c r="E40" s="553"/>
      <c r="F40" s="553"/>
      <c r="G40" s="553"/>
      <c r="H40" s="553"/>
      <c r="I40" s="553"/>
      <c r="J40" s="553"/>
      <c r="K40" s="553"/>
      <c r="L40" s="540"/>
    </row>
    <row r="41" spans="1:12" s="558" customFormat="1" ht="31.5" customHeight="1">
      <c r="A41" s="555" t="s">
        <v>410</v>
      </c>
      <c r="B41" s="556">
        <f>+B42</f>
        <v>132724597.23320001</v>
      </c>
      <c r="C41" s="556">
        <f>+C42</f>
        <v>115015417</v>
      </c>
      <c r="D41" s="556"/>
      <c r="E41" s="556"/>
      <c r="F41" s="556"/>
      <c r="G41" s="556"/>
      <c r="H41" s="556">
        <f>SUM(C41:G41)</f>
        <v>115015417</v>
      </c>
      <c r="I41" s="556"/>
      <c r="J41" s="556">
        <f t="shared" si="2"/>
        <v>115015417</v>
      </c>
      <c r="K41" s="556">
        <f t="shared" si="3"/>
        <v>-17709180.233200014</v>
      </c>
      <c r="L41" s="557">
        <f t="shared" si="4"/>
        <v>0.8665719798562689</v>
      </c>
    </row>
    <row r="42" spans="1:12" s="561" customFormat="1" ht="15">
      <c r="A42" s="559" t="s">
        <v>88</v>
      </c>
      <c r="B42" s="548">
        <f>+B43+B45+B46+B44</f>
        <v>132724597.23320001</v>
      </c>
      <c r="C42" s="548">
        <f>+C43+C45+C46+C44</f>
        <v>115015417</v>
      </c>
      <c r="D42" s="548"/>
      <c r="E42" s="548"/>
      <c r="F42" s="548"/>
      <c r="G42" s="548"/>
      <c r="H42" s="548">
        <f aca="true" t="shared" si="8" ref="H42:H47">+SUM(C42:G42)</f>
        <v>115015417</v>
      </c>
      <c r="I42" s="548"/>
      <c r="J42" s="548">
        <f t="shared" si="2"/>
        <v>115015417</v>
      </c>
      <c r="K42" s="548">
        <f t="shared" si="3"/>
        <v>-17709180.233200014</v>
      </c>
      <c r="L42" s="560">
        <f t="shared" si="4"/>
        <v>0.8665719798562689</v>
      </c>
    </row>
    <row r="43" spans="1:12" s="561" customFormat="1" ht="14.25" hidden="1" outlineLevel="1">
      <c r="A43" s="562" t="s">
        <v>89</v>
      </c>
      <c r="B43" s="546">
        <v>36668140.080000006</v>
      </c>
      <c r="C43" s="546">
        <v>36668136</v>
      </c>
      <c r="D43" s="546"/>
      <c r="E43" s="546"/>
      <c r="F43" s="546"/>
      <c r="G43" s="546"/>
      <c r="H43" s="546">
        <f t="shared" si="8"/>
        <v>36668136</v>
      </c>
      <c r="I43" s="546"/>
      <c r="J43" s="546">
        <f t="shared" si="2"/>
        <v>36668136</v>
      </c>
      <c r="K43" s="546">
        <f t="shared" si="3"/>
        <v>-4.080000005662441</v>
      </c>
      <c r="L43" s="563">
        <f t="shared" si="4"/>
        <v>0.9999998887317437</v>
      </c>
    </row>
    <row r="44" spans="1:12" s="561" customFormat="1" ht="14.25" hidden="1" outlineLevel="1">
      <c r="A44" s="562" t="s">
        <v>411</v>
      </c>
      <c r="B44" s="546">
        <v>12573466</v>
      </c>
      <c r="C44" s="546">
        <v>0</v>
      </c>
      <c r="D44" s="546"/>
      <c r="E44" s="546"/>
      <c r="F44" s="546"/>
      <c r="G44" s="546"/>
      <c r="H44" s="546">
        <f t="shared" si="8"/>
        <v>0</v>
      </c>
      <c r="I44" s="546"/>
      <c r="J44" s="546">
        <f t="shared" si="2"/>
        <v>0</v>
      </c>
      <c r="K44" s="546">
        <f t="shared" si="3"/>
        <v>-12573466</v>
      </c>
      <c r="L44" s="563">
        <f t="shared" si="4"/>
        <v>0</v>
      </c>
    </row>
    <row r="45" spans="1:12" s="561" customFormat="1" ht="14.25" hidden="1" outlineLevel="1">
      <c r="A45" s="562" t="s">
        <v>90</v>
      </c>
      <c r="B45" s="546">
        <v>17426534</v>
      </c>
      <c r="C45" s="546">
        <v>13769057</v>
      </c>
      <c r="D45" s="546"/>
      <c r="E45" s="546"/>
      <c r="F45" s="546"/>
      <c r="G45" s="546"/>
      <c r="H45" s="546">
        <f t="shared" si="8"/>
        <v>13769057</v>
      </c>
      <c r="I45" s="546"/>
      <c r="J45" s="546">
        <f t="shared" si="2"/>
        <v>13769057</v>
      </c>
      <c r="K45" s="546">
        <f t="shared" si="3"/>
        <v>-3657477</v>
      </c>
      <c r="L45" s="563">
        <f t="shared" si="4"/>
        <v>0.7901202270055537</v>
      </c>
    </row>
    <row r="46" spans="1:12" s="561" customFormat="1" ht="14.25" hidden="1" outlineLevel="1">
      <c r="A46" s="562" t="s">
        <v>188</v>
      </c>
      <c r="B46" s="546">
        <v>66056457.1532</v>
      </c>
      <c r="C46" s="546">
        <v>64578224</v>
      </c>
      <c r="D46" s="546"/>
      <c r="E46" s="546"/>
      <c r="F46" s="546"/>
      <c r="G46" s="546"/>
      <c r="H46" s="546">
        <f t="shared" si="8"/>
        <v>64578224</v>
      </c>
      <c r="I46" s="546"/>
      <c r="J46" s="546">
        <f t="shared" si="2"/>
        <v>64578224</v>
      </c>
      <c r="K46" s="546">
        <f t="shared" si="3"/>
        <v>-1478233.1532000005</v>
      </c>
      <c r="L46" s="563">
        <f t="shared" si="4"/>
        <v>0.9776216706601197</v>
      </c>
    </row>
    <row r="47" spans="1:12" s="561" customFormat="1" ht="14.25" hidden="1" outlineLevel="1">
      <c r="A47" s="562" t="s">
        <v>412</v>
      </c>
      <c r="B47" s="546"/>
      <c r="C47" s="546">
        <v>0</v>
      </c>
      <c r="D47" s="546"/>
      <c r="E47" s="546"/>
      <c r="F47" s="546"/>
      <c r="G47" s="546"/>
      <c r="H47" s="546">
        <f t="shared" si="8"/>
        <v>0</v>
      </c>
      <c r="I47" s="546"/>
      <c r="J47" s="546">
        <f t="shared" si="2"/>
        <v>0</v>
      </c>
      <c r="K47" s="546">
        <f t="shared" si="3"/>
        <v>0</v>
      </c>
      <c r="L47" s="563">
        <v>0</v>
      </c>
    </row>
    <row r="48" spans="1:12" s="561" customFormat="1" ht="15" collapsed="1">
      <c r="A48" s="564"/>
      <c r="B48" s="543"/>
      <c r="C48" s="543"/>
      <c r="D48" s="543"/>
      <c r="E48" s="543"/>
      <c r="F48" s="543"/>
      <c r="G48" s="543"/>
      <c r="H48" s="543"/>
      <c r="I48" s="543"/>
      <c r="J48" s="543"/>
      <c r="K48" s="543"/>
      <c r="L48" s="540"/>
    </row>
    <row r="49" spans="1:12" s="558" customFormat="1" ht="35.25" customHeight="1">
      <c r="A49" s="555" t="s">
        <v>413</v>
      </c>
      <c r="B49" s="556">
        <f>+B50+B58+B65+B73</f>
        <v>4251724314.0648</v>
      </c>
      <c r="C49" s="556"/>
      <c r="D49" s="556"/>
      <c r="E49" s="556"/>
      <c r="F49" s="556"/>
      <c r="G49" s="556">
        <f>+G50+G58+G65+G73</f>
        <v>4222977422</v>
      </c>
      <c r="H49" s="556">
        <f>+G49+F49+D49+C49</f>
        <v>4222977422</v>
      </c>
      <c r="I49" s="556"/>
      <c r="J49" s="556">
        <f t="shared" si="2"/>
        <v>4222977422</v>
      </c>
      <c r="K49" s="556">
        <f t="shared" si="3"/>
        <v>-28746892.064799786</v>
      </c>
      <c r="L49" s="557">
        <f t="shared" si="4"/>
        <v>0.9932387685698002</v>
      </c>
    </row>
    <row r="50" spans="1:12" ht="18.75" customHeight="1">
      <c r="A50" s="559" t="s">
        <v>414</v>
      </c>
      <c r="B50" s="548">
        <f>+B51+B52+B53+B54+B55+B56+B57</f>
        <v>306054513.0357</v>
      </c>
      <c r="C50" s="548"/>
      <c r="D50" s="548"/>
      <c r="E50" s="548"/>
      <c r="F50" s="548"/>
      <c r="G50" s="548">
        <f>SUM(G51:G57)</f>
        <v>300001665</v>
      </c>
      <c r="H50" s="548">
        <f>+H51+H52+H53+H54+H55+H56+H57</f>
        <v>300001665</v>
      </c>
      <c r="I50" s="548"/>
      <c r="J50" s="548">
        <f t="shared" si="2"/>
        <v>300001665</v>
      </c>
      <c r="K50" s="548">
        <f t="shared" si="3"/>
        <v>-6052848.035700023</v>
      </c>
      <c r="L50" s="560">
        <f t="shared" si="4"/>
        <v>0.9802229740850318</v>
      </c>
    </row>
    <row r="51" spans="1:12" ht="16.5" customHeight="1" hidden="1" outlineLevel="1">
      <c r="A51" s="566" t="s">
        <v>415</v>
      </c>
      <c r="B51" s="546">
        <v>35794130.8087</v>
      </c>
      <c r="C51" s="546"/>
      <c r="D51" s="546"/>
      <c r="E51" s="546"/>
      <c r="F51" s="546"/>
      <c r="G51" s="546">
        <v>35794120</v>
      </c>
      <c r="H51" s="546">
        <f aca="true" t="shared" si="9" ref="H51:H57">+G51+F51+D51+C51</f>
        <v>35794120</v>
      </c>
      <c r="I51" s="546"/>
      <c r="J51" s="546">
        <f t="shared" si="2"/>
        <v>35794120</v>
      </c>
      <c r="K51" s="546">
        <f t="shared" si="3"/>
        <v>-10.808700002729893</v>
      </c>
      <c r="L51" s="563">
        <f t="shared" si="4"/>
        <v>0.9999996980314996</v>
      </c>
    </row>
    <row r="52" spans="1:12" ht="15" customHeight="1" hidden="1" outlineLevel="1">
      <c r="A52" s="566" t="s">
        <v>416</v>
      </c>
      <c r="B52" s="546">
        <v>65975228.995000005</v>
      </c>
      <c r="C52" s="546"/>
      <c r="D52" s="546"/>
      <c r="E52" s="546"/>
      <c r="F52" s="546"/>
      <c r="G52" s="546">
        <v>65944685</v>
      </c>
      <c r="H52" s="546">
        <f t="shared" si="9"/>
        <v>65944685</v>
      </c>
      <c r="I52" s="546"/>
      <c r="J52" s="546">
        <f t="shared" si="2"/>
        <v>65944685</v>
      </c>
      <c r="K52" s="546">
        <f t="shared" si="3"/>
        <v>-30543.99500000477</v>
      </c>
      <c r="L52" s="563">
        <f t="shared" si="4"/>
        <v>0.9995370384390433</v>
      </c>
    </row>
    <row r="53" spans="1:12" ht="15.75" customHeight="1" hidden="1" outlineLevel="1">
      <c r="A53" s="566" t="s">
        <v>417</v>
      </c>
      <c r="B53" s="546">
        <v>18000000</v>
      </c>
      <c r="C53" s="546"/>
      <c r="D53" s="546"/>
      <c r="E53" s="546"/>
      <c r="F53" s="546"/>
      <c r="G53" s="546">
        <v>18000000</v>
      </c>
      <c r="H53" s="546">
        <f t="shared" si="9"/>
        <v>18000000</v>
      </c>
      <c r="I53" s="546"/>
      <c r="J53" s="546">
        <f t="shared" si="2"/>
        <v>18000000</v>
      </c>
      <c r="K53" s="546">
        <f t="shared" si="3"/>
        <v>0</v>
      </c>
      <c r="L53" s="563">
        <f t="shared" si="4"/>
        <v>1</v>
      </c>
    </row>
    <row r="54" spans="1:12" ht="15" customHeight="1" hidden="1" outlineLevel="1">
      <c r="A54" s="566" t="s">
        <v>198</v>
      </c>
      <c r="B54" s="546">
        <v>13385153.232000003</v>
      </c>
      <c r="C54" s="546"/>
      <c r="D54" s="546"/>
      <c r="E54" s="546"/>
      <c r="F54" s="546"/>
      <c r="G54" s="546">
        <v>9932500</v>
      </c>
      <c r="H54" s="546">
        <f t="shared" si="9"/>
        <v>9932500</v>
      </c>
      <c r="I54" s="546"/>
      <c r="J54" s="546">
        <f t="shared" si="2"/>
        <v>9932500</v>
      </c>
      <c r="K54" s="546">
        <f t="shared" si="3"/>
        <v>-3452653.2320000026</v>
      </c>
      <c r="L54" s="563">
        <f t="shared" si="4"/>
        <v>0.7420535146549003</v>
      </c>
    </row>
    <row r="55" spans="1:12" ht="15.75" customHeight="1" hidden="1" outlineLevel="1">
      <c r="A55" s="566" t="s">
        <v>418</v>
      </c>
      <c r="B55" s="546">
        <v>92900000</v>
      </c>
      <c r="C55" s="546"/>
      <c r="D55" s="546"/>
      <c r="E55" s="546"/>
      <c r="F55" s="546"/>
      <c r="G55" s="546">
        <v>90330360</v>
      </c>
      <c r="H55" s="546">
        <f t="shared" si="9"/>
        <v>90330360</v>
      </c>
      <c r="I55" s="546"/>
      <c r="J55" s="546">
        <f t="shared" si="2"/>
        <v>90330360</v>
      </c>
      <c r="K55" s="546">
        <f t="shared" si="3"/>
        <v>-2569640</v>
      </c>
      <c r="L55" s="563">
        <f t="shared" si="4"/>
        <v>0.9723397201291711</v>
      </c>
    </row>
    <row r="56" spans="1:12" ht="15" customHeight="1" hidden="1" outlineLevel="1">
      <c r="A56" s="566" t="s">
        <v>419</v>
      </c>
      <c r="B56" s="546">
        <v>55000000</v>
      </c>
      <c r="C56" s="546"/>
      <c r="D56" s="546"/>
      <c r="E56" s="546"/>
      <c r="F56" s="546"/>
      <c r="G56" s="546">
        <v>55000000</v>
      </c>
      <c r="H56" s="546">
        <f t="shared" si="9"/>
        <v>55000000</v>
      </c>
      <c r="I56" s="546"/>
      <c r="J56" s="546">
        <f t="shared" si="2"/>
        <v>55000000</v>
      </c>
      <c r="K56" s="546">
        <f t="shared" si="3"/>
        <v>0</v>
      </c>
      <c r="L56" s="563">
        <f t="shared" si="4"/>
        <v>1</v>
      </c>
    </row>
    <row r="57" spans="1:12" ht="16.5" customHeight="1" hidden="1" outlineLevel="1">
      <c r="A57" s="566" t="s">
        <v>420</v>
      </c>
      <c r="B57" s="546">
        <v>25000000</v>
      </c>
      <c r="C57" s="546"/>
      <c r="D57" s="546"/>
      <c r="E57" s="546"/>
      <c r="F57" s="546"/>
      <c r="G57" s="546">
        <v>25000000</v>
      </c>
      <c r="H57" s="546">
        <f t="shared" si="9"/>
        <v>25000000</v>
      </c>
      <c r="I57" s="546"/>
      <c r="J57" s="546">
        <f t="shared" si="2"/>
        <v>25000000</v>
      </c>
      <c r="K57" s="546">
        <f t="shared" si="3"/>
        <v>0</v>
      </c>
      <c r="L57" s="563">
        <f t="shared" si="4"/>
        <v>1</v>
      </c>
    </row>
    <row r="58" spans="1:12" ht="15" collapsed="1">
      <c r="A58" s="567" t="s">
        <v>421</v>
      </c>
      <c r="B58" s="548">
        <f>+B59+B60+B61+B63+B64+B62</f>
        <v>703431080.0963</v>
      </c>
      <c r="C58" s="548"/>
      <c r="D58" s="548"/>
      <c r="E58" s="548"/>
      <c r="F58" s="548"/>
      <c r="G58" s="548">
        <f>SUM(G59:G64)</f>
        <v>689723443</v>
      </c>
      <c r="H58" s="548">
        <f>+H59+H60+H61+H63+H64+H62</f>
        <v>689723443</v>
      </c>
      <c r="I58" s="548"/>
      <c r="J58" s="548">
        <f t="shared" si="2"/>
        <v>689723443</v>
      </c>
      <c r="K58" s="548">
        <f t="shared" si="3"/>
        <v>-13707637.096300006</v>
      </c>
      <c r="L58" s="560">
        <f t="shared" si="4"/>
        <v>0.9805131767927806</v>
      </c>
    </row>
    <row r="59" spans="1:12" ht="14.25" hidden="1" outlineLevel="1">
      <c r="A59" s="568" t="s">
        <v>422</v>
      </c>
      <c r="B59" s="546">
        <v>224796853.38660002</v>
      </c>
      <c r="C59" s="546"/>
      <c r="D59" s="546"/>
      <c r="E59" s="546"/>
      <c r="F59" s="546"/>
      <c r="G59" s="546">
        <v>218338887</v>
      </c>
      <c r="H59" s="546">
        <f aca="true" t="shared" si="10" ref="H59:H64">+G59+F59+D59+C59</f>
        <v>218338887</v>
      </c>
      <c r="I59" s="546"/>
      <c r="J59" s="546">
        <f t="shared" si="2"/>
        <v>218338887</v>
      </c>
      <c r="K59" s="546">
        <f t="shared" si="3"/>
        <v>-6457966.386600018</v>
      </c>
      <c r="L59" s="563">
        <f t="shared" si="4"/>
        <v>0.9712719894014986</v>
      </c>
    </row>
    <row r="60" spans="1:12" ht="14.25" hidden="1" outlineLevel="1">
      <c r="A60" s="568" t="s">
        <v>423</v>
      </c>
      <c r="B60" s="546">
        <v>166366726.70970002</v>
      </c>
      <c r="C60" s="546"/>
      <c r="D60" s="546"/>
      <c r="E60" s="546"/>
      <c r="F60" s="546"/>
      <c r="G60" s="546">
        <v>161715610</v>
      </c>
      <c r="H60" s="546">
        <f t="shared" si="10"/>
        <v>161715610</v>
      </c>
      <c r="I60" s="546"/>
      <c r="J60" s="546">
        <f t="shared" si="2"/>
        <v>161715610</v>
      </c>
      <c r="K60" s="546">
        <f t="shared" si="3"/>
        <v>-4651116.709700018</v>
      </c>
      <c r="L60" s="563">
        <f t="shared" si="4"/>
        <v>0.9720429871904859</v>
      </c>
    </row>
    <row r="61" spans="1:12" ht="14.25" hidden="1" outlineLevel="1">
      <c r="A61" s="568" t="s">
        <v>424</v>
      </c>
      <c r="B61" s="546">
        <v>132757500</v>
      </c>
      <c r="C61" s="546"/>
      <c r="D61" s="546"/>
      <c r="E61" s="546"/>
      <c r="F61" s="546"/>
      <c r="G61" s="546">
        <v>131348471</v>
      </c>
      <c r="H61" s="546">
        <f t="shared" si="10"/>
        <v>131348471</v>
      </c>
      <c r="I61" s="546"/>
      <c r="J61" s="546">
        <f t="shared" si="2"/>
        <v>131348471</v>
      </c>
      <c r="K61" s="546">
        <f t="shared" si="3"/>
        <v>-1409029</v>
      </c>
      <c r="L61" s="563">
        <f t="shared" si="4"/>
        <v>0.9893864452102518</v>
      </c>
    </row>
    <row r="62" spans="1:12" ht="14.25" hidden="1" outlineLevel="1">
      <c r="A62" s="568" t="s">
        <v>425</v>
      </c>
      <c r="B62" s="546">
        <v>157100000</v>
      </c>
      <c r="C62" s="546"/>
      <c r="D62" s="546"/>
      <c r="E62" s="546"/>
      <c r="F62" s="546"/>
      <c r="G62" s="546">
        <v>156846336</v>
      </c>
      <c r="H62" s="546">
        <f t="shared" si="10"/>
        <v>156846336</v>
      </c>
      <c r="I62" s="546"/>
      <c r="J62" s="546">
        <f t="shared" si="2"/>
        <v>156846336</v>
      </c>
      <c r="K62" s="546">
        <f t="shared" si="3"/>
        <v>-253664</v>
      </c>
      <c r="L62" s="563">
        <f t="shared" si="4"/>
        <v>0.9983853341820497</v>
      </c>
    </row>
    <row r="63" spans="1:12" ht="14.25" hidden="1" outlineLevel="1">
      <c r="A63" s="568" t="s">
        <v>426</v>
      </c>
      <c r="B63" s="546">
        <v>17010000</v>
      </c>
      <c r="C63" s="546"/>
      <c r="D63" s="546"/>
      <c r="E63" s="546"/>
      <c r="F63" s="546"/>
      <c r="G63" s="546">
        <v>16561109</v>
      </c>
      <c r="H63" s="546">
        <f t="shared" si="10"/>
        <v>16561109</v>
      </c>
      <c r="I63" s="546"/>
      <c r="J63" s="546">
        <f t="shared" si="2"/>
        <v>16561109</v>
      </c>
      <c r="K63" s="546">
        <f t="shared" si="3"/>
        <v>-448891</v>
      </c>
      <c r="L63" s="563">
        <f t="shared" si="4"/>
        <v>0.9736101704879483</v>
      </c>
    </row>
    <row r="64" spans="1:12" ht="14.25" hidden="1" outlineLevel="1">
      <c r="A64" s="568" t="s">
        <v>427</v>
      </c>
      <c r="B64" s="546">
        <v>5400000</v>
      </c>
      <c r="C64" s="546"/>
      <c r="D64" s="546"/>
      <c r="E64" s="546"/>
      <c r="F64" s="546"/>
      <c r="G64" s="546">
        <v>4913030</v>
      </c>
      <c r="H64" s="546">
        <f t="shared" si="10"/>
        <v>4913030</v>
      </c>
      <c r="I64" s="546"/>
      <c r="J64" s="546">
        <f t="shared" si="2"/>
        <v>4913030</v>
      </c>
      <c r="K64" s="546">
        <f t="shared" si="3"/>
        <v>-486970</v>
      </c>
      <c r="L64" s="563">
        <f t="shared" si="4"/>
        <v>0.9098203703703703</v>
      </c>
    </row>
    <row r="65" spans="1:12" ht="15" collapsed="1">
      <c r="A65" s="569" t="s">
        <v>119</v>
      </c>
      <c r="B65" s="548">
        <f>+B66+B67+B68+B69+B70+B71+B72</f>
        <v>3051991615.16</v>
      </c>
      <c r="C65" s="548"/>
      <c r="D65" s="548"/>
      <c r="E65" s="548"/>
      <c r="F65" s="548"/>
      <c r="G65" s="548">
        <f>SUM(G66:G72)</f>
        <v>3044303272</v>
      </c>
      <c r="H65" s="548">
        <f>+H66+H67+H68+H69+H70+H71+H72</f>
        <v>3044303272</v>
      </c>
      <c r="I65" s="548"/>
      <c r="J65" s="548">
        <f t="shared" si="2"/>
        <v>3044303272</v>
      </c>
      <c r="K65" s="548">
        <f t="shared" si="3"/>
        <v>-7688343.159999847</v>
      </c>
      <c r="L65" s="560">
        <f t="shared" si="4"/>
        <v>0.9974808767095525</v>
      </c>
    </row>
    <row r="66" spans="1:12" ht="15" customHeight="1" hidden="1" outlineLevel="1">
      <c r="A66" s="566" t="s">
        <v>428</v>
      </c>
      <c r="B66" s="546">
        <v>2623000000</v>
      </c>
      <c r="C66" s="546"/>
      <c r="D66" s="546"/>
      <c r="E66" s="546"/>
      <c r="F66" s="546"/>
      <c r="G66" s="546">
        <v>2618884444</v>
      </c>
      <c r="H66" s="546">
        <f aca="true" t="shared" si="11" ref="H66:H72">+G66+F66+D66+C66</f>
        <v>2618884444</v>
      </c>
      <c r="I66" s="546"/>
      <c r="J66" s="546">
        <f t="shared" si="2"/>
        <v>2618884444</v>
      </c>
      <c r="K66" s="546">
        <f t="shared" si="3"/>
        <v>-4115556</v>
      </c>
      <c r="L66" s="563">
        <f t="shared" si="4"/>
        <v>0.9984309736942433</v>
      </c>
    </row>
    <row r="67" spans="1:12" ht="15" customHeight="1" hidden="1" outlineLevel="1">
      <c r="A67" s="566" t="s">
        <v>429</v>
      </c>
      <c r="B67" s="546">
        <v>35000000</v>
      </c>
      <c r="C67" s="546"/>
      <c r="D67" s="546"/>
      <c r="E67" s="546"/>
      <c r="F67" s="546"/>
      <c r="G67" s="546">
        <v>34916427</v>
      </c>
      <c r="H67" s="546">
        <f t="shared" si="11"/>
        <v>34916427</v>
      </c>
      <c r="I67" s="546"/>
      <c r="J67" s="546">
        <f t="shared" si="2"/>
        <v>34916427</v>
      </c>
      <c r="K67" s="546">
        <f t="shared" si="3"/>
        <v>-83573</v>
      </c>
      <c r="L67" s="563">
        <f t="shared" si="4"/>
        <v>0.9976122</v>
      </c>
    </row>
    <row r="68" spans="1:12" ht="15" customHeight="1" hidden="1" outlineLevel="1">
      <c r="A68" s="566" t="s">
        <v>430</v>
      </c>
      <c r="B68" s="546">
        <v>47500000</v>
      </c>
      <c r="C68" s="546"/>
      <c r="D68" s="546"/>
      <c r="E68" s="546"/>
      <c r="F68" s="546"/>
      <c r="G68" s="546">
        <v>46675670</v>
      </c>
      <c r="H68" s="546">
        <f t="shared" si="11"/>
        <v>46675670</v>
      </c>
      <c r="I68" s="546"/>
      <c r="J68" s="546">
        <f t="shared" si="2"/>
        <v>46675670</v>
      </c>
      <c r="K68" s="546">
        <f t="shared" si="3"/>
        <v>-824330</v>
      </c>
      <c r="L68" s="563">
        <f t="shared" si="4"/>
        <v>0.9826456842105263</v>
      </c>
    </row>
    <row r="69" spans="1:12" ht="15" customHeight="1" hidden="1" outlineLevel="1">
      <c r="A69" s="566" t="s">
        <v>431</v>
      </c>
      <c r="B69" s="546">
        <v>76900000</v>
      </c>
      <c r="C69" s="546"/>
      <c r="D69" s="546"/>
      <c r="E69" s="546"/>
      <c r="F69" s="546"/>
      <c r="G69" s="546">
        <v>76752620</v>
      </c>
      <c r="H69" s="546">
        <f t="shared" si="11"/>
        <v>76752620</v>
      </c>
      <c r="I69" s="546"/>
      <c r="J69" s="546">
        <f t="shared" si="2"/>
        <v>76752620</v>
      </c>
      <c r="K69" s="546">
        <f t="shared" si="3"/>
        <v>-147380</v>
      </c>
      <c r="L69" s="563">
        <f t="shared" si="4"/>
        <v>0.9980834850455137</v>
      </c>
    </row>
    <row r="70" spans="1:12" ht="15" customHeight="1" hidden="1" outlineLevel="1">
      <c r="A70" s="566" t="s">
        <v>432</v>
      </c>
      <c r="B70" s="546">
        <v>150000000</v>
      </c>
      <c r="C70" s="546"/>
      <c r="D70" s="546"/>
      <c r="E70" s="546"/>
      <c r="F70" s="546"/>
      <c r="G70" s="546">
        <v>149874606</v>
      </c>
      <c r="H70" s="546">
        <f t="shared" si="11"/>
        <v>149874606</v>
      </c>
      <c r="I70" s="546"/>
      <c r="J70" s="546">
        <f t="shared" si="2"/>
        <v>149874606</v>
      </c>
      <c r="K70" s="546">
        <f t="shared" si="3"/>
        <v>-125394</v>
      </c>
      <c r="L70" s="563">
        <f t="shared" si="4"/>
        <v>0.99916404</v>
      </c>
    </row>
    <row r="71" spans="1:12" ht="14.25" hidden="1" outlineLevel="1">
      <c r="A71" s="566" t="s">
        <v>433</v>
      </c>
      <c r="B71" s="546">
        <v>49591615.160000004</v>
      </c>
      <c r="C71" s="546"/>
      <c r="D71" s="546"/>
      <c r="E71" s="546"/>
      <c r="F71" s="546"/>
      <c r="G71" s="546">
        <v>48875982</v>
      </c>
      <c r="H71" s="546">
        <f t="shared" si="11"/>
        <v>48875982</v>
      </c>
      <c r="I71" s="546"/>
      <c r="J71" s="546">
        <f t="shared" si="2"/>
        <v>48875982</v>
      </c>
      <c r="K71" s="546">
        <f t="shared" si="3"/>
        <v>-715633.1600000039</v>
      </c>
      <c r="L71" s="563">
        <f t="shared" si="4"/>
        <v>0.9855694726277594</v>
      </c>
    </row>
    <row r="72" spans="1:12" ht="14.25" hidden="1" outlineLevel="1">
      <c r="A72" s="566" t="s">
        <v>434</v>
      </c>
      <c r="B72" s="546">
        <v>70000000</v>
      </c>
      <c r="C72" s="546"/>
      <c r="D72" s="546"/>
      <c r="E72" s="546"/>
      <c r="F72" s="546"/>
      <c r="G72" s="546">
        <v>68323523</v>
      </c>
      <c r="H72" s="546">
        <f t="shared" si="11"/>
        <v>68323523</v>
      </c>
      <c r="I72" s="546"/>
      <c r="J72" s="546">
        <f t="shared" si="2"/>
        <v>68323523</v>
      </c>
      <c r="K72" s="546">
        <f t="shared" si="3"/>
        <v>-1676477</v>
      </c>
      <c r="L72" s="563">
        <f t="shared" si="4"/>
        <v>0.9760503285714286</v>
      </c>
    </row>
    <row r="73" spans="1:12" ht="15" collapsed="1">
      <c r="A73" s="569" t="s">
        <v>120</v>
      </c>
      <c r="B73" s="548">
        <f>+B74+B75+B76</f>
        <v>190247105.7728</v>
      </c>
      <c r="C73" s="548"/>
      <c r="D73" s="548"/>
      <c r="E73" s="548"/>
      <c r="F73" s="548"/>
      <c r="G73" s="548">
        <f>+G74+G75+G76</f>
        <v>188949042</v>
      </c>
      <c r="H73" s="548">
        <f>+H74+H75+H76</f>
        <v>188949042</v>
      </c>
      <c r="I73" s="548"/>
      <c r="J73" s="548">
        <f aca="true" t="shared" si="12" ref="J73:J134">+H73+I73</f>
        <v>188949042</v>
      </c>
      <c r="K73" s="548">
        <f aca="true" t="shared" si="13" ref="K73:K136">+J73-B73</f>
        <v>-1298063.7727999985</v>
      </c>
      <c r="L73" s="560">
        <f aca="true" t="shared" si="14" ref="L73:L134">+J73/B73</f>
        <v>0.9931769591577904</v>
      </c>
    </row>
    <row r="74" spans="1:12" ht="14.25" hidden="1" outlineLevel="1">
      <c r="A74" s="566" t="s">
        <v>435</v>
      </c>
      <c r="B74" s="546">
        <v>129811105.7728</v>
      </c>
      <c r="C74" s="546"/>
      <c r="D74" s="546"/>
      <c r="E74" s="546"/>
      <c r="F74" s="546"/>
      <c r="G74" s="546">
        <v>128713328</v>
      </c>
      <c r="H74" s="546">
        <f>+G74+F74+D74+C74</f>
        <v>128713328</v>
      </c>
      <c r="I74" s="546"/>
      <c r="J74" s="546">
        <f t="shared" si="12"/>
        <v>128713328</v>
      </c>
      <c r="K74" s="546">
        <f t="shared" si="13"/>
        <v>-1097777.7727999985</v>
      </c>
      <c r="L74" s="563">
        <f t="shared" si="14"/>
        <v>0.9915432676868082</v>
      </c>
    </row>
    <row r="75" spans="1:12" ht="14.25" hidden="1" outlineLevel="1">
      <c r="A75" s="566" t="s">
        <v>436</v>
      </c>
      <c r="B75" s="546">
        <v>25000000</v>
      </c>
      <c r="C75" s="546"/>
      <c r="D75" s="546"/>
      <c r="E75" s="546"/>
      <c r="F75" s="546"/>
      <c r="G75" s="546">
        <v>24826714</v>
      </c>
      <c r="H75" s="546">
        <f>+G75+F75+D75+C75</f>
        <v>24826714</v>
      </c>
      <c r="I75" s="546"/>
      <c r="J75" s="546">
        <f t="shared" si="12"/>
        <v>24826714</v>
      </c>
      <c r="K75" s="546">
        <f t="shared" si="13"/>
        <v>-173286</v>
      </c>
      <c r="L75" s="563">
        <f t="shared" si="14"/>
        <v>0.99306856</v>
      </c>
    </row>
    <row r="76" spans="1:12" ht="14.25" hidden="1" outlineLevel="1">
      <c r="A76" s="566" t="s">
        <v>437</v>
      </c>
      <c r="B76" s="546">
        <v>35436000</v>
      </c>
      <c r="C76" s="546"/>
      <c r="D76" s="546"/>
      <c r="E76" s="546"/>
      <c r="F76" s="546"/>
      <c r="G76" s="546">
        <v>35409000</v>
      </c>
      <c r="H76" s="546">
        <f>+G76+F76+D76+C76</f>
        <v>35409000</v>
      </c>
      <c r="I76" s="546"/>
      <c r="J76" s="546">
        <f t="shared" si="12"/>
        <v>35409000</v>
      </c>
      <c r="K76" s="546">
        <f t="shared" si="13"/>
        <v>-27000</v>
      </c>
      <c r="L76" s="563">
        <f t="shared" si="14"/>
        <v>0.9992380629867931</v>
      </c>
    </row>
    <row r="77" spans="1:12" ht="15" collapsed="1">
      <c r="A77" s="570"/>
      <c r="B77" s="543"/>
      <c r="C77" s="543"/>
      <c r="D77" s="543"/>
      <c r="E77" s="543"/>
      <c r="F77" s="543"/>
      <c r="G77" s="543"/>
      <c r="H77" s="543"/>
      <c r="I77" s="543"/>
      <c r="J77" s="543"/>
      <c r="K77" s="543"/>
      <c r="L77" s="540"/>
    </row>
    <row r="78" spans="1:12" s="558" customFormat="1" ht="43.5" customHeight="1">
      <c r="A78" s="555" t="s">
        <v>438</v>
      </c>
      <c r="B78" s="556">
        <f>+B79+B107</f>
        <v>7521523238.512268</v>
      </c>
      <c r="C78" s="556"/>
      <c r="D78" s="556">
        <f>+D107</f>
        <v>468040631</v>
      </c>
      <c r="E78" s="556"/>
      <c r="F78" s="556">
        <f>+F79</f>
        <v>4887220232</v>
      </c>
      <c r="G78" s="556"/>
      <c r="H78" s="556">
        <f>+F78+D78</f>
        <v>5355260863</v>
      </c>
      <c r="I78" s="556"/>
      <c r="J78" s="556">
        <f>+H78+I78</f>
        <v>5355260863</v>
      </c>
      <c r="K78" s="556">
        <f t="shared" si="13"/>
        <v>-2166262375.512268</v>
      </c>
      <c r="L78" s="557">
        <f t="shared" si="14"/>
        <v>0.7119915332548055</v>
      </c>
    </row>
    <row r="79" spans="1:12" ht="15">
      <c r="A79" s="571" t="s">
        <v>439</v>
      </c>
      <c r="B79" s="565">
        <f>+B80+B85+B92+B99+B102</f>
        <v>7033827442.301868</v>
      </c>
      <c r="C79" s="565"/>
      <c r="D79" s="565"/>
      <c r="E79" s="565"/>
      <c r="F79" s="565">
        <f>+F80+F85+F92+F99+F102</f>
        <v>4887220232</v>
      </c>
      <c r="G79" s="565"/>
      <c r="H79" s="565">
        <f>+G79+F79+D79+C79</f>
        <v>4887220232</v>
      </c>
      <c r="I79" s="565"/>
      <c r="J79" s="565">
        <f>+H79+I79</f>
        <v>4887220232</v>
      </c>
      <c r="K79" s="565">
        <f t="shared" si="13"/>
        <v>-2146607210.3018684</v>
      </c>
      <c r="L79" s="560">
        <f t="shared" si="14"/>
        <v>0.6948166232523645</v>
      </c>
    </row>
    <row r="80" spans="1:12" ht="15">
      <c r="A80" s="572" t="s">
        <v>159</v>
      </c>
      <c r="B80" s="565">
        <f>+B81+B82+B83+B84</f>
        <v>2325861740.3143682</v>
      </c>
      <c r="C80" s="565"/>
      <c r="D80" s="565"/>
      <c r="E80" s="565"/>
      <c r="F80" s="565">
        <f>+F81+F82+F83+F84</f>
        <v>2319431266</v>
      </c>
      <c r="G80" s="565"/>
      <c r="H80" s="565">
        <f>+H81+H82+H83+H84</f>
        <v>2319431266</v>
      </c>
      <c r="I80" s="565"/>
      <c r="J80" s="565">
        <f>+H80+I80</f>
        <v>2319431266</v>
      </c>
      <c r="K80" s="565">
        <f t="shared" si="13"/>
        <v>-6430474.314368248</v>
      </c>
      <c r="L80" s="560">
        <f t="shared" si="14"/>
        <v>0.9972352293333226</v>
      </c>
    </row>
    <row r="81" spans="1:12" ht="14.25" hidden="1" outlineLevel="1">
      <c r="A81" s="573" t="s">
        <v>341</v>
      </c>
      <c r="B81" s="546">
        <v>1330474828.0343683</v>
      </c>
      <c r="C81" s="546"/>
      <c r="D81" s="546"/>
      <c r="E81" s="546"/>
      <c r="F81" s="546">
        <v>1327873869</v>
      </c>
      <c r="G81" s="546"/>
      <c r="H81" s="546">
        <f>+G81+F81+D81+C81</f>
        <v>1327873869</v>
      </c>
      <c r="I81" s="546"/>
      <c r="J81" s="546">
        <f t="shared" si="12"/>
        <v>1327873869</v>
      </c>
      <c r="K81" s="546">
        <f t="shared" si="13"/>
        <v>-2600959.0343682766</v>
      </c>
      <c r="L81" s="563">
        <f t="shared" si="14"/>
        <v>0.9980450896329914</v>
      </c>
    </row>
    <row r="82" spans="1:12" ht="14.25" hidden="1" outlineLevel="1">
      <c r="A82" s="573" t="s">
        <v>161</v>
      </c>
      <c r="B82" s="546">
        <v>68470000</v>
      </c>
      <c r="C82" s="546"/>
      <c r="D82" s="546"/>
      <c r="E82" s="546"/>
      <c r="F82" s="546">
        <v>67988395</v>
      </c>
      <c r="G82" s="546"/>
      <c r="H82" s="546">
        <f>+G82+F82+D82+C82</f>
        <v>67988395</v>
      </c>
      <c r="I82" s="546"/>
      <c r="J82" s="546">
        <f t="shared" si="12"/>
        <v>67988395</v>
      </c>
      <c r="K82" s="546">
        <f t="shared" si="13"/>
        <v>-481605</v>
      </c>
      <c r="L82" s="563">
        <f t="shared" si="14"/>
        <v>0.9929661895720754</v>
      </c>
    </row>
    <row r="83" spans="1:12" ht="14.25" hidden="1" outlineLevel="1">
      <c r="A83" s="573" t="s">
        <v>162</v>
      </c>
      <c r="B83" s="546">
        <v>689575737.28</v>
      </c>
      <c r="C83" s="546"/>
      <c r="D83" s="546"/>
      <c r="E83" s="546"/>
      <c r="F83" s="546">
        <v>686691692</v>
      </c>
      <c r="G83" s="546"/>
      <c r="H83" s="546">
        <f>+G83+F83+D83+C83</f>
        <v>686691692</v>
      </c>
      <c r="I83" s="546"/>
      <c r="J83" s="546">
        <f t="shared" si="12"/>
        <v>686691692</v>
      </c>
      <c r="K83" s="546">
        <f t="shared" si="13"/>
        <v>-2884045.2799999714</v>
      </c>
      <c r="L83" s="563">
        <f t="shared" si="14"/>
        <v>0.9958176526172804</v>
      </c>
    </row>
    <row r="84" spans="1:12" ht="14.25" hidden="1" outlineLevel="1">
      <c r="A84" s="573" t="s">
        <v>163</v>
      </c>
      <c r="B84" s="546">
        <v>237341175</v>
      </c>
      <c r="C84" s="546"/>
      <c r="D84" s="546"/>
      <c r="E84" s="546"/>
      <c r="F84" s="546">
        <v>236877310</v>
      </c>
      <c r="G84" s="546"/>
      <c r="H84" s="546">
        <f>+G84+F84+D84+C84</f>
        <v>236877310</v>
      </c>
      <c r="I84" s="546"/>
      <c r="J84" s="546">
        <f t="shared" si="12"/>
        <v>236877310</v>
      </c>
      <c r="K84" s="546">
        <f t="shared" si="13"/>
        <v>-463865</v>
      </c>
      <c r="L84" s="563">
        <f t="shared" si="14"/>
        <v>0.9980455772160056</v>
      </c>
    </row>
    <row r="85" spans="1:12" ht="15" collapsed="1">
      <c r="A85" s="572" t="s">
        <v>164</v>
      </c>
      <c r="B85" s="565">
        <f>+B86+B90</f>
        <v>733240000</v>
      </c>
      <c r="C85" s="565"/>
      <c r="D85" s="565"/>
      <c r="E85" s="565"/>
      <c r="F85" s="565">
        <f>+F86+F90</f>
        <v>644263341</v>
      </c>
      <c r="G85" s="565"/>
      <c r="H85" s="565">
        <f>+H86+H90</f>
        <v>644263341</v>
      </c>
      <c r="I85" s="565"/>
      <c r="J85" s="565">
        <f t="shared" si="12"/>
        <v>644263341</v>
      </c>
      <c r="K85" s="565">
        <f t="shared" si="13"/>
        <v>-88976659</v>
      </c>
      <c r="L85" s="560">
        <f t="shared" si="14"/>
        <v>0.878652748077028</v>
      </c>
    </row>
    <row r="86" spans="1:12" ht="15" hidden="1" outlineLevel="1">
      <c r="A86" s="574" t="s">
        <v>165</v>
      </c>
      <c r="B86" s="565">
        <f>+B88+B89+B87</f>
        <v>303000000</v>
      </c>
      <c r="C86" s="565"/>
      <c r="D86" s="565"/>
      <c r="E86" s="565"/>
      <c r="F86" s="565">
        <f>+F88+F89+F87</f>
        <v>237715004</v>
      </c>
      <c r="G86" s="565"/>
      <c r="H86" s="565">
        <f>+G86+F86</f>
        <v>237715004</v>
      </c>
      <c r="I86" s="565"/>
      <c r="J86" s="565">
        <f t="shared" si="12"/>
        <v>237715004</v>
      </c>
      <c r="K86" s="565">
        <f t="shared" si="13"/>
        <v>-65284996</v>
      </c>
      <c r="L86" s="560">
        <f t="shared" si="14"/>
        <v>0.7845379669966996</v>
      </c>
    </row>
    <row r="87" spans="1:12" ht="14.25" hidden="1" outlineLevel="2">
      <c r="A87" s="562" t="s">
        <v>191</v>
      </c>
      <c r="B87" s="546">
        <v>25000000</v>
      </c>
      <c r="C87" s="546"/>
      <c r="D87" s="546"/>
      <c r="E87" s="546"/>
      <c r="F87" s="546">
        <v>25000000</v>
      </c>
      <c r="G87" s="546"/>
      <c r="H87" s="546">
        <f>+C87+D87+F87+G87</f>
        <v>25000000</v>
      </c>
      <c r="I87" s="546"/>
      <c r="J87" s="546">
        <f t="shared" si="12"/>
        <v>25000000</v>
      </c>
      <c r="K87" s="546">
        <f t="shared" si="13"/>
        <v>0</v>
      </c>
      <c r="L87" s="563">
        <f t="shared" si="14"/>
        <v>1</v>
      </c>
    </row>
    <row r="88" spans="1:12" ht="14.25" hidden="1" outlineLevel="2">
      <c r="A88" s="562" t="s">
        <v>173</v>
      </c>
      <c r="B88" s="546">
        <v>218000000</v>
      </c>
      <c r="C88" s="546"/>
      <c r="D88" s="546"/>
      <c r="E88" s="546"/>
      <c r="F88" s="546">
        <v>159387829</v>
      </c>
      <c r="G88" s="546"/>
      <c r="H88" s="546">
        <f>+G88+F88+D88+C88</f>
        <v>159387829</v>
      </c>
      <c r="I88" s="546"/>
      <c r="J88" s="546">
        <f t="shared" si="12"/>
        <v>159387829</v>
      </c>
      <c r="K88" s="546">
        <f t="shared" si="13"/>
        <v>-58612171</v>
      </c>
      <c r="L88" s="563">
        <f t="shared" si="14"/>
        <v>0.7311368302752294</v>
      </c>
    </row>
    <row r="89" spans="1:12" ht="14.25" hidden="1" outlineLevel="2">
      <c r="A89" s="562" t="s">
        <v>174</v>
      </c>
      <c r="B89" s="546">
        <v>60000000</v>
      </c>
      <c r="C89" s="546"/>
      <c r="D89" s="546"/>
      <c r="E89" s="546"/>
      <c r="F89" s="546">
        <v>53327175</v>
      </c>
      <c r="G89" s="546"/>
      <c r="H89" s="546">
        <f>+G89+F89+D89+C89</f>
        <v>53327175</v>
      </c>
      <c r="I89" s="546"/>
      <c r="J89" s="546">
        <f t="shared" si="12"/>
        <v>53327175</v>
      </c>
      <c r="K89" s="546">
        <f t="shared" si="13"/>
        <v>-6672825</v>
      </c>
      <c r="L89" s="563">
        <f t="shared" si="14"/>
        <v>0.88878625</v>
      </c>
    </row>
    <row r="90" spans="1:12" ht="15" hidden="1" outlineLevel="1">
      <c r="A90" s="574" t="s">
        <v>175</v>
      </c>
      <c r="B90" s="565">
        <f>+B91</f>
        <v>430240000</v>
      </c>
      <c r="C90" s="565"/>
      <c r="D90" s="565"/>
      <c r="E90" s="565"/>
      <c r="F90" s="565">
        <f>+F91</f>
        <v>406548337</v>
      </c>
      <c r="G90" s="565"/>
      <c r="H90" s="565">
        <f>+H91</f>
        <v>406548337</v>
      </c>
      <c r="I90" s="565"/>
      <c r="J90" s="565">
        <f t="shared" si="12"/>
        <v>406548337</v>
      </c>
      <c r="K90" s="565">
        <f t="shared" si="13"/>
        <v>-23691663</v>
      </c>
      <c r="L90" s="560">
        <f t="shared" si="14"/>
        <v>0.9449338439010785</v>
      </c>
    </row>
    <row r="91" spans="1:12" ht="14.25" hidden="1" outlineLevel="2">
      <c r="A91" s="573" t="s">
        <v>176</v>
      </c>
      <c r="B91" s="546">
        <v>430240000</v>
      </c>
      <c r="C91" s="546"/>
      <c r="D91" s="546"/>
      <c r="E91" s="546"/>
      <c r="F91" s="546">
        <v>406548337</v>
      </c>
      <c r="G91" s="546"/>
      <c r="H91" s="546">
        <f>+G91+F91+D91+C91</f>
        <v>406548337</v>
      </c>
      <c r="I91" s="546"/>
      <c r="J91" s="546">
        <f t="shared" si="12"/>
        <v>406548337</v>
      </c>
      <c r="K91" s="546">
        <f t="shared" si="13"/>
        <v>-23691663</v>
      </c>
      <c r="L91" s="563">
        <f t="shared" si="14"/>
        <v>0.9449338439010785</v>
      </c>
    </row>
    <row r="92" spans="1:12" ht="15" collapsed="1">
      <c r="A92" s="572" t="s">
        <v>440</v>
      </c>
      <c r="B92" s="565">
        <f>+B95+B97+B93+B94+B96+B98</f>
        <v>2237000000</v>
      </c>
      <c r="C92" s="565"/>
      <c r="D92" s="565"/>
      <c r="E92" s="565"/>
      <c r="F92" s="565">
        <f>+SUM(F93:F98)</f>
        <v>233552498</v>
      </c>
      <c r="G92" s="565"/>
      <c r="H92" s="565">
        <f aca="true" t="shared" si="15" ref="H92:H101">+C92+D92+E92+F92+G92</f>
        <v>233552498</v>
      </c>
      <c r="I92" s="565"/>
      <c r="J92" s="565">
        <f t="shared" si="12"/>
        <v>233552498</v>
      </c>
      <c r="K92" s="565">
        <f t="shared" si="13"/>
        <v>-2003447502</v>
      </c>
      <c r="L92" s="560">
        <f t="shared" si="14"/>
        <v>0.1044043352704515</v>
      </c>
    </row>
    <row r="93" spans="1:12" ht="14.25" hidden="1" outlineLevel="1">
      <c r="A93" s="562" t="s">
        <v>441</v>
      </c>
      <c r="B93" s="546">
        <v>105000000</v>
      </c>
      <c r="C93" s="546"/>
      <c r="D93" s="546"/>
      <c r="E93" s="546"/>
      <c r="F93" s="546">
        <v>103158302</v>
      </c>
      <c r="G93" s="546"/>
      <c r="H93" s="546">
        <f t="shared" si="15"/>
        <v>103158302</v>
      </c>
      <c r="I93" s="546"/>
      <c r="J93" s="546">
        <f t="shared" si="12"/>
        <v>103158302</v>
      </c>
      <c r="K93" s="546">
        <f t="shared" si="13"/>
        <v>-1841698</v>
      </c>
      <c r="L93" s="563">
        <f t="shared" si="14"/>
        <v>0.982460019047619</v>
      </c>
    </row>
    <row r="94" spans="1:12" ht="14.25" hidden="1" outlineLevel="1">
      <c r="A94" s="562" t="s">
        <v>442</v>
      </c>
      <c r="B94" s="546">
        <v>108000000</v>
      </c>
      <c r="C94" s="546"/>
      <c r="D94" s="546"/>
      <c r="E94" s="546"/>
      <c r="F94" s="546">
        <v>107356631</v>
      </c>
      <c r="G94" s="546"/>
      <c r="H94" s="546">
        <f t="shared" si="15"/>
        <v>107356631</v>
      </c>
      <c r="I94" s="546"/>
      <c r="J94" s="546">
        <f t="shared" si="12"/>
        <v>107356631</v>
      </c>
      <c r="K94" s="546">
        <f t="shared" si="13"/>
        <v>-643369</v>
      </c>
      <c r="L94" s="563">
        <f t="shared" si="14"/>
        <v>0.9940428796296297</v>
      </c>
    </row>
    <row r="95" spans="1:12" ht="14.25" hidden="1" outlineLevel="1">
      <c r="A95" s="562" t="s">
        <v>192</v>
      </c>
      <c r="B95" s="546">
        <v>20000000</v>
      </c>
      <c r="C95" s="546"/>
      <c r="D95" s="546"/>
      <c r="E95" s="546"/>
      <c r="F95" s="546">
        <v>19197700</v>
      </c>
      <c r="G95" s="546"/>
      <c r="H95" s="546">
        <f t="shared" si="15"/>
        <v>19197700</v>
      </c>
      <c r="I95" s="546"/>
      <c r="J95" s="546">
        <f t="shared" si="12"/>
        <v>19197700</v>
      </c>
      <c r="K95" s="546">
        <f t="shared" si="13"/>
        <v>-802300</v>
      </c>
      <c r="L95" s="563">
        <f t="shared" si="14"/>
        <v>0.959885</v>
      </c>
    </row>
    <row r="96" spans="1:12" ht="14.25" hidden="1" outlineLevel="1">
      <c r="A96" s="562" t="s">
        <v>443</v>
      </c>
      <c r="B96" s="546">
        <v>0</v>
      </c>
      <c r="C96" s="546"/>
      <c r="D96" s="546"/>
      <c r="E96" s="546"/>
      <c r="F96" s="546">
        <v>0</v>
      </c>
      <c r="G96" s="546"/>
      <c r="H96" s="546">
        <f t="shared" si="15"/>
        <v>0</v>
      </c>
      <c r="I96" s="546"/>
      <c r="J96" s="546">
        <f t="shared" si="12"/>
        <v>0</v>
      </c>
      <c r="K96" s="546">
        <f t="shared" si="13"/>
        <v>0</v>
      </c>
      <c r="L96" s="563">
        <v>0</v>
      </c>
    </row>
    <row r="97" spans="1:12" ht="14.25" hidden="1" outlineLevel="1">
      <c r="A97" s="562" t="s">
        <v>444</v>
      </c>
      <c r="B97" s="546">
        <v>2000000000</v>
      </c>
      <c r="C97" s="546"/>
      <c r="D97" s="546"/>
      <c r="E97" s="546"/>
      <c r="F97" s="546">
        <v>0</v>
      </c>
      <c r="G97" s="546"/>
      <c r="H97" s="546">
        <f t="shared" si="15"/>
        <v>0</v>
      </c>
      <c r="I97" s="546"/>
      <c r="J97" s="546">
        <f t="shared" si="12"/>
        <v>0</v>
      </c>
      <c r="K97" s="546">
        <f t="shared" si="13"/>
        <v>-2000000000</v>
      </c>
      <c r="L97" s="563">
        <f t="shared" si="14"/>
        <v>0</v>
      </c>
    </row>
    <row r="98" spans="1:12" ht="14.25" hidden="1" outlineLevel="1">
      <c r="A98" s="562" t="s">
        <v>445</v>
      </c>
      <c r="B98" s="546">
        <v>4000000</v>
      </c>
      <c r="C98" s="546"/>
      <c r="D98" s="546"/>
      <c r="E98" s="546"/>
      <c r="F98" s="546">
        <v>3839865</v>
      </c>
      <c r="G98" s="546"/>
      <c r="H98" s="546">
        <f t="shared" si="15"/>
        <v>3839865</v>
      </c>
      <c r="I98" s="546"/>
      <c r="J98" s="546">
        <f t="shared" si="12"/>
        <v>3839865</v>
      </c>
      <c r="K98" s="546">
        <f t="shared" si="13"/>
        <v>-160135</v>
      </c>
      <c r="L98" s="563">
        <f t="shared" si="14"/>
        <v>0.95996625</v>
      </c>
    </row>
    <row r="99" spans="1:12" ht="15" collapsed="1">
      <c r="A99" s="572" t="s">
        <v>169</v>
      </c>
      <c r="B99" s="565">
        <f>+B100+B101</f>
        <v>202856000</v>
      </c>
      <c r="C99" s="565"/>
      <c r="D99" s="565"/>
      <c r="E99" s="565"/>
      <c r="F99" s="565">
        <f>+F100+F101</f>
        <v>173198585</v>
      </c>
      <c r="G99" s="565"/>
      <c r="H99" s="565">
        <f t="shared" si="15"/>
        <v>173198585</v>
      </c>
      <c r="I99" s="565"/>
      <c r="J99" s="565">
        <f t="shared" si="12"/>
        <v>173198585</v>
      </c>
      <c r="K99" s="565">
        <f t="shared" si="13"/>
        <v>-29657415</v>
      </c>
      <c r="L99" s="560">
        <f t="shared" si="14"/>
        <v>0.8538006516938124</v>
      </c>
    </row>
    <row r="100" spans="1:12" ht="15" hidden="1" outlineLevel="1">
      <c r="A100" s="573" t="s">
        <v>170</v>
      </c>
      <c r="B100" s="546">
        <v>152556000</v>
      </c>
      <c r="C100" s="546"/>
      <c r="D100" s="546"/>
      <c r="E100" s="546"/>
      <c r="F100" s="546">
        <v>122928669</v>
      </c>
      <c r="G100" s="546"/>
      <c r="H100" s="546">
        <f t="shared" si="15"/>
        <v>122928669</v>
      </c>
      <c r="I100" s="546"/>
      <c r="J100" s="546">
        <f t="shared" si="12"/>
        <v>122928669</v>
      </c>
      <c r="K100" s="546">
        <f t="shared" si="13"/>
        <v>-29627331</v>
      </c>
      <c r="L100" s="560">
        <f t="shared" si="14"/>
        <v>0.8057937347596948</v>
      </c>
    </row>
    <row r="101" spans="1:12" ht="14.25" hidden="1" outlineLevel="1">
      <c r="A101" s="575" t="s">
        <v>446</v>
      </c>
      <c r="B101" s="546">
        <v>50300000</v>
      </c>
      <c r="C101" s="546"/>
      <c r="D101" s="546"/>
      <c r="E101" s="546"/>
      <c r="F101" s="546">
        <v>50269916</v>
      </c>
      <c r="G101" s="546"/>
      <c r="H101" s="546">
        <f t="shared" si="15"/>
        <v>50269916</v>
      </c>
      <c r="I101" s="546"/>
      <c r="J101" s="546">
        <f t="shared" si="12"/>
        <v>50269916</v>
      </c>
      <c r="K101" s="546">
        <f t="shared" si="13"/>
        <v>-30084</v>
      </c>
      <c r="L101" s="563">
        <f t="shared" si="14"/>
        <v>0.9994019085487078</v>
      </c>
    </row>
    <row r="102" spans="1:12" ht="15" collapsed="1">
      <c r="A102" s="572" t="s">
        <v>178</v>
      </c>
      <c r="B102" s="565">
        <f>+B103+B104+B105+B106</f>
        <v>1534869701.9875</v>
      </c>
      <c r="C102" s="565"/>
      <c r="D102" s="565"/>
      <c r="E102" s="565"/>
      <c r="F102" s="565">
        <f>+F103+F104+F105+F106</f>
        <v>1516774542</v>
      </c>
      <c r="G102" s="565"/>
      <c r="H102" s="565">
        <f aca="true" t="shared" si="16" ref="H102:H112">+G102+F102+D102+C102</f>
        <v>1516774542</v>
      </c>
      <c r="I102" s="565"/>
      <c r="J102" s="565">
        <f t="shared" si="12"/>
        <v>1516774542</v>
      </c>
      <c r="K102" s="565">
        <f t="shared" si="13"/>
        <v>-18095159.987499952</v>
      </c>
      <c r="L102" s="560">
        <f t="shared" si="14"/>
        <v>0.9882106214201319</v>
      </c>
    </row>
    <row r="103" spans="1:12" ht="14.25" hidden="1" outlineLevel="1">
      <c r="A103" s="562" t="s">
        <v>171</v>
      </c>
      <c r="B103" s="546">
        <v>1388198993.9875</v>
      </c>
      <c r="C103" s="546"/>
      <c r="D103" s="546"/>
      <c r="E103" s="546"/>
      <c r="F103" s="546">
        <v>1382208317</v>
      </c>
      <c r="G103" s="546"/>
      <c r="H103" s="546">
        <f t="shared" si="16"/>
        <v>1382208317</v>
      </c>
      <c r="I103" s="546"/>
      <c r="J103" s="546">
        <f t="shared" si="12"/>
        <v>1382208317</v>
      </c>
      <c r="K103" s="546">
        <f t="shared" si="13"/>
        <v>-5990676.987499952</v>
      </c>
      <c r="L103" s="563">
        <f t="shared" si="14"/>
        <v>0.9956845689894269</v>
      </c>
    </row>
    <row r="104" spans="1:12" ht="14.25" hidden="1" outlineLevel="1">
      <c r="A104" s="562" t="s">
        <v>193</v>
      </c>
      <c r="B104" s="546">
        <v>93170708</v>
      </c>
      <c r="C104" s="546"/>
      <c r="D104" s="546"/>
      <c r="E104" s="546"/>
      <c r="F104" s="546">
        <v>86538420</v>
      </c>
      <c r="G104" s="546"/>
      <c r="H104" s="546">
        <f t="shared" si="16"/>
        <v>86538420</v>
      </c>
      <c r="I104" s="546"/>
      <c r="J104" s="546">
        <f t="shared" si="12"/>
        <v>86538420</v>
      </c>
      <c r="K104" s="546">
        <f t="shared" si="13"/>
        <v>-6632288</v>
      </c>
      <c r="L104" s="563">
        <f t="shared" si="14"/>
        <v>0.928815738955209</v>
      </c>
    </row>
    <row r="105" spans="1:12" ht="14.25" hidden="1" outlineLevel="1">
      <c r="A105" s="562" t="s">
        <v>179</v>
      </c>
      <c r="B105" s="546">
        <v>42400000</v>
      </c>
      <c r="C105" s="546"/>
      <c r="D105" s="546"/>
      <c r="E105" s="546"/>
      <c r="F105" s="546">
        <v>37182992</v>
      </c>
      <c r="G105" s="546"/>
      <c r="H105" s="546">
        <f t="shared" si="16"/>
        <v>37182992</v>
      </c>
      <c r="I105" s="546"/>
      <c r="J105" s="546">
        <f t="shared" si="12"/>
        <v>37182992</v>
      </c>
      <c r="K105" s="546">
        <f t="shared" si="13"/>
        <v>-5217008</v>
      </c>
      <c r="L105" s="563">
        <f t="shared" si="14"/>
        <v>0.876957358490566</v>
      </c>
    </row>
    <row r="106" spans="1:12" s="561" customFormat="1" ht="14.25" hidden="1" outlineLevel="1">
      <c r="A106" s="562" t="s">
        <v>194</v>
      </c>
      <c r="B106" s="546">
        <v>11100000</v>
      </c>
      <c r="C106" s="546"/>
      <c r="D106" s="546"/>
      <c r="E106" s="546"/>
      <c r="F106" s="546">
        <v>10844813</v>
      </c>
      <c r="G106" s="546"/>
      <c r="H106" s="546">
        <f t="shared" si="16"/>
        <v>10844813</v>
      </c>
      <c r="I106" s="546"/>
      <c r="J106" s="546">
        <f t="shared" si="12"/>
        <v>10844813</v>
      </c>
      <c r="K106" s="546">
        <f t="shared" si="13"/>
        <v>-255187</v>
      </c>
      <c r="L106" s="563">
        <f t="shared" si="14"/>
        <v>0.9770101801801802</v>
      </c>
    </row>
    <row r="107" spans="1:12" s="561" customFormat="1" ht="15" collapsed="1">
      <c r="A107" s="571" t="s">
        <v>447</v>
      </c>
      <c r="B107" s="565">
        <f>SUM(B108:B112)</f>
        <v>487695796.21040004</v>
      </c>
      <c r="C107" s="565"/>
      <c r="D107" s="565">
        <f>SUM(D108:D112)</f>
        <v>468040631</v>
      </c>
      <c r="E107" s="565"/>
      <c r="F107" s="565"/>
      <c r="G107" s="565"/>
      <c r="H107" s="565">
        <f t="shared" si="16"/>
        <v>468040631</v>
      </c>
      <c r="I107" s="565"/>
      <c r="J107" s="565">
        <f t="shared" si="12"/>
        <v>468040631</v>
      </c>
      <c r="K107" s="565">
        <f t="shared" si="13"/>
        <v>-19655165.210400045</v>
      </c>
      <c r="L107" s="560">
        <f t="shared" si="14"/>
        <v>0.959697899052793</v>
      </c>
    </row>
    <row r="108" spans="1:12" s="561" customFormat="1" ht="15">
      <c r="A108" s="576" t="s">
        <v>448</v>
      </c>
      <c r="B108" s="565">
        <v>75000000</v>
      </c>
      <c r="C108" s="565"/>
      <c r="D108" s="565">
        <v>72531440</v>
      </c>
      <c r="E108" s="565"/>
      <c r="F108" s="565"/>
      <c r="G108" s="565"/>
      <c r="H108" s="565">
        <f t="shared" si="16"/>
        <v>72531440</v>
      </c>
      <c r="I108" s="565"/>
      <c r="J108" s="565">
        <f t="shared" si="12"/>
        <v>72531440</v>
      </c>
      <c r="K108" s="565">
        <f t="shared" si="13"/>
        <v>-2468560</v>
      </c>
      <c r="L108" s="560">
        <f t="shared" si="14"/>
        <v>0.9670858666666666</v>
      </c>
    </row>
    <row r="109" spans="1:12" s="561" customFormat="1" ht="15">
      <c r="A109" s="576" t="s">
        <v>449</v>
      </c>
      <c r="B109" s="565">
        <v>173883184.4104</v>
      </c>
      <c r="C109" s="565"/>
      <c r="D109" s="565">
        <v>171213359</v>
      </c>
      <c r="E109" s="565"/>
      <c r="F109" s="565"/>
      <c r="G109" s="565"/>
      <c r="H109" s="565">
        <f t="shared" si="16"/>
        <v>171213359</v>
      </c>
      <c r="I109" s="565"/>
      <c r="J109" s="565">
        <f t="shared" si="12"/>
        <v>171213359</v>
      </c>
      <c r="K109" s="565">
        <f t="shared" si="13"/>
        <v>-2669825.410400003</v>
      </c>
      <c r="L109" s="560">
        <f t="shared" si="14"/>
        <v>0.9846458677447575</v>
      </c>
    </row>
    <row r="110" spans="1:12" s="561" customFormat="1" ht="15">
      <c r="A110" s="576" t="s">
        <v>450</v>
      </c>
      <c r="B110" s="565">
        <v>84000000</v>
      </c>
      <c r="C110" s="565"/>
      <c r="D110" s="565">
        <v>75495521</v>
      </c>
      <c r="E110" s="565"/>
      <c r="F110" s="565"/>
      <c r="G110" s="565"/>
      <c r="H110" s="565">
        <f t="shared" si="16"/>
        <v>75495521</v>
      </c>
      <c r="I110" s="565"/>
      <c r="J110" s="565">
        <f t="shared" si="12"/>
        <v>75495521</v>
      </c>
      <c r="K110" s="565">
        <f t="shared" si="13"/>
        <v>-8504479</v>
      </c>
      <c r="L110" s="560">
        <f t="shared" si="14"/>
        <v>0.8987562023809523</v>
      </c>
    </row>
    <row r="111" spans="1:12" s="561" customFormat="1" ht="15">
      <c r="A111" s="576" t="s">
        <v>451</v>
      </c>
      <c r="B111" s="565">
        <v>31043625</v>
      </c>
      <c r="C111" s="565"/>
      <c r="D111" s="565">
        <v>25731599</v>
      </c>
      <c r="E111" s="565"/>
      <c r="F111" s="565"/>
      <c r="G111" s="565"/>
      <c r="H111" s="565">
        <f t="shared" si="16"/>
        <v>25731599</v>
      </c>
      <c r="I111" s="565"/>
      <c r="J111" s="565">
        <f t="shared" si="12"/>
        <v>25731599</v>
      </c>
      <c r="K111" s="565">
        <f t="shared" si="13"/>
        <v>-5312026</v>
      </c>
      <c r="L111" s="560">
        <f t="shared" si="14"/>
        <v>0.8288851253679298</v>
      </c>
    </row>
    <row r="112" spans="1:12" s="561" customFormat="1" ht="15">
      <c r="A112" s="576" t="s">
        <v>452</v>
      </c>
      <c r="B112" s="565">
        <v>123768986.80000001</v>
      </c>
      <c r="C112" s="565"/>
      <c r="D112" s="565">
        <v>123068712</v>
      </c>
      <c r="E112" s="565"/>
      <c r="F112" s="565"/>
      <c r="G112" s="565"/>
      <c r="H112" s="565">
        <f t="shared" si="16"/>
        <v>123068712</v>
      </c>
      <c r="I112" s="565"/>
      <c r="J112" s="565">
        <f t="shared" si="12"/>
        <v>123068712</v>
      </c>
      <c r="K112" s="565">
        <f t="shared" si="13"/>
        <v>-700274.8000000119</v>
      </c>
      <c r="L112" s="560">
        <f t="shared" si="14"/>
        <v>0.9943420818243297</v>
      </c>
    </row>
    <row r="113" spans="1:12" s="561" customFormat="1" ht="14.25">
      <c r="A113" s="577"/>
      <c r="B113" s="543"/>
      <c r="C113" s="543"/>
      <c r="D113" s="543"/>
      <c r="E113" s="543"/>
      <c r="F113" s="543"/>
      <c r="G113" s="543"/>
      <c r="H113" s="543"/>
      <c r="I113" s="543"/>
      <c r="J113" s="543"/>
      <c r="K113" s="543"/>
      <c r="L113" s="544"/>
    </row>
    <row r="114" spans="1:12" s="558" customFormat="1" ht="45">
      <c r="A114" s="555" t="s">
        <v>453</v>
      </c>
      <c r="B114" s="556">
        <f>+B115</f>
        <v>775070848.3697306</v>
      </c>
      <c r="C114" s="556">
        <f>+C115</f>
        <v>762924743</v>
      </c>
      <c r="D114" s="556"/>
      <c r="E114" s="556"/>
      <c r="F114" s="556"/>
      <c r="G114" s="556"/>
      <c r="H114" s="556">
        <f>SUM(C114:G114)</f>
        <v>762924743</v>
      </c>
      <c r="I114" s="556"/>
      <c r="J114" s="556">
        <f t="shared" si="12"/>
        <v>762924743</v>
      </c>
      <c r="K114" s="556">
        <f t="shared" si="13"/>
        <v>-12146105.369730592</v>
      </c>
      <c r="L114" s="557">
        <f t="shared" si="14"/>
        <v>0.9843290385707597</v>
      </c>
    </row>
    <row r="115" spans="1:12" s="561" customFormat="1" ht="15.75" customHeight="1">
      <c r="A115" s="559" t="s">
        <v>87</v>
      </c>
      <c r="B115" s="548">
        <f>+B116+B119+B120+B121+B122</f>
        <v>775070848.3697306</v>
      </c>
      <c r="C115" s="548">
        <f>+C116+C119+C120+C121+C122</f>
        <v>762924743</v>
      </c>
      <c r="D115" s="548"/>
      <c r="E115" s="548"/>
      <c r="F115" s="548"/>
      <c r="G115" s="548"/>
      <c r="H115" s="548">
        <f aca="true" t="shared" si="17" ref="H115:H122">+SUM(C115:G115)</f>
        <v>762924743</v>
      </c>
      <c r="I115" s="548"/>
      <c r="J115" s="548">
        <f t="shared" si="12"/>
        <v>762924743</v>
      </c>
      <c r="K115" s="548">
        <f t="shared" si="13"/>
        <v>-12146105.369730592</v>
      </c>
      <c r="L115" s="560">
        <f t="shared" si="14"/>
        <v>0.9843290385707597</v>
      </c>
    </row>
    <row r="116" spans="1:12" s="561" customFormat="1" ht="14.25" hidden="1" outlineLevel="1">
      <c r="A116" s="578" t="s">
        <v>340</v>
      </c>
      <c r="B116" s="546">
        <f>+B117+B118</f>
        <v>287801548.08423054</v>
      </c>
      <c r="C116" s="546">
        <f>+C117+C118</f>
        <v>287801548</v>
      </c>
      <c r="D116" s="546"/>
      <c r="E116" s="546"/>
      <c r="F116" s="546"/>
      <c r="G116" s="546"/>
      <c r="H116" s="546">
        <f t="shared" si="17"/>
        <v>287801548</v>
      </c>
      <c r="I116" s="546"/>
      <c r="J116" s="546">
        <f t="shared" si="12"/>
        <v>287801548</v>
      </c>
      <c r="K116" s="546">
        <f t="shared" si="13"/>
        <v>-0.08423054218292236</v>
      </c>
      <c r="L116" s="563">
        <f t="shared" si="14"/>
        <v>0.9999999997073312</v>
      </c>
    </row>
    <row r="117" spans="1:12" s="561" customFormat="1" ht="14.25" hidden="1" outlineLevel="2">
      <c r="A117" s="578" t="s">
        <v>121</v>
      </c>
      <c r="B117" s="546">
        <v>222877257.06738445</v>
      </c>
      <c r="C117" s="546">
        <v>222877257</v>
      </c>
      <c r="D117" s="546"/>
      <c r="E117" s="546"/>
      <c r="F117" s="546"/>
      <c r="G117" s="546"/>
      <c r="H117" s="546">
        <f t="shared" si="17"/>
        <v>222877257</v>
      </c>
      <c r="I117" s="546"/>
      <c r="J117" s="546">
        <f t="shared" si="12"/>
        <v>222877257</v>
      </c>
      <c r="K117" s="546">
        <f t="shared" si="13"/>
        <v>-0.06738445162773132</v>
      </c>
      <c r="L117" s="563">
        <f t="shared" si="14"/>
        <v>0.9999999996976612</v>
      </c>
    </row>
    <row r="118" spans="1:12" s="561" customFormat="1" ht="14.25" hidden="1" outlineLevel="2">
      <c r="A118" s="578" t="s">
        <v>454</v>
      </c>
      <c r="B118" s="546">
        <v>64924291.01684611</v>
      </c>
      <c r="C118" s="546">
        <v>64924291</v>
      </c>
      <c r="D118" s="546"/>
      <c r="E118" s="546"/>
      <c r="F118" s="546"/>
      <c r="G118" s="546"/>
      <c r="H118" s="546">
        <f t="shared" si="17"/>
        <v>64924291</v>
      </c>
      <c r="I118" s="546"/>
      <c r="J118" s="546">
        <f t="shared" si="12"/>
        <v>64924291</v>
      </c>
      <c r="K118" s="546">
        <f t="shared" si="13"/>
        <v>-0.01684611290693283</v>
      </c>
      <c r="L118" s="563">
        <f t="shared" si="14"/>
        <v>0.9999999997405268</v>
      </c>
    </row>
    <row r="119" spans="1:12" s="561" customFormat="1" ht="14.25" hidden="1" outlineLevel="1">
      <c r="A119" s="562" t="s">
        <v>116</v>
      </c>
      <c r="B119" s="546">
        <v>66000000</v>
      </c>
      <c r="C119" s="546">
        <v>60987695</v>
      </c>
      <c r="D119" s="546"/>
      <c r="E119" s="546"/>
      <c r="F119" s="546"/>
      <c r="G119" s="546"/>
      <c r="H119" s="546">
        <f t="shared" si="17"/>
        <v>60987695</v>
      </c>
      <c r="I119" s="546"/>
      <c r="J119" s="546">
        <f t="shared" si="12"/>
        <v>60987695</v>
      </c>
      <c r="K119" s="546">
        <f t="shared" si="13"/>
        <v>-5012305</v>
      </c>
      <c r="L119" s="563">
        <f t="shared" si="14"/>
        <v>0.9240559848484848</v>
      </c>
    </row>
    <row r="120" spans="1:12" s="561" customFormat="1" ht="14.25" hidden="1" outlineLevel="1">
      <c r="A120" s="562" t="s">
        <v>115</v>
      </c>
      <c r="B120" s="546">
        <v>152073345.77350003</v>
      </c>
      <c r="C120" s="546">
        <v>150442254</v>
      </c>
      <c r="D120" s="546"/>
      <c r="E120" s="546"/>
      <c r="F120" s="546"/>
      <c r="G120" s="546"/>
      <c r="H120" s="546">
        <f t="shared" si="17"/>
        <v>150442254</v>
      </c>
      <c r="I120" s="546"/>
      <c r="J120" s="546">
        <f t="shared" si="12"/>
        <v>150442254</v>
      </c>
      <c r="K120" s="546">
        <f t="shared" si="13"/>
        <v>-1631091.7735000253</v>
      </c>
      <c r="L120" s="563">
        <f t="shared" si="14"/>
        <v>0.9892743086225683</v>
      </c>
    </row>
    <row r="121" spans="1:12" s="561" customFormat="1" ht="14.25" hidden="1" outlineLevel="1">
      <c r="A121" s="562" t="s">
        <v>114</v>
      </c>
      <c r="B121" s="546">
        <v>69195954.512</v>
      </c>
      <c r="C121" s="546">
        <v>69107437</v>
      </c>
      <c r="D121" s="546"/>
      <c r="E121" s="546"/>
      <c r="F121" s="546"/>
      <c r="G121" s="546"/>
      <c r="H121" s="546">
        <f t="shared" si="17"/>
        <v>69107437</v>
      </c>
      <c r="I121" s="546"/>
      <c r="J121" s="546">
        <f t="shared" si="12"/>
        <v>69107437</v>
      </c>
      <c r="K121" s="546">
        <f t="shared" si="13"/>
        <v>-88517.51199999452</v>
      </c>
      <c r="L121" s="563">
        <f t="shared" si="14"/>
        <v>0.9987207704175156</v>
      </c>
    </row>
    <row r="122" spans="1:12" s="561" customFormat="1" ht="14.25" hidden="1" outlineLevel="1">
      <c r="A122" s="423" t="s">
        <v>456</v>
      </c>
      <c r="B122" s="546">
        <v>200000000</v>
      </c>
      <c r="C122" s="543">
        <v>194585809</v>
      </c>
      <c r="D122" s="546"/>
      <c r="E122" s="546"/>
      <c r="F122" s="546"/>
      <c r="G122" s="546"/>
      <c r="H122" s="546">
        <f t="shared" si="17"/>
        <v>194585809</v>
      </c>
      <c r="I122" s="546"/>
      <c r="J122" s="546">
        <f t="shared" si="12"/>
        <v>194585809</v>
      </c>
      <c r="K122" s="546">
        <f t="shared" si="13"/>
        <v>-5414191</v>
      </c>
      <c r="L122" s="563">
        <v>0</v>
      </c>
    </row>
    <row r="123" spans="1:12" s="561" customFormat="1" ht="15" collapsed="1">
      <c r="A123" s="564"/>
      <c r="B123" s="543"/>
      <c r="C123" s="543"/>
      <c r="D123" s="543"/>
      <c r="E123" s="543"/>
      <c r="F123" s="543"/>
      <c r="G123" s="543"/>
      <c r="H123" s="543"/>
      <c r="I123" s="543"/>
      <c r="J123" s="543"/>
      <c r="K123" s="543"/>
      <c r="L123" s="560"/>
    </row>
    <row r="124" spans="1:12" s="558" customFormat="1" ht="30">
      <c r="A124" s="555" t="s">
        <v>457</v>
      </c>
      <c r="B124" s="556">
        <f>+B125+B131+B136+B141</f>
        <v>988925112.68735</v>
      </c>
      <c r="C124" s="556"/>
      <c r="D124" s="556">
        <f>+D125</f>
        <v>485622046</v>
      </c>
      <c r="E124" s="556"/>
      <c r="F124" s="556"/>
      <c r="G124" s="556">
        <f>+G131+G136+G141</f>
        <v>444575978</v>
      </c>
      <c r="H124" s="556">
        <f>+C124+D124+F124+G124+E124</f>
        <v>930198024</v>
      </c>
      <c r="I124" s="556"/>
      <c r="J124" s="556">
        <f>+H124+I124</f>
        <v>930198024</v>
      </c>
      <c r="K124" s="556">
        <f t="shared" si="13"/>
        <v>-58727088.687350035</v>
      </c>
      <c r="L124" s="557">
        <f t="shared" si="14"/>
        <v>0.9406152316955908</v>
      </c>
    </row>
    <row r="125" spans="1:12" s="561" customFormat="1" ht="15">
      <c r="A125" s="559" t="s">
        <v>458</v>
      </c>
      <c r="B125" s="565">
        <f>+B126+B129+B130</f>
        <v>536949175</v>
      </c>
      <c r="C125" s="565"/>
      <c r="D125" s="565">
        <f>+D126+D129+D130</f>
        <v>485622046</v>
      </c>
      <c r="E125" s="565"/>
      <c r="F125" s="565"/>
      <c r="G125" s="565"/>
      <c r="H125" s="565">
        <f aca="true" t="shared" si="18" ref="H125:H130">+G125+F125+D125+C125</f>
        <v>485622046</v>
      </c>
      <c r="I125" s="565"/>
      <c r="J125" s="565">
        <f t="shared" si="12"/>
        <v>485622046</v>
      </c>
      <c r="K125" s="565">
        <f t="shared" si="13"/>
        <v>-51327129</v>
      </c>
      <c r="L125" s="560">
        <f t="shared" si="14"/>
        <v>0.9044097069336218</v>
      </c>
    </row>
    <row r="126" spans="1:12" s="579" customFormat="1" ht="14.25" hidden="1" outlineLevel="1">
      <c r="A126" s="566" t="s">
        <v>459</v>
      </c>
      <c r="B126" s="546">
        <f>+B127+B128</f>
        <v>293999435</v>
      </c>
      <c r="C126" s="546"/>
      <c r="D126" s="546">
        <f>+D127+D128</f>
        <v>258512607</v>
      </c>
      <c r="E126" s="546"/>
      <c r="F126" s="546"/>
      <c r="G126" s="546"/>
      <c r="H126" s="546">
        <f t="shared" si="18"/>
        <v>258512607</v>
      </c>
      <c r="I126" s="546"/>
      <c r="J126" s="546">
        <f t="shared" si="12"/>
        <v>258512607</v>
      </c>
      <c r="K126" s="546">
        <f t="shared" si="13"/>
        <v>-35486828</v>
      </c>
      <c r="L126" s="563">
        <f t="shared" si="14"/>
        <v>0.8792962714367121</v>
      </c>
    </row>
    <row r="127" spans="1:12" s="579" customFormat="1" ht="14.25" hidden="1" outlineLevel="2">
      <c r="A127" s="566" t="s">
        <v>460</v>
      </c>
      <c r="B127" s="546">
        <v>196499435.00000003</v>
      </c>
      <c r="C127" s="546"/>
      <c r="D127" s="546">
        <v>177195971</v>
      </c>
      <c r="E127" s="546"/>
      <c r="F127" s="546"/>
      <c r="G127" s="546"/>
      <c r="H127" s="546">
        <f t="shared" si="18"/>
        <v>177195971</v>
      </c>
      <c r="I127" s="546"/>
      <c r="J127" s="546">
        <f t="shared" si="12"/>
        <v>177195971</v>
      </c>
      <c r="K127" s="546">
        <f t="shared" si="13"/>
        <v>-19303464.00000003</v>
      </c>
      <c r="L127" s="563">
        <f t="shared" si="14"/>
        <v>0.9017632595228581</v>
      </c>
    </row>
    <row r="128" spans="1:12" s="579" customFormat="1" ht="14.25" hidden="1" outlineLevel="2">
      <c r="A128" s="566" t="s">
        <v>461</v>
      </c>
      <c r="B128" s="546">
        <v>97500000</v>
      </c>
      <c r="C128" s="546"/>
      <c r="D128" s="546">
        <v>81316636</v>
      </c>
      <c r="E128" s="546"/>
      <c r="F128" s="546"/>
      <c r="G128" s="546"/>
      <c r="H128" s="546">
        <f t="shared" si="18"/>
        <v>81316636</v>
      </c>
      <c r="I128" s="546"/>
      <c r="J128" s="546">
        <f t="shared" si="12"/>
        <v>81316636</v>
      </c>
      <c r="K128" s="546">
        <f t="shared" si="13"/>
        <v>-16183364</v>
      </c>
      <c r="L128" s="563">
        <f t="shared" si="14"/>
        <v>0.8340167794871794</v>
      </c>
    </row>
    <row r="129" spans="1:12" s="579" customFormat="1" ht="14.25" hidden="1" outlineLevel="1">
      <c r="A129" s="566" t="s">
        <v>462</v>
      </c>
      <c r="B129" s="546">
        <v>28300000</v>
      </c>
      <c r="C129" s="546"/>
      <c r="D129" s="546">
        <v>17091254</v>
      </c>
      <c r="E129" s="546"/>
      <c r="F129" s="546"/>
      <c r="G129" s="546"/>
      <c r="H129" s="546">
        <f t="shared" si="18"/>
        <v>17091254</v>
      </c>
      <c r="I129" s="546"/>
      <c r="J129" s="546">
        <f t="shared" si="12"/>
        <v>17091254</v>
      </c>
      <c r="K129" s="546">
        <f t="shared" si="13"/>
        <v>-11208746</v>
      </c>
      <c r="L129" s="563">
        <f t="shared" si="14"/>
        <v>0.6039312367491166</v>
      </c>
    </row>
    <row r="130" spans="1:12" s="579" customFormat="1" ht="14.25" hidden="1" outlineLevel="1">
      <c r="A130" s="566" t="s">
        <v>463</v>
      </c>
      <c r="B130" s="546">
        <v>214649740.00000003</v>
      </c>
      <c r="C130" s="546"/>
      <c r="D130" s="546">
        <v>210018185</v>
      </c>
      <c r="E130" s="546"/>
      <c r="F130" s="546"/>
      <c r="G130" s="546"/>
      <c r="H130" s="546">
        <f t="shared" si="18"/>
        <v>210018185</v>
      </c>
      <c r="I130" s="546"/>
      <c r="J130" s="546">
        <f t="shared" si="12"/>
        <v>210018185</v>
      </c>
      <c r="K130" s="546">
        <f t="shared" si="13"/>
        <v>-4631555.00000003</v>
      </c>
      <c r="L130" s="563">
        <f t="shared" si="14"/>
        <v>0.9784227318421163</v>
      </c>
    </row>
    <row r="131" spans="1:12" ht="17.25" customHeight="1" collapsed="1">
      <c r="A131" s="569" t="s">
        <v>464</v>
      </c>
      <c r="B131" s="565">
        <f>+B132+B133+B134+B135</f>
        <v>153195030.564</v>
      </c>
      <c r="C131" s="565"/>
      <c r="D131" s="565"/>
      <c r="E131" s="565"/>
      <c r="F131" s="565"/>
      <c r="G131" s="565">
        <f>+G132+G133+G134+G135</f>
        <v>152258742</v>
      </c>
      <c r="H131" s="565">
        <f>SUM(H132:H135)</f>
        <v>152258742</v>
      </c>
      <c r="I131" s="565"/>
      <c r="J131" s="565">
        <f t="shared" si="12"/>
        <v>152258742</v>
      </c>
      <c r="K131" s="565">
        <f t="shared" si="13"/>
        <v>-936288.5640000105</v>
      </c>
      <c r="L131" s="560">
        <f t="shared" si="14"/>
        <v>0.9938882575984809</v>
      </c>
    </row>
    <row r="132" spans="1:12" ht="14.25" hidden="1" outlineLevel="1">
      <c r="A132" s="568" t="s">
        <v>200</v>
      </c>
      <c r="B132" s="546">
        <v>96798278.56400001</v>
      </c>
      <c r="C132" s="546"/>
      <c r="D132" s="546"/>
      <c r="E132" s="546"/>
      <c r="F132" s="546"/>
      <c r="G132" s="546">
        <v>96137951</v>
      </c>
      <c r="H132" s="546">
        <f>+G132+F132+D132+C132</f>
        <v>96137951</v>
      </c>
      <c r="I132" s="546"/>
      <c r="J132" s="546">
        <f t="shared" si="12"/>
        <v>96137951</v>
      </c>
      <c r="K132" s="546">
        <f t="shared" si="13"/>
        <v>-660327.5640000105</v>
      </c>
      <c r="L132" s="563">
        <f t="shared" si="14"/>
        <v>0.9931783129432057</v>
      </c>
    </row>
    <row r="133" spans="1:12" ht="14.25" hidden="1" outlineLevel="1">
      <c r="A133" s="568" t="s">
        <v>465</v>
      </c>
      <c r="B133" s="546">
        <v>26551000</v>
      </c>
      <c r="C133" s="546"/>
      <c r="D133" s="546"/>
      <c r="E133" s="546"/>
      <c r="F133" s="546"/>
      <c r="G133" s="546">
        <v>26504149</v>
      </c>
      <c r="H133" s="546">
        <f>+G133+F133+D133+C133</f>
        <v>26504149</v>
      </c>
      <c r="I133" s="546"/>
      <c r="J133" s="546">
        <f t="shared" si="12"/>
        <v>26504149</v>
      </c>
      <c r="K133" s="546">
        <f t="shared" si="13"/>
        <v>-46851</v>
      </c>
      <c r="L133" s="563">
        <f t="shared" si="14"/>
        <v>0.9982354336936462</v>
      </c>
    </row>
    <row r="134" spans="1:12" ht="14.25" hidden="1" outlineLevel="1">
      <c r="A134" s="568" t="s">
        <v>466</v>
      </c>
      <c r="B134" s="546">
        <v>25845752</v>
      </c>
      <c r="C134" s="546"/>
      <c r="D134" s="546"/>
      <c r="E134" s="546"/>
      <c r="F134" s="546"/>
      <c r="G134" s="546">
        <v>25721897</v>
      </c>
      <c r="H134" s="546">
        <f>+G134+F134+D134+C134</f>
        <v>25721897</v>
      </c>
      <c r="I134" s="546"/>
      <c r="J134" s="546">
        <f t="shared" si="12"/>
        <v>25721897</v>
      </c>
      <c r="K134" s="546">
        <f t="shared" si="13"/>
        <v>-123855</v>
      </c>
      <c r="L134" s="563">
        <f t="shared" si="14"/>
        <v>0.9952079165659409</v>
      </c>
    </row>
    <row r="135" spans="1:12" ht="14.25" hidden="1" outlineLevel="1">
      <c r="A135" s="568" t="s">
        <v>426</v>
      </c>
      <c r="B135" s="546">
        <v>4000000</v>
      </c>
      <c r="C135" s="546"/>
      <c r="D135" s="546"/>
      <c r="E135" s="546"/>
      <c r="F135" s="546"/>
      <c r="G135" s="546">
        <v>3894745</v>
      </c>
      <c r="H135" s="546">
        <f>+G135+F135+D135+C135</f>
        <v>3894745</v>
      </c>
      <c r="I135" s="546"/>
      <c r="J135" s="546">
        <f aca="true" t="shared" si="19" ref="J135:J191">+H135+I135</f>
        <v>3894745</v>
      </c>
      <c r="K135" s="546">
        <f t="shared" si="13"/>
        <v>-105255</v>
      </c>
      <c r="L135" s="563">
        <f aca="true" t="shared" si="20" ref="L135:L191">+J135/B135</f>
        <v>0.97368625</v>
      </c>
    </row>
    <row r="136" spans="1:12" s="579" customFormat="1" ht="15" collapsed="1">
      <c r="A136" s="569" t="s">
        <v>467</v>
      </c>
      <c r="B136" s="565">
        <f>+B137+B138+B139+B140</f>
        <v>233884907.12335002</v>
      </c>
      <c r="C136" s="565"/>
      <c r="D136" s="565"/>
      <c r="E136" s="565"/>
      <c r="F136" s="565"/>
      <c r="G136" s="565">
        <f>+G137+G138+G139+G140</f>
        <v>228557535</v>
      </c>
      <c r="H136" s="565">
        <f>+G136+F136+D136+C136</f>
        <v>228557535</v>
      </c>
      <c r="I136" s="565"/>
      <c r="J136" s="565">
        <f t="shared" si="19"/>
        <v>228557535</v>
      </c>
      <c r="K136" s="565">
        <f t="shared" si="13"/>
        <v>-5327372.123350024</v>
      </c>
      <c r="L136" s="560">
        <f t="shared" si="20"/>
        <v>0.9772222492298728</v>
      </c>
    </row>
    <row r="137" spans="1:12" s="579" customFormat="1" ht="14.25" hidden="1" outlineLevel="1">
      <c r="A137" s="568" t="s">
        <v>468</v>
      </c>
      <c r="B137" s="546">
        <v>207334907.12335002</v>
      </c>
      <c r="C137" s="546"/>
      <c r="D137" s="546"/>
      <c r="E137" s="546"/>
      <c r="F137" s="546"/>
      <c r="G137" s="546">
        <v>203373921</v>
      </c>
      <c r="H137" s="546">
        <f aca="true" t="shared" si="21" ref="H137:H144">+G137+F137+D137+C137</f>
        <v>203373921</v>
      </c>
      <c r="I137" s="546"/>
      <c r="J137" s="546">
        <f t="shared" si="19"/>
        <v>203373921</v>
      </c>
      <c r="K137" s="546">
        <f aca="true" t="shared" si="22" ref="K137:K193">+J137-B137</f>
        <v>-3960986.123350024</v>
      </c>
      <c r="L137" s="563">
        <f t="shared" si="20"/>
        <v>0.9808957103350016</v>
      </c>
    </row>
    <row r="138" spans="1:12" s="579" customFormat="1" ht="14.25" hidden="1" outlineLevel="1">
      <c r="A138" s="568" t="s">
        <v>469</v>
      </c>
      <c r="B138" s="546">
        <v>800000</v>
      </c>
      <c r="C138" s="546"/>
      <c r="D138" s="546"/>
      <c r="E138" s="546"/>
      <c r="F138" s="546"/>
      <c r="G138" s="546">
        <v>798080</v>
      </c>
      <c r="H138" s="546">
        <f t="shared" si="21"/>
        <v>798080</v>
      </c>
      <c r="I138" s="546"/>
      <c r="J138" s="546">
        <f t="shared" si="19"/>
        <v>798080</v>
      </c>
      <c r="K138" s="546">
        <f t="shared" si="22"/>
        <v>-1920</v>
      </c>
      <c r="L138" s="563">
        <f t="shared" si="20"/>
        <v>0.9976</v>
      </c>
    </row>
    <row r="139" spans="1:12" s="579" customFormat="1" ht="14.25" hidden="1" outlineLevel="1">
      <c r="A139" s="568" t="s">
        <v>470</v>
      </c>
      <c r="B139" s="546">
        <v>21750000</v>
      </c>
      <c r="C139" s="546"/>
      <c r="D139" s="546"/>
      <c r="E139" s="546"/>
      <c r="F139" s="546"/>
      <c r="G139" s="546">
        <v>20385534</v>
      </c>
      <c r="H139" s="546">
        <f t="shared" si="21"/>
        <v>20385534</v>
      </c>
      <c r="I139" s="546"/>
      <c r="J139" s="546">
        <f t="shared" si="19"/>
        <v>20385534</v>
      </c>
      <c r="K139" s="546">
        <f t="shared" si="22"/>
        <v>-1364466</v>
      </c>
      <c r="L139" s="563">
        <f t="shared" si="20"/>
        <v>0.9372659310344827</v>
      </c>
    </row>
    <row r="140" spans="1:12" s="579" customFormat="1" ht="14.25" hidden="1" outlineLevel="1">
      <c r="A140" s="568" t="s">
        <v>426</v>
      </c>
      <c r="B140" s="546">
        <v>4000000</v>
      </c>
      <c r="C140" s="546"/>
      <c r="D140" s="546"/>
      <c r="E140" s="546"/>
      <c r="F140" s="546"/>
      <c r="G140" s="546">
        <v>4000000</v>
      </c>
      <c r="H140" s="546">
        <f t="shared" si="21"/>
        <v>4000000</v>
      </c>
      <c r="I140" s="546"/>
      <c r="J140" s="546">
        <f t="shared" si="19"/>
        <v>4000000</v>
      </c>
      <c r="K140" s="546">
        <f t="shared" si="22"/>
        <v>0</v>
      </c>
      <c r="L140" s="563">
        <f t="shared" si="20"/>
        <v>1</v>
      </c>
    </row>
    <row r="141" spans="1:12" s="579" customFormat="1" ht="15" collapsed="1">
      <c r="A141" s="569" t="s">
        <v>471</v>
      </c>
      <c r="B141" s="565">
        <f>+B142+B143+B144</f>
        <v>64896000</v>
      </c>
      <c r="C141" s="565"/>
      <c r="D141" s="565"/>
      <c r="E141" s="565"/>
      <c r="F141" s="565"/>
      <c r="G141" s="565">
        <f>+G142+G143+G144</f>
        <v>63759701</v>
      </c>
      <c r="H141" s="565">
        <f t="shared" si="21"/>
        <v>63759701</v>
      </c>
      <c r="I141" s="565"/>
      <c r="J141" s="565">
        <f t="shared" si="19"/>
        <v>63759701</v>
      </c>
      <c r="K141" s="565">
        <f t="shared" si="22"/>
        <v>-1136299</v>
      </c>
      <c r="L141" s="560">
        <f t="shared" si="20"/>
        <v>0.9824904616617357</v>
      </c>
    </row>
    <row r="142" spans="1:12" s="579" customFormat="1" ht="14.25" hidden="1" outlineLevel="1">
      <c r="A142" s="568" t="s">
        <v>472</v>
      </c>
      <c r="B142" s="546">
        <v>13941000</v>
      </c>
      <c r="C142" s="546"/>
      <c r="D142" s="546"/>
      <c r="E142" s="546"/>
      <c r="F142" s="546"/>
      <c r="G142" s="546">
        <v>13940070</v>
      </c>
      <c r="H142" s="546">
        <f t="shared" si="21"/>
        <v>13940070</v>
      </c>
      <c r="I142" s="546"/>
      <c r="J142" s="546">
        <f t="shared" si="19"/>
        <v>13940070</v>
      </c>
      <c r="K142" s="546">
        <f t="shared" si="22"/>
        <v>-930</v>
      </c>
      <c r="L142" s="563">
        <f t="shared" si="20"/>
        <v>0.9999332902948138</v>
      </c>
    </row>
    <row r="143" spans="1:12" s="579" customFormat="1" ht="14.25" hidden="1" outlineLevel="1">
      <c r="A143" s="568" t="s">
        <v>473</v>
      </c>
      <c r="B143" s="546">
        <v>50175000</v>
      </c>
      <c r="C143" s="546"/>
      <c r="D143" s="546"/>
      <c r="E143" s="546"/>
      <c r="F143" s="546"/>
      <c r="G143" s="546">
        <v>49043288</v>
      </c>
      <c r="H143" s="546">
        <f t="shared" si="21"/>
        <v>49043288</v>
      </c>
      <c r="I143" s="546"/>
      <c r="J143" s="546">
        <f t="shared" si="19"/>
        <v>49043288</v>
      </c>
      <c r="K143" s="546">
        <f t="shared" si="22"/>
        <v>-1131712</v>
      </c>
      <c r="L143" s="563">
        <f t="shared" si="20"/>
        <v>0.9774447035376184</v>
      </c>
    </row>
    <row r="144" spans="1:12" s="579" customFormat="1" ht="14.25" hidden="1" outlineLevel="1">
      <c r="A144" s="568" t="s">
        <v>474</v>
      </c>
      <c r="B144" s="546">
        <v>780000</v>
      </c>
      <c r="C144" s="546"/>
      <c r="D144" s="546"/>
      <c r="E144" s="546"/>
      <c r="F144" s="546"/>
      <c r="G144" s="546">
        <v>776343</v>
      </c>
      <c r="H144" s="546">
        <f t="shared" si="21"/>
        <v>776343</v>
      </c>
      <c r="I144" s="546"/>
      <c r="J144" s="546">
        <f t="shared" si="19"/>
        <v>776343</v>
      </c>
      <c r="K144" s="546">
        <f t="shared" si="22"/>
        <v>-3657</v>
      </c>
      <c r="L144" s="563">
        <f t="shared" si="20"/>
        <v>0.9953115384615384</v>
      </c>
    </row>
    <row r="145" spans="1:12" s="579" customFormat="1" ht="14.25" collapsed="1">
      <c r="A145" s="580"/>
      <c r="B145" s="543"/>
      <c r="C145" s="543"/>
      <c r="D145" s="543"/>
      <c r="E145" s="543"/>
      <c r="F145" s="543"/>
      <c r="G145" s="543"/>
      <c r="H145" s="543"/>
      <c r="I145" s="543"/>
      <c r="J145" s="543"/>
      <c r="K145" s="543"/>
      <c r="L145" s="544"/>
    </row>
    <row r="146" spans="1:12" s="558" customFormat="1" ht="30">
      <c r="A146" s="555" t="s">
        <v>475</v>
      </c>
      <c r="B146" s="556">
        <f>+B147+B150</f>
        <v>196627078.77640003</v>
      </c>
      <c r="C146" s="556">
        <f>+C147+C150</f>
        <v>181631063.05</v>
      </c>
      <c r="D146" s="556"/>
      <c r="E146" s="556"/>
      <c r="F146" s="556"/>
      <c r="G146" s="556"/>
      <c r="H146" s="556">
        <f>SUM(C146:G146)</f>
        <v>181631063.05</v>
      </c>
      <c r="I146" s="556"/>
      <c r="J146" s="556">
        <f t="shared" si="19"/>
        <v>181631063.05</v>
      </c>
      <c r="K146" s="556">
        <f t="shared" si="22"/>
        <v>-14996015.726400018</v>
      </c>
      <c r="L146" s="557">
        <f t="shared" si="20"/>
        <v>0.9237337206059336</v>
      </c>
    </row>
    <row r="147" spans="1:12" s="561" customFormat="1" ht="15">
      <c r="A147" s="559" t="s">
        <v>91</v>
      </c>
      <c r="B147" s="565">
        <f>+B148+B149</f>
        <v>151627078.77640003</v>
      </c>
      <c r="C147" s="565">
        <f>+C148+C149</f>
        <v>148372827.05</v>
      </c>
      <c r="D147" s="565"/>
      <c r="E147" s="565"/>
      <c r="F147" s="565"/>
      <c r="G147" s="565"/>
      <c r="H147" s="565">
        <f aca="true" t="shared" si="23" ref="H147:H153">+SUM(C147:G147)</f>
        <v>148372827.05</v>
      </c>
      <c r="I147" s="565"/>
      <c r="J147" s="565">
        <f t="shared" si="19"/>
        <v>148372827.05</v>
      </c>
      <c r="K147" s="565">
        <f t="shared" si="22"/>
        <v>-3254251.7264000177</v>
      </c>
      <c r="L147" s="560">
        <f t="shared" si="20"/>
        <v>0.9785377931655667</v>
      </c>
    </row>
    <row r="148" spans="1:12" s="561" customFormat="1" ht="14.25" hidden="1" outlineLevel="1">
      <c r="A148" s="573" t="s">
        <v>476</v>
      </c>
      <c r="B148" s="552">
        <v>112590507.26440002</v>
      </c>
      <c r="C148" s="552">
        <v>110253194.05</v>
      </c>
      <c r="D148" s="552"/>
      <c r="E148" s="552"/>
      <c r="F148" s="552"/>
      <c r="G148" s="552"/>
      <c r="H148" s="552">
        <f t="shared" si="23"/>
        <v>110253194.05</v>
      </c>
      <c r="I148" s="552"/>
      <c r="J148" s="552">
        <f t="shared" si="19"/>
        <v>110253194.05</v>
      </c>
      <c r="K148" s="552">
        <f t="shared" si="22"/>
        <v>-2337313.214400023</v>
      </c>
      <c r="L148" s="563">
        <f t="shared" si="20"/>
        <v>0.9792405836762842</v>
      </c>
    </row>
    <row r="149" spans="1:12" s="561" customFormat="1" ht="14.25" hidden="1" outlineLevel="1">
      <c r="A149" s="573" t="s">
        <v>93</v>
      </c>
      <c r="B149" s="552">
        <v>39036571.512</v>
      </c>
      <c r="C149" s="552">
        <v>38119633</v>
      </c>
      <c r="D149" s="552"/>
      <c r="E149" s="552"/>
      <c r="F149" s="552"/>
      <c r="G149" s="552"/>
      <c r="H149" s="552">
        <f t="shared" si="23"/>
        <v>38119633</v>
      </c>
      <c r="I149" s="552"/>
      <c r="J149" s="552">
        <f t="shared" si="19"/>
        <v>38119633</v>
      </c>
      <c r="K149" s="552">
        <f t="shared" si="22"/>
        <v>-916938.512000002</v>
      </c>
      <c r="L149" s="563">
        <f t="shared" si="20"/>
        <v>0.9765107826716255</v>
      </c>
    </row>
    <row r="150" spans="1:12" s="561" customFormat="1" ht="15" collapsed="1">
      <c r="A150" s="559" t="s">
        <v>477</v>
      </c>
      <c r="B150" s="565">
        <f>SUM(B151:B153)</f>
        <v>45000000</v>
      </c>
      <c r="C150" s="565">
        <f>SUM(C151:C153)</f>
        <v>33258236</v>
      </c>
      <c r="D150" s="565"/>
      <c r="E150" s="565"/>
      <c r="F150" s="565"/>
      <c r="G150" s="565"/>
      <c r="H150" s="565">
        <f t="shared" si="23"/>
        <v>33258236</v>
      </c>
      <c r="I150" s="565"/>
      <c r="J150" s="565">
        <f t="shared" si="19"/>
        <v>33258236</v>
      </c>
      <c r="K150" s="565">
        <f t="shared" si="22"/>
        <v>-11741764</v>
      </c>
      <c r="L150" s="560">
        <f t="shared" si="20"/>
        <v>0.7390719111111111</v>
      </c>
    </row>
    <row r="151" spans="1:12" s="561" customFormat="1" ht="14.25" hidden="1" outlineLevel="1">
      <c r="A151" s="573" t="s">
        <v>478</v>
      </c>
      <c r="B151" s="552">
        <v>0</v>
      </c>
      <c r="C151" s="552">
        <v>0</v>
      </c>
      <c r="D151" s="552"/>
      <c r="E151" s="552"/>
      <c r="F151" s="552"/>
      <c r="G151" s="552"/>
      <c r="H151" s="552">
        <f t="shared" si="23"/>
        <v>0</v>
      </c>
      <c r="I151" s="552"/>
      <c r="J151" s="552">
        <f t="shared" si="19"/>
        <v>0</v>
      </c>
      <c r="K151" s="552">
        <f t="shared" si="22"/>
        <v>0</v>
      </c>
      <c r="L151" s="563">
        <v>0</v>
      </c>
    </row>
    <row r="152" spans="1:12" s="561" customFormat="1" ht="14.25" hidden="1" outlineLevel="1">
      <c r="A152" s="573" t="s">
        <v>479</v>
      </c>
      <c r="B152" s="552">
        <v>0</v>
      </c>
      <c r="C152" s="552">
        <v>0</v>
      </c>
      <c r="D152" s="552"/>
      <c r="E152" s="552"/>
      <c r="F152" s="552"/>
      <c r="G152" s="552"/>
      <c r="H152" s="552">
        <f t="shared" si="23"/>
        <v>0</v>
      </c>
      <c r="I152" s="552"/>
      <c r="J152" s="552">
        <f t="shared" si="19"/>
        <v>0</v>
      </c>
      <c r="K152" s="552">
        <f t="shared" si="22"/>
        <v>0</v>
      </c>
      <c r="L152" s="563">
        <v>0</v>
      </c>
    </row>
    <row r="153" spans="1:12" s="561" customFormat="1" ht="14.25" hidden="1" outlineLevel="1">
      <c r="A153" s="573" t="s">
        <v>519</v>
      </c>
      <c r="B153" s="552">
        <v>45000000</v>
      </c>
      <c r="C153" s="552">
        <v>33258236</v>
      </c>
      <c r="D153" s="552"/>
      <c r="E153" s="552"/>
      <c r="F153" s="552"/>
      <c r="G153" s="552"/>
      <c r="H153" s="552">
        <f t="shared" si="23"/>
        <v>33258236</v>
      </c>
      <c r="I153" s="552"/>
      <c r="J153" s="552">
        <f t="shared" si="19"/>
        <v>33258236</v>
      </c>
      <c r="K153" s="552">
        <f t="shared" si="22"/>
        <v>-11741764</v>
      </c>
      <c r="L153" s="563">
        <f t="shared" si="20"/>
        <v>0.7390719111111111</v>
      </c>
    </row>
    <row r="154" spans="1:12" s="561" customFormat="1" ht="14.25" collapsed="1">
      <c r="A154" s="573"/>
      <c r="B154" s="552"/>
      <c r="C154" s="552"/>
      <c r="D154" s="552"/>
      <c r="E154" s="552"/>
      <c r="F154" s="552"/>
      <c r="G154" s="552"/>
      <c r="H154" s="552"/>
      <c r="I154" s="552"/>
      <c r="J154" s="552"/>
      <c r="K154" s="552"/>
      <c r="L154" s="563"/>
    </row>
    <row r="155" spans="1:12" s="558" customFormat="1" ht="29.25" customHeight="1">
      <c r="A155" s="555" t="s">
        <v>482</v>
      </c>
      <c r="B155" s="556">
        <f>+B156+B161</f>
        <v>465265110.13275003</v>
      </c>
      <c r="C155" s="556">
        <f>+C156+C161</f>
        <v>379233094</v>
      </c>
      <c r="D155" s="556"/>
      <c r="E155" s="556"/>
      <c r="F155" s="556"/>
      <c r="G155" s="556"/>
      <c r="H155" s="556">
        <f>SUM(C155:G155)</f>
        <v>379233094</v>
      </c>
      <c r="I155" s="556"/>
      <c r="J155" s="556">
        <f t="shared" si="19"/>
        <v>379233094</v>
      </c>
      <c r="K155" s="556">
        <f t="shared" si="22"/>
        <v>-86032016.13275003</v>
      </c>
      <c r="L155" s="557">
        <f t="shared" si="20"/>
        <v>0.8150903339642139</v>
      </c>
    </row>
    <row r="156" spans="1:12" s="561" customFormat="1" ht="15">
      <c r="A156" s="559" t="s">
        <v>94</v>
      </c>
      <c r="B156" s="565">
        <f>+B157+B158+B159+B160</f>
        <v>364718990.13275003</v>
      </c>
      <c r="C156" s="565">
        <f>+C157+C158+C159+C160</f>
        <v>325999218</v>
      </c>
      <c r="D156" s="565"/>
      <c r="E156" s="565"/>
      <c r="F156" s="565"/>
      <c r="G156" s="565"/>
      <c r="H156" s="565">
        <f aca="true" t="shared" si="24" ref="H156:H162">+SUM(C156:G156)</f>
        <v>325999218</v>
      </c>
      <c r="I156" s="565"/>
      <c r="J156" s="565">
        <f t="shared" si="19"/>
        <v>325999218</v>
      </c>
      <c r="K156" s="565">
        <f t="shared" si="22"/>
        <v>-38719772.132750034</v>
      </c>
      <c r="L156" s="560">
        <f t="shared" si="20"/>
        <v>0.8938366984437611</v>
      </c>
    </row>
    <row r="157" spans="1:12" s="561" customFormat="1" ht="14.25" hidden="1" outlineLevel="1">
      <c r="A157" s="573" t="s">
        <v>95</v>
      </c>
      <c r="B157" s="546">
        <v>128422719.63275</v>
      </c>
      <c r="C157" s="546">
        <v>121334305</v>
      </c>
      <c r="D157" s="546"/>
      <c r="E157" s="546"/>
      <c r="F157" s="546"/>
      <c r="G157" s="546"/>
      <c r="H157" s="546">
        <f t="shared" si="24"/>
        <v>121334305</v>
      </c>
      <c r="I157" s="546"/>
      <c r="J157" s="546">
        <f t="shared" si="19"/>
        <v>121334305</v>
      </c>
      <c r="K157" s="546">
        <f t="shared" si="22"/>
        <v>-7088414.6327500045</v>
      </c>
      <c r="L157" s="563">
        <f t="shared" si="20"/>
        <v>0.9448040451641211</v>
      </c>
    </row>
    <row r="158" spans="1:12" s="561" customFormat="1" ht="14.25" hidden="1" outlineLevel="1">
      <c r="A158" s="573" t="s">
        <v>483</v>
      </c>
      <c r="B158" s="546">
        <v>22373425.5</v>
      </c>
      <c r="C158" s="546">
        <v>22373425</v>
      </c>
      <c r="D158" s="546"/>
      <c r="E158" s="546"/>
      <c r="F158" s="546"/>
      <c r="G158" s="546"/>
      <c r="H158" s="546">
        <f t="shared" si="24"/>
        <v>22373425</v>
      </c>
      <c r="I158" s="546"/>
      <c r="J158" s="546">
        <f t="shared" si="19"/>
        <v>22373425</v>
      </c>
      <c r="K158" s="546">
        <f t="shared" si="22"/>
        <v>-0.5</v>
      </c>
      <c r="L158" s="563">
        <f t="shared" si="20"/>
        <v>0.9999999776520587</v>
      </c>
    </row>
    <row r="159" spans="1:12" s="561" customFormat="1" ht="14.25" hidden="1" outlineLevel="1">
      <c r="A159" s="581" t="s">
        <v>140</v>
      </c>
      <c r="B159" s="546">
        <v>78853550</v>
      </c>
      <c r="C159" s="546">
        <v>50792562</v>
      </c>
      <c r="D159" s="546"/>
      <c r="E159" s="546"/>
      <c r="F159" s="546"/>
      <c r="G159" s="546"/>
      <c r="H159" s="546">
        <f t="shared" si="24"/>
        <v>50792562</v>
      </c>
      <c r="I159" s="546"/>
      <c r="J159" s="546">
        <f t="shared" si="19"/>
        <v>50792562</v>
      </c>
      <c r="K159" s="546">
        <f t="shared" si="22"/>
        <v>-28060988</v>
      </c>
      <c r="L159" s="563">
        <f t="shared" si="20"/>
        <v>0.6441379240376622</v>
      </c>
    </row>
    <row r="160" spans="1:12" s="561" customFormat="1" ht="14.25" hidden="1" outlineLevel="1">
      <c r="A160" s="582" t="s">
        <v>218</v>
      </c>
      <c r="B160" s="546">
        <v>135069295</v>
      </c>
      <c r="C160" s="546">
        <v>131498926</v>
      </c>
      <c r="D160" s="546"/>
      <c r="E160" s="546"/>
      <c r="F160" s="546"/>
      <c r="G160" s="546"/>
      <c r="H160" s="546">
        <f t="shared" si="24"/>
        <v>131498926</v>
      </c>
      <c r="I160" s="546"/>
      <c r="J160" s="546">
        <f t="shared" si="19"/>
        <v>131498926</v>
      </c>
      <c r="K160" s="546">
        <f t="shared" si="22"/>
        <v>-3570369</v>
      </c>
      <c r="L160" s="563">
        <f t="shared" si="20"/>
        <v>0.9735663904960783</v>
      </c>
    </row>
    <row r="161" spans="1:12" s="561" customFormat="1" ht="15" collapsed="1">
      <c r="A161" s="559" t="s">
        <v>484</v>
      </c>
      <c r="B161" s="565">
        <f>+B162</f>
        <v>100546120</v>
      </c>
      <c r="C161" s="565">
        <f>+C162</f>
        <v>53233876</v>
      </c>
      <c r="D161" s="565"/>
      <c r="E161" s="565"/>
      <c r="F161" s="565"/>
      <c r="G161" s="565"/>
      <c r="H161" s="565">
        <f t="shared" si="24"/>
        <v>53233876</v>
      </c>
      <c r="I161" s="565"/>
      <c r="J161" s="565">
        <f t="shared" si="19"/>
        <v>53233876</v>
      </c>
      <c r="K161" s="565">
        <f t="shared" si="22"/>
        <v>-47312244</v>
      </c>
      <c r="L161" s="560">
        <f t="shared" si="20"/>
        <v>0.5294473421749144</v>
      </c>
    </row>
    <row r="162" spans="1:12" s="561" customFormat="1" ht="14.25" hidden="1" outlineLevel="1">
      <c r="A162" s="573" t="s">
        <v>484</v>
      </c>
      <c r="B162" s="546">
        <v>100546120</v>
      </c>
      <c r="C162" s="546">
        <v>53233876</v>
      </c>
      <c r="D162" s="546"/>
      <c r="E162" s="546"/>
      <c r="F162" s="546"/>
      <c r="G162" s="546"/>
      <c r="H162" s="546">
        <f t="shared" si="24"/>
        <v>53233876</v>
      </c>
      <c r="I162" s="546"/>
      <c r="J162" s="546">
        <f t="shared" si="19"/>
        <v>53233876</v>
      </c>
      <c r="K162" s="546">
        <f t="shared" si="22"/>
        <v>-47312244</v>
      </c>
      <c r="L162" s="563">
        <f t="shared" si="20"/>
        <v>0.5294473421749144</v>
      </c>
    </row>
    <row r="163" spans="1:12" s="561" customFormat="1" ht="15" collapsed="1">
      <c r="A163" s="583"/>
      <c r="B163" s="543"/>
      <c r="C163" s="543"/>
      <c r="D163" s="543"/>
      <c r="E163" s="543"/>
      <c r="F163" s="543"/>
      <c r="G163" s="543"/>
      <c r="H163" s="543"/>
      <c r="I163" s="543"/>
      <c r="J163" s="543"/>
      <c r="K163" s="543"/>
      <c r="L163" s="560"/>
    </row>
    <row r="164" spans="1:12" s="558" customFormat="1" ht="30">
      <c r="A164" s="555" t="s">
        <v>485</v>
      </c>
      <c r="B164" s="556">
        <f>+B165+B170</f>
        <v>765137938.7941864</v>
      </c>
      <c r="C164" s="556"/>
      <c r="D164" s="556"/>
      <c r="E164" s="556">
        <f>+E165+E170</f>
        <v>684060594</v>
      </c>
      <c r="F164" s="556"/>
      <c r="G164" s="556"/>
      <c r="H164" s="556">
        <f>+C164+D164+E164+F164+G164</f>
        <v>684060594</v>
      </c>
      <c r="I164" s="556"/>
      <c r="J164" s="556">
        <f t="shared" si="19"/>
        <v>684060594</v>
      </c>
      <c r="K164" s="556">
        <f t="shared" si="22"/>
        <v>-81077344.79418635</v>
      </c>
      <c r="L164" s="557">
        <f t="shared" si="20"/>
        <v>0.8940356494124972</v>
      </c>
    </row>
    <row r="165" spans="1:12" ht="15">
      <c r="A165" s="559" t="s">
        <v>486</v>
      </c>
      <c r="B165" s="548">
        <f>+B166</f>
        <v>202000000</v>
      </c>
      <c r="C165" s="548"/>
      <c r="D165" s="548"/>
      <c r="E165" s="548">
        <f>+E166</f>
        <v>180150917</v>
      </c>
      <c r="F165" s="548"/>
      <c r="G165" s="548"/>
      <c r="H165" s="548">
        <f>+C165+D165+E165+F165+G165</f>
        <v>180150917</v>
      </c>
      <c r="I165" s="548"/>
      <c r="J165" s="548">
        <f t="shared" si="19"/>
        <v>180150917</v>
      </c>
      <c r="K165" s="565">
        <f t="shared" si="22"/>
        <v>-21849083</v>
      </c>
      <c r="L165" s="560">
        <f t="shared" si="20"/>
        <v>0.8918362227722773</v>
      </c>
    </row>
    <row r="166" spans="1:12" ht="15">
      <c r="A166" s="559" t="s">
        <v>99</v>
      </c>
      <c r="B166" s="585">
        <f>+B167+B168</f>
        <v>202000000</v>
      </c>
      <c r="C166" s="585"/>
      <c r="D166" s="585"/>
      <c r="E166" s="585">
        <f>+E167+E168</f>
        <v>180150917</v>
      </c>
      <c r="F166" s="585"/>
      <c r="G166" s="585"/>
      <c r="H166" s="585">
        <f>+C166+D166+E166+F166+G166</f>
        <v>180150917</v>
      </c>
      <c r="I166" s="585"/>
      <c r="J166" s="585">
        <f t="shared" si="19"/>
        <v>180150917</v>
      </c>
      <c r="K166" s="565">
        <f t="shared" si="22"/>
        <v>-21849083</v>
      </c>
      <c r="L166" s="560">
        <f t="shared" si="20"/>
        <v>0.8918362227722773</v>
      </c>
    </row>
    <row r="167" spans="1:12" ht="14.25" hidden="1" outlineLevel="1">
      <c r="A167" s="566" t="s">
        <v>487</v>
      </c>
      <c r="B167" s="584">
        <v>125000000</v>
      </c>
      <c r="C167" s="584"/>
      <c r="D167" s="584"/>
      <c r="E167" s="584">
        <v>109737912</v>
      </c>
      <c r="F167" s="584"/>
      <c r="G167" s="584"/>
      <c r="H167" s="584">
        <f>+C167+D167+E167+F167+G167</f>
        <v>109737912</v>
      </c>
      <c r="I167" s="584"/>
      <c r="J167" s="584">
        <f t="shared" si="19"/>
        <v>109737912</v>
      </c>
      <c r="K167" s="584">
        <f t="shared" si="22"/>
        <v>-15262088</v>
      </c>
      <c r="L167" s="563">
        <f t="shared" si="20"/>
        <v>0.877903296</v>
      </c>
    </row>
    <row r="168" spans="1:12" ht="14.25" hidden="1" outlineLevel="1">
      <c r="A168" s="566" t="s">
        <v>488</v>
      </c>
      <c r="B168" s="584">
        <v>77000000</v>
      </c>
      <c r="C168" s="584"/>
      <c r="D168" s="584"/>
      <c r="E168" s="584">
        <v>70413005</v>
      </c>
      <c r="F168" s="584"/>
      <c r="G168" s="584"/>
      <c r="H168" s="584">
        <f>+C168+D168+E168+F168+G168</f>
        <v>70413005</v>
      </c>
      <c r="I168" s="584"/>
      <c r="J168" s="584">
        <f t="shared" si="19"/>
        <v>70413005</v>
      </c>
      <c r="K168" s="584">
        <f t="shared" si="22"/>
        <v>-6586995</v>
      </c>
      <c r="L168" s="563">
        <f t="shared" si="20"/>
        <v>0.9144546103896104</v>
      </c>
    </row>
    <row r="169" spans="1:12" ht="14.25" collapsed="1">
      <c r="A169" s="566"/>
      <c r="B169" s="584"/>
      <c r="C169" s="584"/>
      <c r="D169" s="584"/>
      <c r="E169" s="584"/>
      <c r="F169" s="584"/>
      <c r="G169" s="584"/>
      <c r="H169" s="584"/>
      <c r="I169" s="584"/>
      <c r="J169" s="584"/>
      <c r="K169" s="584">
        <f t="shared" si="22"/>
        <v>0</v>
      </c>
      <c r="L169" s="563"/>
    </row>
    <row r="170" spans="1:12" ht="15">
      <c r="A170" s="559" t="s">
        <v>489</v>
      </c>
      <c r="B170" s="585">
        <f>+B171+B176</f>
        <v>563137938.7941864</v>
      </c>
      <c r="C170" s="585"/>
      <c r="D170" s="585"/>
      <c r="E170" s="585">
        <f>+E171+E176</f>
        <v>503909677</v>
      </c>
      <c r="F170" s="585"/>
      <c r="G170" s="585"/>
      <c r="H170" s="585">
        <f aca="true" t="shared" si="25" ref="H170:H183">+C170+D170+E170+F170+G170</f>
        <v>503909677</v>
      </c>
      <c r="I170" s="585"/>
      <c r="J170" s="585">
        <f t="shared" si="19"/>
        <v>503909677</v>
      </c>
      <c r="K170" s="565">
        <f t="shared" si="22"/>
        <v>-59228261.79418635</v>
      </c>
      <c r="L170" s="560">
        <f t="shared" si="20"/>
        <v>0.8948245932053374</v>
      </c>
    </row>
    <row r="171" spans="1:12" ht="15">
      <c r="A171" s="586" t="s">
        <v>490</v>
      </c>
      <c r="B171" s="585">
        <f>SUM(B172:B175)</f>
        <v>159527098.79418635</v>
      </c>
      <c r="C171" s="585"/>
      <c r="D171" s="585"/>
      <c r="E171" s="585">
        <f>SUM(E172:E175)</f>
        <v>150795587</v>
      </c>
      <c r="F171" s="585"/>
      <c r="G171" s="585"/>
      <c r="H171" s="585">
        <f t="shared" si="25"/>
        <v>150795587</v>
      </c>
      <c r="I171" s="585"/>
      <c r="J171" s="585">
        <f t="shared" si="19"/>
        <v>150795587</v>
      </c>
      <c r="K171" s="565">
        <f t="shared" si="22"/>
        <v>-8731511.794186354</v>
      </c>
      <c r="L171" s="560">
        <f t="shared" si="20"/>
        <v>0.9452662785182893</v>
      </c>
    </row>
    <row r="172" spans="1:12" ht="15" hidden="1" outlineLevel="1">
      <c r="A172" s="578" t="s">
        <v>491</v>
      </c>
      <c r="B172" s="584">
        <v>27807448.794186354</v>
      </c>
      <c r="C172" s="584"/>
      <c r="D172" s="584"/>
      <c r="E172" s="584">
        <v>22670940</v>
      </c>
      <c r="F172" s="584"/>
      <c r="G172" s="584"/>
      <c r="H172" s="584">
        <f t="shared" si="25"/>
        <v>22670940</v>
      </c>
      <c r="I172" s="584"/>
      <c r="J172" s="584">
        <f t="shared" si="19"/>
        <v>22670940</v>
      </c>
      <c r="K172" s="565">
        <f t="shared" si="22"/>
        <v>-5136508.794186354</v>
      </c>
      <c r="L172" s="563">
        <f t="shared" si="20"/>
        <v>0.815282990100831</v>
      </c>
    </row>
    <row r="173" spans="1:12" ht="15" hidden="1" outlineLevel="1">
      <c r="A173" s="578" t="s">
        <v>492</v>
      </c>
      <c r="B173" s="584">
        <v>75611530</v>
      </c>
      <c r="C173" s="584"/>
      <c r="D173" s="584"/>
      <c r="E173" s="584">
        <v>75102122</v>
      </c>
      <c r="F173" s="584"/>
      <c r="G173" s="584"/>
      <c r="H173" s="584">
        <f t="shared" si="25"/>
        <v>75102122</v>
      </c>
      <c r="I173" s="584"/>
      <c r="J173" s="584">
        <f t="shared" si="19"/>
        <v>75102122</v>
      </c>
      <c r="K173" s="565">
        <f t="shared" si="22"/>
        <v>-509408</v>
      </c>
      <c r="L173" s="563">
        <f t="shared" si="20"/>
        <v>0.9932628264498814</v>
      </c>
    </row>
    <row r="174" spans="1:12" ht="15" hidden="1" outlineLevel="1">
      <c r="A174" s="578" t="s">
        <v>493</v>
      </c>
      <c r="B174" s="584">
        <v>42828120</v>
      </c>
      <c r="C174" s="584"/>
      <c r="D174" s="584"/>
      <c r="E174" s="584">
        <v>41903826</v>
      </c>
      <c r="F174" s="584"/>
      <c r="G174" s="584"/>
      <c r="H174" s="584">
        <f t="shared" si="25"/>
        <v>41903826</v>
      </c>
      <c r="I174" s="584"/>
      <c r="J174" s="584">
        <f t="shared" si="19"/>
        <v>41903826</v>
      </c>
      <c r="K174" s="565">
        <f t="shared" si="22"/>
        <v>-924294</v>
      </c>
      <c r="L174" s="563">
        <f t="shared" si="20"/>
        <v>0.978418525025147</v>
      </c>
    </row>
    <row r="175" spans="1:12" ht="15" hidden="1" outlineLevel="1">
      <c r="A175" s="578" t="s">
        <v>494</v>
      </c>
      <c r="B175" s="584">
        <v>13280000</v>
      </c>
      <c r="C175" s="584"/>
      <c r="D175" s="584"/>
      <c r="E175" s="584">
        <v>11118699</v>
      </c>
      <c r="F175" s="584"/>
      <c r="G175" s="584"/>
      <c r="H175" s="584">
        <f t="shared" si="25"/>
        <v>11118699</v>
      </c>
      <c r="I175" s="584"/>
      <c r="J175" s="584">
        <f t="shared" si="19"/>
        <v>11118699</v>
      </c>
      <c r="K175" s="565">
        <f t="shared" si="22"/>
        <v>-2161301</v>
      </c>
      <c r="L175" s="563">
        <f t="shared" si="20"/>
        <v>0.8372514307228915</v>
      </c>
    </row>
    <row r="176" spans="1:12" ht="15" collapsed="1">
      <c r="A176" s="586" t="s">
        <v>495</v>
      </c>
      <c r="B176" s="585">
        <f>+B177+B178+B179+B180+B182+B181+B183</f>
        <v>403610840</v>
      </c>
      <c r="C176" s="585"/>
      <c r="D176" s="585"/>
      <c r="E176" s="585">
        <f>+E177+E178+E179+E180+E182+E181+E183</f>
        <v>353114090</v>
      </c>
      <c r="F176" s="585"/>
      <c r="G176" s="585"/>
      <c r="H176" s="585">
        <f t="shared" si="25"/>
        <v>353114090</v>
      </c>
      <c r="I176" s="585"/>
      <c r="J176" s="585">
        <f t="shared" si="19"/>
        <v>353114090</v>
      </c>
      <c r="K176" s="565">
        <f t="shared" si="22"/>
        <v>-50496750</v>
      </c>
      <c r="L176" s="560">
        <f t="shared" si="20"/>
        <v>0.8748875277978163</v>
      </c>
    </row>
    <row r="177" spans="1:12" ht="14.25" hidden="1" outlineLevel="1">
      <c r="A177" s="566" t="s">
        <v>496</v>
      </c>
      <c r="B177" s="584">
        <v>78035000</v>
      </c>
      <c r="C177" s="584"/>
      <c r="D177" s="584"/>
      <c r="E177" s="584">
        <v>60527927</v>
      </c>
      <c r="F177" s="584"/>
      <c r="G177" s="584"/>
      <c r="H177" s="584">
        <f t="shared" si="25"/>
        <v>60527927</v>
      </c>
      <c r="I177" s="584"/>
      <c r="J177" s="584">
        <f t="shared" si="19"/>
        <v>60527927</v>
      </c>
      <c r="K177" s="584">
        <f t="shared" si="22"/>
        <v>-17507073</v>
      </c>
      <c r="L177" s="563">
        <f t="shared" si="20"/>
        <v>0.7756510155699365</v>
      </c>
    </row>
    <row r="178" spans="1:12" ht="14.25" hidden="1" outlineLevel="1">
      <c r="A178" s="566" t="s">
        <v>497</v>
      </c>
      <c r="B178" s="584">
        <v>101361440</v>
      </c>
      <c r="C178" s="584"/>
      <c r="D178" s="584"/>
      <c r="E178" s="584">
        <v>92709858</v>
      </c>
      <c r="F178" s="584"/>
      <c r="G178" s="584"/>
      <c r="H178" s="584">
        <f t="shared" si="25"/>
        <v>92709858</v>
      </c>
      <c r="I178" s="584"/>
      <c r="J178" s="584">
        <f t="shared" si="19"/>
        <v>92709858</v>
      </c>
      <c r="K178" s="584">
        <f t="shared" si="22"/>
        <v>-8651582</v>
      </c>
      <c r="L178" s="563">
        <f t="shared" si="20"/>
        <v>0.9146462204956836</v>
      </c>
    </row>
    <row r="179" spans="1:12" ht="14.25" hidden="1" outlineLevel="1">
      <c r="A179" s="566" t="s">
        <v>498</v>
      </c>
      <c r="B179" s="584">
        <v>56453400</v>
      </c>
      <c r="C179" s="584"/>
      <c r="D179" s="584"/>
      <c r="E179" s="584">
        <v>48817914</v>
      </c>
      <c r="F179" s="584"/>
      <c r="G179" s="584"/>
      <c r="H179" s="584">
        <f t="shared" si="25"/>
        <v>48817914</v>
      </c>
      <c r="I179" s="584"/>
      <c r="J179" s="584">
        <f t="shared" si="19"/>
        <v>48817914</v>
      </c>
      <c r="K179" s="584">
        <f t="shared" si="22"/>
        <v>-7635486</v>
      </c>
      <c r="L179" s="563">
        <f t="shared" si="20"/>
        <v>0.8647471011489122</v>
      </c>
    </row>
    <row r="180" spans="1:12" ht="14.25" hidden="1" outlineLevel="1">
      <c r="A180" s="566" t="s">
        <v>499</v>
      </c>
      <c r="B180" s="584">
        <v>6580000</v>
      </c>
      <c r="C180" s="584"/>
      <c r="D180" s="584"/>
      <c r="E180" s="584">
        <v>6060181</v>
      </c>
      <c r="F180" s="584"/>
      <c r="G180" s="584"/>
      <c r="H180" s="584">
        <f t="shared" si="25"/>
        <v>6060181</v>
      </c>
      <c r="I180" s="584"/>
      <c r="J180" s="584">
        <f t="shared" si="19"/>
        <v>6060181</v>
      </c>
      <c r="K180" s="584">
        <f t="shared" si="22"/>
        <v>-519819</v>
      </c>
      <c r="L180" s="563">
        <f t="shared" si="20"/>
        <v>0.9210001519756839</v>
      </c>
    </row>
    <row r="181" spans="1:12" ht="14.25" hidden="1" outlineLevel="1">
      <c r="A181" s="566" t="s">
        <v>500</v>
      </c>
      <c r="B181" s="584">
        <v>43496000</v>
      </c>
      <c r="C181" s="584"/>
      <c r="D181" s="584"/>
      <c r="E181" s="584">
        <v>31694564</v>
      </c>
      <c r="F181" s="584"/>
      <c r="G181" s="584"/>
      <c r="H181" s="584">
        <f t="shared" si="25"/>
        <v>31694564</v>
      </c>
      <c r="I181" s="584"/>
      <c r="J181" s="584">
        <f t="shared" si="19"/>
        <v>31694564</v>
      </c>
      <c r="K181" s="584">
        <f t="shared" si="22"/>
        <v>-11801436</v>
      </c>
      <c r="L181" s="563">
        <f t="shared" si="20"/>
        <v>0.7286776715100239</v>
      </c>
    </row>
    <row r="182" spans="1:12" ht="14.25" hidden="1" outlineLevel="1">
      <c r="A182" s="566" t="s">
        <v>501</v>
      </c>
      <c r="B182" s="584">
        <v>62685000</v>
      </c>
      <c r="C182" s="584"/>
      <c r="D182" s="584"/>
      <c r="E182" s="584">
        <v>59803646</v>
      </c>
      <c r="F182" s="584"/>
      <c r="G182" s="584"/>
      <c r="H182" s="584">
        <f t="shared" si="25"/>
        <v>59803646</v>
      </c>
      <c r="I182" s="584"/>
      <c r="J182" s="584">
        <f t="shared" si="19"/>
        <v>59803646</v>
      </c>
      <c r="K182" s="584">
        <f t="shared" si="22"/>
        <v>-2881354</v>
      </c>
      <c r="L182" s="563">
        <f t="shared" si="20"/>
        <v>0.9540343941931881</v>
      </c>
    </row>
    <row r="183" spans="1:12" ht="14.25" hidden="1" outlineLevel="1">
      <c r="A183" s="566" t="s">
        <v>502</v>
      </c>
      <c r="B183" s="584">
        <v>55000000</v>
      </c>
      <c r="C183" s="584"/>
      <c r="D183" s="584"/>
      <c r="E183" s="584">
        <v>53500000</v>
      </c>
      <c r="F183" s="584"/>
      <c r="G183" s="584"/>
      <c r="H183" s="584">
        <f t="shared" si="25"/>
        <v>53500000</v>
      </c>
      <c r="I183" s="584"/>
      <c r="J183" s="584">
        <f t="shared" si="19"/>
        <v>53500000</v>
      </c>
      <c r="K183" s="584">
        <f t="shared" si="22"/>
        <v>-1500000</v>
      </c>
      <c r="L183" s="563">
        <f t="shared" si="20"/>
        <v>0.9727272727272728</v>
      </c>
    </row>
    <row r="184" spans="1:12" ht="15" collapsed="1">
      <c r="A184" s="572"/>
      <c r="B184" s="548"/>
      <c r="C184" s="548"/>
      <c r="D184" s="548"/>
      <c r="E184" s="548"/>
      <c r="F184" s="548"/>
      <c r="G184" s="548"/>
      <c r="H184" s="548"/>
      <c r="I184" s="548"/>
      <c r="J184" s="548"/>
      <c r="K184" s="548"/>
      <c r="L184" s="560"/>
    </row>
    <row r="185" spans="1:12" ht="15">
      <c r="A185" s="587" t="s">
        <v>58</v>
      </c>
      <c r="B185" s="553">
        <f>+B186+B187</f>
        <v>1700748351.4595</v>
      </c>
      <c r="C185" s="553"/>
      <c r="D185" s="553"/>
      <c r="E185" s="553"/>
      <c r="F185" s="553"/>
      <c r="G185" s="553"/>
      <c r="H185" s="553"/>
      <c r="I185" s="553">
        <f>+I186+I187</f>
        <v>1791727116</v>
      </c>
      <c r="J185" s="553">
        <f t="shared" si="19"/>
        <v>1791727116</v>
      </c>
      <c r="K185" s="553">
        <f t="shared" si="22"/>
        <v>90978764.54049993</v>
      </c>
      <c r="L185" s="540">
        <f t="shared" si="20"/>
        <v>1.0534933721749171</v>
      </c>
    </row>
    <row r="186" spans="1:12" ht="14.25" hidden="1" outlineLevel="1">
      <c r="A186" s="589" t="s">
        <v>503</v>
      </c>
      <c r="B186" s="543">
        <v>1063557654.5598</v>
      </c>
      <c r="C186" s="543"/>
      <c r="D186" s="543"/>
      <c r="E186" s="543"/>
      <c r="F186" s="543"/>
      <c r="G186" s="543"/>
      <c r="H186" s="543"/>
      <c r="I186" s="543">
        <v>1121164884.5</v>
      </c>
      <c r="J186" s="543">
        <f t="shared" si="19"/>
        <v>1121164884.5</v>
      </c>
      <c r="K186" s="543">
        <f t="shared" si="22"/>
        <v>57607229.94019997</v>
      </c>
      <c r="L186" s="544">
        <f t="shared" si="20"/>
        <v>1.0541646517170178</v>
      </c>
    </row>
    <row r="187" spans="1:12" ht="14.25" hidden="1" outlineLevel="1">
      <c r="A187" s="589" t="s">
        <v>504</v>
      </c>
      <c r="B187" s="543">
        <v>637190696.8997</v>
      </c>
      <c r="C187" s="543"/>
      <c r="D187" s="543"/>
      <c r="E187" s="543"/>
      <c r="F187" s="543"/>
      <c r="G187" s="543"/>
      <c r="H187" s="543"/>
      <c r="I187" s="543">
        <v>670562231.5</v>
      </c>
      <c r="J187" s="543">
        <f t="shared" si="19"/>
        <v>670562231.5</v>
      </c>
      <c r="K187" s="543">
        <f t="shared" si="22"/>
        <v>33371534.600299954</v>
      </c>
      <c r="L187" s="544">
        <f t="shared" si="20"/>
        <v>1.0523729156164265</v>
      </c>
    </row>
    <row r="188" spans="1:12" ht="15" collapsed="1">
      <c r="A188" s="547"/>
      <c r="B188" s="551"/>
      <c r="C188" s="551"/>
      <c r="D188" s="551"/>
      <c r="E188" s="551"/>
      <c r="F188" s="551"/>
      <c r="G188" s="551"/>
      <c r="H188" s="551"/>
      <c r="I188" s="551"/>
      <c r="J188" s="551"/>
      <c r="K188" s="551">
        <f t="shared" si="22"/>
        <v>0</v>
      </c>
      <c r="L188" s="540"/>
    </row>
    <row r="189" spans="1:12" ht="15">
      <c r="A189" s="587" t="s">
        <v>342</v>
      </c>
      <c r="B189" s="553">
        <f>+B190+B191</f>
        <v>4867320593.98098</v>
      </c>
      <c r="C189" s="553"/>
      <c r="D189" s="553"/>
      <c r="E189" s="553"/>
      <c r="F189" s="553"/>
      <c r="G189" s="553"/>
      <c r="H189" s="553">
        <f>+C189+D189+F189+G189</f>
        <v>0</v>
      </c>
      <c r="I189" s="553">
        <f>+I190+I191</f>
        <v>0</v>
      </c>
      <c r="J189" s="553">
        <f t="shared" si="19"/>
        <v>0</v>
      </c>
      <c r="K189" s="553">
        <f t="shared" si="22"/>
        <v>-4867320593.98098</v>
      </c>
      <c r="L189" s="540">
        <f t="shared" si="20"/>
        <v>0</v>
      </c>
    </row>
    <row r="190" spans="1:12" s="579" customFormat="1" ht="14.25" hidden="1" outlineLevel="1">
      <c r="A190" s="549" t="s">
        <v>343</v>
      </c>
      <c r="B190" s="551">
        <v>2044107059.3321247</v>
      </c>
      <c r="C190" s="551"/>
      <c r="D190" s="551"/>
      <c r="E190" s="551"/>
      <c r="F190" s="551"/>
      <c r="G190" s="551"/>
      <c r="H190" s="551">
        <f>+C190+D190+F190+G190</f>
        <v>0</v>
      </c>
      <c r="I190" s="551">
        <f>+J198</f>
        <v>0</v>
      </c>
      <c r="J190" s="551">
        <f t="shared" si="19"/>
        <v>0</v>
      </c>
      <c r="K190" s="551">
        <f t="shared" si="22"/>
        <v>-2044107059.3321247</v>
      </c>
      <c r="L190" s="544">
        <f t="shared" si="20"/>
        <v>0</v>
      </c>
    </row>
    <row r="191" spans="1:12" s="579" customFormat="1" ht="14.25" hidden="1" outlineLevel="1">
      <c r="A191" s="549" t="s">
        <v>344</v>
      </c>
      <c r="B191" s="551">
        <v>2823213534.648855</v>
      </c>
      <c r="C191" s="551"/>
      <c r="D191" s="551"/>
      <c r="E191" s="551"/>
      <c r="F191" s="551"/>
      <c r="G191" s="551"/>
      <c r="H191" s="551">
        <f>+C191+D191+F191+G191</f>
        <v>0</v>
      </c>
      <c r="I191" s="551">
        <f>+J199</f>
        <v>0</v>
      </c>
      <c r="J191" s="551">
        <f t="shared" si="19"/>
        <v>0</v>
      </c>
      <c r="K191" s="551">
        <f t="shared" si="22"/>
        <v>-2823213534.648855</v>
      </c>
      <c r="L191" s="544">
        <f t="shared" si="20"/>
        <v>0</v>
      </c>
    </row>
    <row r="192" spans="1:12" ht="15" collapsed="1">
      <c r="A192" s="547"/>
      <c r="B192" s="551"/>
      <c r="C192" s="551"/>
      <c r="D192" s="551"/>
      <c r="E192" s="551"/>
      <c r="F192" s="551"/>
      <c r="G192" s="551"/>
      <c r="H192" s="551"/>
      <c r="I192" s="551"/>
      <c r="J192" s="551"/>
      <c r="K192" s="551"/>
      <c r="L192" s="540"/>
    </row>
    <row r="193" spans="1:12" ht="15">
      <c r="A193" s="547" t="s">
        <v>345</v>
      </c>
      <c r="B193" s="553">
        <f>+B189+B185+B39+B37</f>
        <v>25680901170.443455</v>
      </c>
      <c r="C193" s="553">
        <f>+C39+C37</f>
        <v>2392052010.05</v>
      </c>
      <c r="D193" s="553">
        <f>+D37+D39</f>
        <v>1279667518</v>
      </c>
      <c r="E193" s="553">
        <f>+E39+E37</f>
        <v>820695805</v>
      </c>
      <c r="F193" s="553">
        <f>+F37+F39</f>
        <v>6119493663</v>
      </c>
      <c r="G193" s="553">
        <f>+G39+G37</f>
        <v>4981337667</v>
      </c>
      <c r="H193" s="553">
        <f>+C193+D193+F193+G193+E193</f>
        <v>15593246663.05</v>
      </c>
      <c r="I193" s="553">
        <f>+I189+I185+I39+I37</f>
        <v>2500474283.4300003</v>
      </c>
      <c r="J193" s="553">
        <f>+H193+I193</f>
        <v>18093720946.48</v>
      </c>
      <c r="K193" s="553">
        <f t="shared" si="22"/>
        <v>-7587180223.963455</v>
      </c>
      <c r="L193" s="540">
        <f>+J193/B201</f>
        <v>0.8693228385192746</v>
      </c>
    </row>
    <row r="194" spans="1:12" ht="15" thickBot="1">
      <c r="A194" s="590"/>
      <c r="B194" s="591"/>
      <c r="C194" s="591"/>
      <c r="D194" s="591"/>
      <c r="E194" s="591"/>
      <c r="F194" s="591"/>
      <c r="G194" s="591"/>
      <c r="H194" s="591"/>
      <c r="I194" s="591"/>
      <c r="J194" s="591"/>
      <c r="K194" s="591"/>
      <c r="L194" s="592"/>
    </row>
    <row r="195" spans="1:12" ht="15" thickTop="1">
      <c r="A195" s="593" t="s">
        <v>527</v>
      </c>
      <c r="B195" s="594"/>
      <c r="C195" s="594"/>
      <c r="D195" s="594"/>
      <c r="E195" s="588"/>
      <c r="F195" s="588"/>
      <c r="G195" s="588"/>
      <c r="H195" s="588"/>
      <c r="I195" s="588"/>
      <c r="J195" s="588"/>
      <c r="K195" s="588"/>
      <c r="L195" s="595"/>
    </row>
    <row r="196" spans="1:12" ht="12.75">
      <c r="A196" s="596"/>
      <c r="B196" s="554"/>
      <c r="C196" s="554"/>
      <c r="D196" s="554"/>
      <c r="E196" s="554"/>
      <c r="F196" s="554"/>
      <c r="G196" s="554"/>
      <c r="H196" s="554"/>
      <c r="I196" s="554"/>
      <c r="J196" s="554"/>
      <c r="K196" s="554"/>
      <c r="L196" s="597"/>
    </row>
    <row r="197" spans="1:12" ht="15.75">
      <c r="A197" s="596"/>
      <c r="B197" s="598"/>
      <c r="C197" s="598"/>
      <c r="D197" s="598"/>
      <c r="E197" s="598"/>
      <c r="F197" s="598"/>
      <c r="G197" s="598"/>
      <c r="H197" s="598"/>
      <c r="I197" s="598"/>
      <c r="J197" s="598"/>
      <c r="K197" s="598"/>
      <c r="L197" s="532"/>
    </row>
    <row r="198" spans="1:12" ht="15.75">
      <c r="A198" s="599"/>
      <c r="B198" s="600"/>
      <c r="C198" s="600"/>
      <c r="D198" s="600"/>
      <c r="E198" s="600"/>
      <c r="F198" s="600"/>
      <c r="G198" s="600"/>
      <c r="H198" s="600"/>
      <c r="I198" s="600"/>
      <c r="J198" s="600"/>
      <c r="K198" s="600"/>
      <c r="L198" s="532"/>
    </row>
    <row r="199" spans="1:12" ht="15.75">
      <c r="A199" s="596"/>
      <c r="B199" s="600"/>
      <c r="C199" s="600"/>
      <c r="D199" s="600"/>
      <c r="E199" s="600"/>
      <c r="F199" s="600"/>
      <c r="G199" s="600"/>
      <c r="H199" s="600"/>
      <c r="I199" s="600"/>
      <c r="J199" s="600"/>
      <c r="K199" s="600"/>
      <c r="L199" s="532"/>
    </row>
    <row r="200" spans="1:12" ht="15.75">
      <c r="A200" s="596"/>
      <c r="B200" s="600"/>
      <c r="C200" s="600"/>
      <c r="D200" s="600"/>
      <c r="E200" s="600"/>
      <c r="F200" s="600"/>
      <c r="G200" s="600"/>
      <c r="H200" s="600"/>
      <c r="I200" s="600"/>
      <c r="J200" s="600"/>
      <c r="K200" s="600"/>
      <c r="L200" s="532"/>
    </row>
    <row r="201" spans="1:12" ht="15.75">
      <c r="A201" s="596"/>
      <c r="B201" s="601">
        <f>+B193-B189</f>
        <v>20813580576.462475</v>
      </c>
      <c r="C201" s="602"/>
      <c r="D201" s="602"/>
      <c r="E201" s="602"/>
      <c r="F201" s="602"/>
      <c r="G201" s="602"/>
      <c r="H201" s="602"/>
      <c r="I201" s="602"/>
      <c r="J201" s="602"/>
      <c r="K201" s="602"/>
      <c r="L201" s="532"/>
    </row>
    <row r="202" spans="1:12" ht="12.75">
      <c r="A202" s="532"/>
      <c r="B202" s="554"/>
      <c r="C202" s="554"/>
      <c r="D202" s="554"/>
      <c r="E202" s="554"/>
      <c r="F202" s="554"/>
      <c r="G202" s="554"/>
      <c r="H202" s="554"/>
      <c r="I202" s="554"/>
      <c r="J202" s="554"/>
      <c r="K202" s="554"/>
      <c r="L202" s="532"/>
    </row>
    <row r="203" spans="1:12" ht="12.75">
      <c r="A203" s="532"/>
      <c r="B203" s="588"/>
      <c r="C203" s="532"/>
      <c r="D203" s="532"/>
      <c r="E203" s="532"/>
      <c r="F203" s="532"/>
      <c r="G203" s="532"/>
      <c r="H203" s="532"/>
      <c r="I203" s="532"/>
      <c r="J203" s="532"/>
      <c r="K203" s="532"/>
      <c r="L203" s="532"/>
    </row>
    <row r="204" spans="1:12" ht="12.75">
      <c r="A204" s="532"/>
      <c r="B204" s="532"/>
      <c r="C204" s="532"/>
      <c r="D204" s="532"/>
      <c r="E204" s="532"/>
      <c r="F204" s="532"/>
      <c r="G204" s="532"/>
      <c r="H204" s="532"/>
      <c r="I204" s="532"/>
      <c r="J204" s="532"/>
      <c r="K204" s="532"/>
      <c r="L204" s="532"/>
    </row>
    <row r="205" spans="1:12" ht="12.75">
      <c r="A205" s="532"/>
      <c r="B205" s="532"/>
      <c r="C205" s="532"/>
      <c r="D205" s="532"/>
      <c r="E205" s="532"/>
      <c r="F205" s="532"/>
      <c r="G205" s="532"/>
      <c r="H205" s="532"/>
      <c r="I205" s="532"/>
      <c r="J205" s="532"/>
      <c r="K205" s="532"/>
      <c r="L205" s="532"/>
    </row>
    <row r="206" spans="1:12" ht="12" customHeight="1">
      <c r="A206" s="532"/>
      <c r="B206" s="532"/>
      <c r="C206" s="532"/>
      <c r="D206" s="532"/>
      <c r="E206" s="532"/>
      <c r="F206" s="532"/>
      <c r="G206" s="532"/>
      <c r="H206" s="532"/>
      <c r="I206" s="532"/>
      <c r="J206" s="532"/>
      <c r="K206" s="532"/>
      <c r="L206" s="532"/>
    </row>
    <row r="207" spans="1:12" ht="12.75">
      <c r="A207" s="532"/>
      <c r="B207" s="532"/>
      <c r="C207" s="532"/>
      <c r="D207" s="532"/>
      <c r="E207" s="532"/>
      <c r="F207" s="532"/>
      <c r="G207" s="532"/>
      <c r="H207" s="532"/>
      <c r="I207" s="532"/>
      <c r="J207" s="532"/>
      <c r="K207" s="532"/>
      <c r="L207" s="532"/>
    </row>
    <row r="208" spans="1:12" ht="12.75">
      <c r="A208" s="532"/>
      <c r="B208" s="532"/>
      <c r="C208" s="532"/>
      <c r="D208" s="532"/>
      <c r="E208" s="532"/>
      <c r="F208" s="532"/>
      <c r="G208" s="532"/>
      <c r="H208" s="532"/>
      <c r="I208" s="532"/>
      <c r="J208" s="532"/>
      <c r="K208" s="532"/>
      <c r="L208" s="532"/>
    </row>
    <row r="209" spans="1:12" ht="12.75">
      <c r="A209" s="532"/>
      <c r="B209" s="532"/>
      <c r="C209" s="532"/>
      <c r="D209" s="532"/>
      <c r="E209" s="532"/>
      <c r="F209" s="532"/>
      <c r="G209" s="532"/>
      <c r="H209" s="532"/>
      <c r="I209" s="532"/>
      <c r="J209" s="532"/>
      <c r="K209" s="532"/>
      <c r="L209" s="532"/>
    </row>
    <row r="210" spans="1:12" ht="12.75">
      <c r="A210" s="532"/>
      <c r="B210" s="532"/>
      <c r="C210" s="532"/>
      <c r="D210" s="532"/>
      <c r="E210" s="532"/>
      <c r="F210" s="532"/>
      <c r="G210" s="532"/>
      <c r="H210" s="532"/>
      <c r="I210" s="532"/>
      <c r="J210" s="532"/>
      <c r="K210" s="532"/>
      <c r="L210" s="532"/>
    </row>
    <row r="211" spans="1:12" ht="12.75">
      <c r="A211" s="532"/>
      <c r="B211" s="532"/>
      <c r="C211" s="532"/>
      <c r="D211" s="532"/>
      <c r="E211" s="532"/>
      <c r="F211" s="532"/>
      <c r="G211" s="532"/>
      <c r="H211" s="532"/>
      <c r="I211" s="532"/>
      <c r="J211" s="532"/>
      <c r="K211" s="532"/>
      <c r="L211" s="532"/>
    </row>
    <row r="212" spans="1:12" ht="12.75">
      <c r="A212" s="532"/>
      <c r="B212" s="532"/>
      <c r="C212" s="532"/>
      <c r="D212" s="532"/>
      <c r="E212" s="532"/>
      <c r="F212" s="532"/>
      <c r="G212" s="532"/>
      <c r="H212" s="532"/>
      <c r="I212" s="532"/>
      <c r="J212" s="532"/>
      <c r="K212" s="532"/>
      <c r="L212" s="532"/>
    </row>
    <row r="213" spans="1:12" ht="12.75">
      <c r="A213" s="532"/>
      <c r="B213" s="532"/>
      <c r="C213" s="532"/>
      <c r="D213" s="532"/>
      <c r="E213" s="532"/>
      <c r="F213" s="532"/>
      <c r="G213" s="532"/>
      <c r="H213" s="532"/>
      <c r="I213" s="532"/>
      <c r="J213" s="532"/>
      <c r="K213" s="532"/>
      <c r="L213" s="532"/>
    </row>
    <row r="214" spans="1:12" ht="12.75">
      <c r="A214" s="532"/>
      <c r="B214" s="532"/>
      <c r="C214" s="532"/>
      <c r="D214" s="532"/>
      <c r="E214" s="532"/>
      <c r="F214" s="532"/>
      <c r="G214" s="532"/>
      <c r="H214" s="532"/>
      <c r="I214" s="532"/>
      <c r="J214" s="532"/>
      <c r="K214" s="532"/>
      <c r="L214" s="532"/>
    </row>
    <row r="215" spans="1:12" ht="12.75">
      <c r="A215" s="532"/>
      <c r="B215" s="532"/>
      <c r="C215" s="532"/>
      <c r="D215" s="532"/>
      <c r="E215" s="532"/>
      <c r="F215" s="532"/>
      <c r="G215" s="532"/>
      <c r="H215" s="532"/>
      <c r="I215" s="532"/>
      <c r="J215" s="532"/>
      <c r="K215" s="532"/>
      <c r="L215" s="532"/>
    </row>
    <row r="216" spans="1:12" ht="12.75">
      <c r="A216" s="532"/>
      <c r="B216" s="532"/>
      <c r="C216" s="532"/>
      <c r="D216" s="532"/>
      <c r="E216" s="532"/>
      <c r="F216" s="532"/>
      <c r="G216" s="532"/>
      <c r="H216" s="532"/>
      <c r="I216" s="532"/>
      <c r="J216" s="532"/>
      <c r="K216" s="532"/>
      <c r="L216" s="532"/>
    </row>
    <row r="217" spans="1:12" ht="12.75">
      <c r="A217" s="532"/>
      <c r="B217" s="532"/>
      <c r="C217" s="532"/>
      <c r="D217" s="532"/>
      <c r="E217" s="532"/>
      <c r="F217" s="532"/>
      <c r="G217" s="532"/>
      <c r="H217" s="532"/>
      <c r="I217" s="532"/>
      <c r="J217" s="532"/>
      <c r="K217" s="532"/>
      <c r="L217" s="532"/>
    </row>
    <row r="218" spans="1:12" ht="12.75">
      <c r="A218" s="532"/>
      <c r="B218" s="532"/>
      <c r="C218" s="532"/>
      <c r="D218" s="532"/>
      <c r="E218" s="532"/>
      <c r="F218" s="532"/>
      <c r="G218" s="532"/>
      <c r="H218" s="532"/>
      <c r="I218" s="532"/>
      <c r="J218" s="532"/>
      <c r="K218" s="532"/>
      <c r="L218" s="532"/>
    </row>
    <row r="219" spans="1:12" ht="12.75">
      <c r="A219" s="532"/>
      <c r="B219" s="532"/>
      <c r="C219" s="532"/>
      <c r="D219" s="532"/>
      <c r="E219" s="532"/>
      <c r="F219" s="532"/>
      <c r="G219" s="532"/>
      <c r="H219" s="532"/>
      <c r="I219" s="532"/>
      <c r="J219" s="532"/>
      <c r="K219" s="532"/>
      <c r="L219" s="532"/>
    </row>
    <row r="220" spans="1:12" ht="12.75">
      <c r="A220" s="532"/>
      <c r="B220" s="532"/>
      <c r="C220" s="532"/>
      <c r="D220" s="532"/>
      <c r="E220" s="532"/>
      <c r="F220" s="532"/>
      <c r="G220" s="532"/>
      <c r="H220" s="532"/>
      <c r="I220" s="532"/>
      <c r="J220" s="532"/>
      <c r="K220" s="532"/>
      <c r="L220" s="532"/>
    </row>
    <row r="221" spans="1:12" ht="12.75">
      <c r="A221" s="532"/>
      <c r="B221" s="532"/>
      <c r="C221" s="532"/>
      <c r="D221" s="532"/>
      <c r="E221" s="532"/>
      <c r="F221" s="532"/>
      <c r="G221" s="532"/>
      <c r="H221" s="532"/>
      <c r="I221" s="532"/>
      <c r="J221" s="532"/>
      <c r="K221" s="532"/>
      <c r="L221" s="532"/>
    </row>
    <row r="222" spans="1:12" ht="12.75">
      <c r="A222" s="532"/>
      <c r="B222" s="532"/>
      <c r="C222" s="532"/>
      <c r="D222" s="532"/>
      <c r="E222" s="532"/>
      <c r="F222" s="532"/>
      <c r="G222" s="532"/>
      <c r="H222" s="532"/>
      <c r="I222" s="532"/>
      <c r="J222" s="532"/>
      <c r="K222" s="532"/>
      <c r="L222" s="532"/>
    </row>
    <row r="223" spans="1:12" ht="12.75">
      <c r="A223" s="532"/>
      <c r="B223" s="532"/>
      <c r="C223" s="532"/>
      <c r="D223" s="532"/>
      <c r="E223" s="532"/>
      <c r="F223" s="532"/>
      <c r="G223" s="532"/>
      <c r="H223" s="532"/>
      <c r="I223" s="532"/>
      <c r="J223" s="532"/>
      <c r="K223" s="532"/>
      <c r="L223" s="532"/>
    </row>
    <row r="224" spans="1:12" ht="12.75">
      <c r="A224" s="532"/>
      <c r="B224" s="532"/>
      <c r="C224" s="532"/>
      <c r="D224" s="532"/>
      <c r="E224" s="532"/>
      <c r="F224" s="532"/>
      <c r="G224" s="532"/>
      <c r="H224" s="532"/>
      <c r="I224" s="532"/>
      <c r="J224" s="532"/>
      <c r="K224" s="532"/>
      <c r="L224" s="532"/>
    </row>
    <row r="225" spans="1:12" ht="12.75">
      <c r="A225" s="532"/>
      <c r="B225" s="532"/>
      <c r="C225" s="532"/>
      <c r="D225" s="532"/>
      <c r="E225" s="532"/>
      <c r="F225" s="532"/>
      <c r="G225" s="532"/>
      <c r="H225" s="532"/>
      <c r="I225" s="532"/>
      <c r="J225" s="532"/>
      <c r="K225" s="532"/>
      <c r="L225" s="532"/>
    </row>
    <row r="226" spans="1:12" ht="12.75">
      <c r="A226" s="532"/>
      <c r="B226" s="532"/>
      <c r="C226" s="532"/>
      <c r="D226" s="532"/>
      <c r="E226" s="532"/>
      <c r="F226" s="532"/>
      <c r="G226" s="532"/>
      <c r="H226" s="532"/>
      <c r="I226" s="532"/>
      <c r="J226" s="532"/>
      <c r="K226" s="532"/>
      <c r="L226" s="532"/>
    </row>
    <row r="227" spans="1:12" ht="12.75">
      <c r="A227" s="532"/>
      <c r="B227" s="532"/>
      <c r="C227" s="532"/>
      <c r="D227" s="532"/>
      <c r="E227" s="532"/>
      <c r="F227" s="532"/>
      <c r="G227" s="532"/>
      <c r="H227" s="532"/>
      <c r="I227" s="532"/>
      <c r="J227" s="532"/>
      <c r="K227" s="532"/>
      <c r="L227" s="532"/>
    </row>
    <row r="228" spans="1:12" ht="12.75">
      <c r="A228" s="532"/>
      <c r="B228" s="532"/>
      <c r="C228" s="532"/>
      <c r="D228" s="532"/>
      <c r="E228" s="532"/>
      <c r="F228" s="532"/>
      <c r="G228" s="532"/>
      <c r="H228" s="532"/>
      <c r="I228" s="532"/>
      <c r="J228" s="532"/>
      <c r="K228" s="532"/>
      <c r="L228" s="532"/>
    </row>
    <row r="229" spans="1:12" ht="12.75">
      <c r="A229" s="532"/>
      <c r="B229" s="532"/>
      <c r="C229" s="532"/>
      <c r="D229" s="532"/>
      <c r="E229" s="532"/>
      <c r="F229" s="532"/>
      <c r="G229" s="532"/>
      <c r="H229" s="532"/>
      <c r="I229" s="532"/>
      <c r="J229" s="532"/>
      <c r="K229" s="532"/>
      <c r="L229" s="532"/>
    </row>
    <row r="230" spans="1:12" ht="12.75">
      <c r="A230" s="532"/>
      <c r="B230" s="532"/>
      <c r="C230" s="532"/>
      <c r="D230" s="532"/>
      <c r="E230" s="532"/>
      <c r="F230" s="532"/>
      <c r="G230" s="532"/>
      <c r="H230" s="532"/>
      <c r="I230" s="532"/>
      <c r="J230" s="532"/>
      <c r="K230" s="532"/>
      <c r="L230" s="532"/>
    </row>
    <row r="231" spans="1:12" ht="12.75">
      <c r="A231" s="532"/>
      <c r="B231" s="532"/>
      <c r="C231" s="532"/>
      <c r="D231" s="532"/>
      <c r="E231" s="532"/>
      <c r="F231" s="532"/>
      <c r="G231" s="532"/>
      <c r="H231" s="532"/>
      <c r="I231" s="532"/>
      <c r="J231" s="532"/>
      <c r="K231" s="532"/>
      <c r="L231" s="532"/>
    </row>
    <row r="232" spans="1:12" ht="12.75">
      <c r="A232" s="532"/>
      <c r="B232" s="532"/>
      <c r="C232" s="532"/>
      <c r="D232" s="532"/>
      <c r="E232" s="532"/>
      <c r="F232" s="532"/>
      <c r="G232" s="532"/>
      <c r="H232" s="532"/>
      <c r="I232" s="532"/>
      <c r="J232" s="532"/>
      <c r="K232" s="532"/>
      <c r="L232" s="532"/>
    </row>
    <row r="233" spans="1:12" ht="12.75">
      <c r="A233" s="532"/>
      <c r="B233" s="532"/>
      <c r="C233" s="532"/>
      <c r="D233" s="532"/>
      <c r="E233" s="532"/>
      <c r="F233" s="532"/>
      <c r="G233" s="532"/>
      <c r="H233" s="532"/>
      <c r="I233" s="532"/>
      <c r="J233" s="532"/>
      <c r="K233" s="532"/>
      <c r="L233" s="532"/>
    </row>
    <row r="234" spans="1:12" ht="12.75">
      <c r="A234" s="532"/>
      <c r="B234" s="532"/>
      <c r="C234" s="532"/>
      <c r="D234" s="532"/>
      <c r="E234" s="532"/>
      <c r="F234" s="532"/>
      <c r="G234" s="532"/>
      <c r="H234" s="532"/>
      <c r="I234" s="532"/>
      <c r="J234" s="532"/>
      <c r="K234" s="532"/>
      <c r="L234" s="532"/>
    </row>
    <row r="235" spans="1:12" ht="12.75">
      <c r="A235" s="532"/>
      <c r="B235" s="532"/>
      <c r="C235" s="532"/>
      <c r="D235" s="532"/>
      <c r="E235" s="532"/>
      <c r="F235" s="532"/>
      <c r="G235" s="532"/>
      <c r="H235" s="532"/>
      <c r="I235" s="532"/>
      <c r="J235" s="532"/>
      <c r="K235" s="532"/>
      <c r="L235" s="532"/>
    </row>
    <row r="236" spans="1:12" ht="12.75">
      <c r="A236" s="532"/>
      <c r="B236" s="532"/>
      <c r="C236" s="532"/>
      <c r="D236" s="532"/>
      <c r="E236" s="532"/>
      <c r="F236" s="532"/>
      <c r="G236" s="532"/>
      <c r="H236" s="532"/>
      <c r="I236" s="532"/>
      <c r="J236" s="532"/>
      <c r="K236" s="532"/>
      <c r="L236" s="532"/>
    </row>
    <row r="237" spans="1:12" ht="12.75">
      <c r="A237" s="532"/>
      <c r="B237" s="532"/>
      <c r="C237" s="532"/>
      <c r="D237" s="532"/>
      <c r="E237" s="532"/>
      <c r="F237" s="532"/>
      <c r="G237" s="532"/>
      <c r="H237" s="532"/>
      <c r="I237" s="532"/>
      <c r="J237" s="532"/>
      <c r="K237" s="532"/>
      <c r="L237" s="532"/>
    </row>
    <row r="238" spans="1:12" ht="12.75">
      <c r="A238" s="532"/>
      <c r="B238" s="532"/>
      <c r="C238" s="532"/>
      <c r="D238" s="532"/>
      <c r="E238" s="532"/>
      <c r="F238" s="532"/>
      <c r="G238" s="532"/>
      <c r="H238" s="532"/>
      <c r="I238" s="532"/>
      <c r="J238" s="532"/>
      <c r="K238" s="532"/>
      <c r="L238" s="532"/>
    </row>
    <row r="239" spans="1:12" ht="12.75">
      <c r="A239" s="532"/>
      <c r="B239" s="532"/>
      <c r="C239" s="532"/>
      <c r="D239" s="532"/>
      <c r="E239" s="532"/>
      <c r="F239" s="532"/>
      <c r="G239" s="532"/>
      <c r="H239" s="532"/>
      <c r="I239" s="532"/>
      <c r="J239" s="532"/>
      <c r="K239" s="532"/>
      <c r="L239" s="532"/>
    </row>
    <row r="240" spans="1:12" ht="12.75">
      <c r="A240" s="532"/>
      <c r="B240" s="532"/>
      <c r="C240" s="532"/>
      <c r="D240" s="532"/>
      <c r="E240" s="532"/>
      <c r="F240" s="532"/>
      <c r="G240" s="532"/>
      <c r="H240" s="532"/>
      <c r="I240" s="532"/>
      <c r="J240" s="532"/>
      <c r="K240" s="532"/>
      <c r="L240" s="532"/>
    </row>
    <row r="241" spans="1:12" ht="12.75">
      <c r="A241" s="532"/>
      <c r="B241" s="532"/>
      <c r="C241" s="532"/>
      <c r="D241" s="532"/>
      <c r="E241" s="532"/>
      <c r="F241" s="532"/>
      <c r="G241" s="532"/>
      <c r="H241" s="532"/>
      <c r="I241" s="532"/>
      <c r="J241" s="532"/>
      <c r="K241" s="532"/>
      <c r="L241" s="532"/>
    </row>
    <row r="242" spans="1:12" ht="12.75">
      <c r="A242" s="532"/>
      <c r="B242" s="532"/>
      <c r="C242" s="532"/>
      <c r="D242" s="532"/>
      <c r="E242" s="532"/>
      <c r="F242" s="532"/>
      <c r="G242" s="532"/>
      <c r="H242" s="532"/>
      <c r="I242" s="532"/>
      <c r="J242" s="532"/>
      <c r="K242" s="532"/>
      <c r="L242" s="532"/>
    </row>
    <row r="243" spans="1:12" ht="12.75">
      <c r="A243" s="532"/>
      <c r="B243" s="532"/>
      <c r="C243" s="532"/>
      <c r="D243" s="532"/>
      <c r="E243" s="532"/>
      <c r="F243" s="532"/>
      <c r="G243" s="532"/>
      <c r="H243" s="532"/>
      <c r="I243" s="532"/>
      <c r="J243" s="532"/>
      <c r="K243" s="532"/>
      <c r="L243" s="532"/>
    </row>
    <row r="244" spans="1:12" ht="12.75">
      <c r="A244" s="532"/>
      <c r="B244" s="532"/>
      <c r="C244" s="532"/>
      <c r="D244" s="532"/>
      <c r="E244" s="532"/>
      <c r="F244" s="532"/>
      <c r="G244" s="532"/>
      <c r="H244" s="532"/>
      <c r="I244" s="532"/>
      <c r="J244" s="532"/>
      <c r="K244" s="532"/>
      <c r="L244" s="532"/>
    </row>
    <row r="245" spans="1:12" ht="12.75">
      <c r="A245" s="532"/>
      <c r="B245" s="532"/>
      <c r="C245" s="532"/>
      <c r="D245" s="532"/>
      <c r="E245" s="532"/>
      <c r="F245" s="532"/>
      <c r="G245" s="532"/>
      <c r="H245" s="532"/>
      <c r="I245" s="532"/>
      <c r="J245" s="532"/>
      <c r="K245" s="532"/>
      <c r="L245" s="532"/>
    </row>
    <row r="246" spans="1:12" ht="12.75">
      <c r="A246" s="532"/>
      <c r="B246" s="532"/>
      <c r="C246" s="532"/>
      <c r="D246" s="532"/>
      <c r="E246" s="532"/>
      <c r="F246" s="532"/>
      <c r="G246" s="532"/>
      <c r="H246" s="532"/>
      <c r="I246" s="532"/>
      <c r="J246" s="532"/>
      <c r="K246" s="532"/>
      <c r="L246" s="532"/>
    </row>
    <row r="247" spans="1:12" ht="12.75">
      <c r="A247" s="532"/>
      <c r="B247" s="532"/>
      <c r="C247" s="532"/>
      <c r="D247" s="532"/>
      <c r="E247" s="532"/>
      <c r="F247" s="532"/>
      <c r="G247" s="532"/>
      <c r="H247" s="532"/>
      <c r="I247" s="532"/>
      <c r="J247" s="532"/>
      <c r="K247" s="532"/>
      <c r="L247" s="532"/>
    </row>
    <row r="248" spans="1:12" ht="12.75">
      <c r="A248" s="532"/>
      <c r="B248" s="532"/>
      <c r="C248" s="532"/>
      <c r="D248" s="532"/>
      <c r="E248" s="532"/>
      <c r="F248" s="532"/>
      <c r="G248" s="532"/>
      <c r="H248" s="532"/>
      <c r="I248" s="532"/>
      <c r="J248" s="532"/>
      <c r="K248" s="532"/>
      <c r="L248" s="532"/>
    </row>
    <row r="249" spans="1:12" ht="12.75">
      <c r="A249" s="532"/>
      <c r="B249" s="532"/>
      <c r="C249" s="532"/>
      <c r="D249" s="532"/>
      <c r="E249" s="532"/>
      <c r="F249" s="532"/>
      <c r="G249" s="532"/>
      <c r="H249" s="532"/>
      <c r="I249" s="532"/>
      <c r="J249" s="532"/>
      <c r="K249" s="532"/>
      <c r="L249" s="532"/>
    </row>
    <row r="250" spans="1:12" ht="12.75">
      <c r="A250" s="532"/>
      <c r="B250" s="532"/>
      <c r="C250" s="532"/>
      <c r="D250" s="532"/>
      <c r="E250" s="532"/>
      <c r="F250" s="532"/>
      <c r="G250" s="532"/>
      <c r="H250" s="532"/>
      <c r="I250" s="532"/>
      <c r="J250" s="532"/>
      <c r="K250" s="532"/>
      <c r="L250" s="532"/>
    </row>
    <row r="251" spans="1:12" ht="12.75">
      <c r="A251" s="532"/>
      <c r="B251" s="532"/>
      <c r="C251" s="532"/>
      <c r="D251" s="532"/>
      <c r="E251" s="532"/>
      <c r="F251" s="532"/>
      <c r="G251" s="532"/>
      <c r="H251" s="532"/>
      <c r="I251" s="532"/>
      <c r="J251" s="532"/>
      <c r="K251" s="532"/>
      <c r="L251" s="532"/>
    </row>
    <row r="252" spans="1:12" ht="12.75">
      <c r="A252" s="532"/>
      <c r="B252" s="532"/>
      <c r="C252" s="532"/>
      <c r="D252" s="532"/>
      <c r="E252" s="532"/>
      <c r="F252" s="532"/>
      <c r="G252" s="532"/>
      <c r="H252" s="532"/>
      <c r="I252" s="532"/>
      <c r="J252" s="532"/>
      <c r="K252" s="532"/>
      <c r="L252" s="532"/>
    </row>
    <row r="253" spans="1:12" ht="12.75">
      <c r="A253" s="532"/>
      <c r="B253" s="532"/>
      <c r="C253" s="532"/>
      <c r="D253" s="532"/>
      <c r="E253" s="532"/>
      <c r="F253" s="532"/>
      <c r="G253" s="532"/>
      <c r="H253" s="532"/>
      <c r="I253" s="532"/>
      <c r="J253" s="532"/>
      <c r="K253" s="532"/>
      <c r="L253" s="532"/>
    </row>
    <row r="254" spans="1:12" ht="12.75">
      <c r="A254" s="532"/>
      <c r="B254" s="532"/>
      <c r="C254" s="532"/>
      <c r="D254" s="532"/>
      <c r="E254" s="532"/>
      <c r="F254" s="532"/>
      <c r="G254" s="532"/>
      <c r="H254" s="532"/>
      <c r="I254" s="532"/>
      <c r="J254" s="532"/>
      <c r="K254" s="532"/>
      <c r="L254" s="532"/>
    </row>
    <row r="255" spans="1:12" ht="12.75">
      <c r="A255" s="532"/>
      <c r="B255" s="532"/>
      <c r="C255" s="532"/>
      <c r="D255" s="532"/>
      <c r="E255" s="532"/>
      <c r="F255" s="532"/>
      <c r="G255" s="532"/>
      <c r="H255" s="532"/>
      <c r="I255" s="532"/>
      <c r="J255" s="532"/>
      <c r="K255" s="532"/>
      <c r="L255" s="532"/>
    </row>
    <row r="256" spans="1:12" ht="12.75">
      <c r="A256" s="532"/>
      <c r="B256" s="532"/>
      <c r="C256" s="532"/>
      <c r="D256" s="532"/>
      <c r="E256" s="532"/>
      <c r="F256" s="532"/>
      <c r="G256" s="532"/>
      <c r="H256" s="532"/>
      <c r="I256" s="532"/>
      <c r="J256" s="532"/>
      <c r="K256" s="532"/>
      <c r="L256" s="532"/>
    </row>
    <row r="257" spans="1:12" ht="12.75">
      <c r="A257" s="532"/>
      <c r="B257" s="532"/>
      <c r="C257" s="532"/>
      <c r="D257" s="532"/>
      <c r="E257" s="532"/>
      <c r="F257" s="532"/>
      <c r="G257" s="532"/>
      <c r="H257" s="532"/>
      <c r="I257" s="532"/>
      <c r="J257" s="532"/>
      <c r="K257" s="532"/>
      <c r="L257" s="532"/>
    </row>
    <row r="258" spans="1:12" ht="12.75">
      <c r="A258" s="532"/>
      <c r="B258" s="532"/>
      <c r="C258" s="532"/>
      <c r="D258" s="532"/>
      <c r="E258" s="532"/>
      <c r="F258" s="532"/>
      <c r="G258" s="532"/>
      <c r="H258" s="532"/>
      <c r="I258" s="532"/>
      <c r="J258" s="532"/>
      <c r="K258" s="532"/>
      <c r="L258" s="532"/>
    </row>
    <row r="259" spans="1:12" ht="12.75">
      <c r="A259" s="532"/>
      <c r="B259" s="532"/>
      <c r="C259" s="532"/>
      <c r="D259" s="532"/>
      <c r="E259" s="532"/>
      <c r="F259" s="532"/>
      <c r="G259" s="532"/>
      <c r="H259" s="532"/>
      <c r="I259" s="532"/>
      <c r="J259" s="532"/>
      <c r="K259" s="532"/>
      <c r="L259" s="532"/>
    </row>
    <row r="260" spans="1:12" ht="12.75">
      <c r="A260" s="532"/>
      <c r="B260" s="532"/>
      <c r="C260" s="532"/>
      <c r="D260" s="532"/>
      <c r="E260" s="532"/>
      <c r="F260" s="532"/>
      <c r="G260" s="532"/>
      <c r="H260" s="532"/>
      <c r="I260" s="532"/>
      <c r="J260" s="532"/>
      <c r="K260" s="532"/>
      <c r="L260" s="532"/>
    </row>
    <row r="261" spans="1:12" ht="12.75">
      <c r="A261" s="532"/>
      <c r="B261" s="532"/>
      <c r="C261" s="532"/>
      <c r="D261" s="532"/>
      <c r="E261" s="532"/>
      <c r="F261" s="532"/>
      <c r="G261" s="532"/>
      <c r="H261" s="532"/>
      <c r="I261" s="532"/>
      <c r="J261" s="532"/>
      <c r="K261" s="532"/>
      <c r="L261" s="532"/>
    </row>
    <row r="262" spans="1:12" ht="12.75">
      <c r="A262" s="532"/>
      <c r="B262" s="532"/>
      <c r="C262" s="532"/>
      <c r="D262" s="532"/>
      <c r="E262" s="532"/>
      <c r="F262" s="532"/>
      <c r="G262" s="532"/>
      <c r="H262" s="532"/>
      <c r="I262" s="532"/>
      <c r="J262" s="532"/>
      <c r="K262" s="532"/>
      <c r="L262" s="532"/>
    </row>
    <row r="263" spans="1:12" ht="12.75">
      <c r="A263" s="532"/>
      <c r="B263" s="532"/>
      <c r="C263" s="532"/>
      <c r="D263" s="532"/>
      <c r="E263" s="532"/>
      <c r="F263" s="532"/>
      <c r="G263" s="532"/>
      <c r="H263" s="532"/>
      <c r="I263" s="532"/>
      <c r="J263" s="532"/>
      <c r="K263" s="532"/>
      <c r="L263" s="532"/>
    </row>
    <row r="264" spans="1:12" ht="12.75">
      <c r="A264" s="532"/>
      <c r="B264" s="532"/>
      <c r="C264" s="532"/>
      <c r="D264" s="532"/>
      <c r="E264" s="532"/>
      <c r="F264" s="532"/>
      <c r="G264" s="532"/>
      <c r="H264" s="532"/>
      <c r="I264" s="532"/>
      <c r="J264" s="532"/>
      <c r="K264" s="532"/>
      <c r="L264" s="532"/>
    </row>
    <row r="265" spans="1:12" ht="12.75">
      <c r="A265" s="532"/>
      <c r="B265" s="532"/>
      <c r="C265" s="532"/>
      <c r="D265" s="532"/>
      <c r="E265" s="532"/>
      <c r="F265" s="532"/>
      <c r="G265" s="532"/>
      <c r="H265" s="532"/>
      <c r="I265" s="532"/>
      <c r="J265" s="532"/>
      <c r="K265" s="532"/>
      <c r="L265" s="532"/>
    </row>
    <row r="266" spans="1:12" ht="12.75">
      <c r="A266" s="532"/>
      <c r="B266" s="532"/>
      <c r="C266" s="532"/>
      <c r="D266" s="532"/>
      <c r="E266" s="532"/>
      <c r="F266" s="532"/>
      <c r="G266" s="532"/>
      <c r="H266" s="532"/>
      <c r="I266" s="532"/>
      <c r="J266" s="532"/>
      <c r="K266" s="532"/>
      <c r="L266" s="532"/>
    </row>
    <row r="267" spans="1:12" ht="12.75">
      <c r="A267" s="532"/>
      <c r="B267" s="532"/>
      <c r="C267" s="532"/>
      <c r="D267" s="532"/>
      <c r="E267" s="532"/>
      <c r="F267" s="532"/>
      <c r="G267" s="532"/>
      <c r="H267" s="532"/>
      <c r="I267" s="532"/>
      <c r="J267" s="532"/>
      <c r="K267" s="532"/>
      <c r="L267" s="532"/>
    </row>
    <row r="268" spans="1:12" ht="12.75">
      <c r="A268" s="532"/>
      <c r="B268" s="532"/>
      <c r="C268" s="532"/>
      <c r="D268" s="532"/>
      <c r="E268" s="532"/>
      <c r="F268" s="532"/>
      <c r="G268" s="532"/>
      <c r="H268" s="532"/>
      <c r="I268" s="532"/>
      <c r="J268" s="532"/>
      <c r="K268" s="532"/>
      <c r="L268" s="532"/>
    </row>
    <row r="269" spans="1:12" ht="12.75">
      <c r="A269" s="532"/>
      <c r="B269" s="532"/>
      <c r="C269" s="532"/>
      <c r="D269" s="532"/>
      <c r="E269" s="532"/>
      <c r="F269" s="532"/>
      <c r="G269" s="532"/>
      <c r="H269" s="532"/>
      <c r="I269" s="532"/>
      <c r="J269" s="532"/>
      <c r="K269" s="532"/>
      <c r="L269" s="532"/>
    </row>
    <row r="270" spans="1:12" ht="12.75">
      <c r="A270" s="532"/>
      <c r="B270" s="532"/>
      <c r="C270" s="532"/>
      <c r="D270" s="532"/>
      <c r="E270" s="532"/>
      <c r="F270" s="532"/>
      <c r="G270" s="532"/>
      <c r="H270" s="532"/>
      <c r="I270" s="532"/>
      <c r="J270" s="532"/>
      <c r="K270" s="532"/>
      <c r="L270" s="532"/>
    </row>
    <row r="271" spans="1:12" ht="12.75">
      <c r="A271" s="532"/>
      <c r="B271" s="532"/>
      <c r="C271" s="532"/>
      <c r="D271" s="532"/>
      <c r="E271" s="532"/>
      <c r="F271" s="532"/>
      <c r="G271" s="532"/>
      <c r="H271" s="532"/>
      <c r="I271" s="532"/>
      <c r="J271" s="532"/>
      <c r="K271" s="532"/>
      <c r="L271" s="532"/>
    </row>
    <row r="272" spans="1:12" ht="12.75">
      <c r="A272" s="532"/>
      <c r="B272" s="532"/>
      <c r="C272" s="532"/>
      <c r="D272" s="532"/>
      <c r="E272" s="532"/>
      <c r="F272" s="532"/>
      <c r="G272" s="532"/>
      <c r="H272" s="532"/>
      <c r="I272" s="532"/>
      <c r="J272" s="532"/>
      <c r="K272" s="532"/>
      <c r="L272" s="532"/>
    </row>
  </sheetData>
  <sheetProtection/>
  <mergeCells count="4">
    <mergeCell ref="A1:L1"/>
    <mergeCell ref="A2:L2"/>
    <mergeCell ref="A3:L3"/>
    <mergeCell ref="A4:L4"/>
  </mergeCells>
  <printOptions horizontalCentered="1"/>
  <pageMargins left="0.2362204724409449" right="0.2362204724409449" top="0.31496062992125984" bottom="0.2755905511811024" header="0" footer="0"/>
  <pageSetup horizontalDpi="600" verticalDpi="600" orientation="portrait" scale="40" r:id="rId1"/>
  <rowBreaks count="1" manualBreakCount="1">
    <brk id="195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9:L22"/>
  <sheetViews>
    <sheetView zoomScaleSheetLayoutView="100" zoomScalePageLayoutView="0" workbookViewId="0" topLeftCell="B1">
      <selection activeCell="I22" sqref="I22"/>
    </sheetView>
  </sheetViews>
  <sheetFormatPr defaultColWidth="11.421875" defaultRowHeight="12.75"/>
  <cols>
    <col min="1" max="1" width="17.7109375" style="558" customWidth="1"/>
    <col min="2" max="5" width="11.421875" style="558" customWidth="1"/>
    <col min="6" max="6" width="2.28125" style="558" customWidth="1"/>
    <col min="7" max="7" width="11.421875" style="558" customWidth="1"/>
    <col min="8" max="8" width="7.57421875" style="558" customWidth="1"/>
    <col min="9" max="9" width="22.00390625" style="558" customWidth="1"/>
    <col min="10" max="10" width="15.28125" style="558" bestFit="1" customWidth="1"/>
    <col min="11" max="11" width="14.8515625" style="558" bestFit="1" customWidth="1"/>
    <col min="12" max="12" width="17.57421875" style="558" customWidth="1"/>
    <col min="13" max="16384" width="11.421875" style="558" customWidth="1"/>
  </cols>
  <sheetData>
    <row r="8" ht="13.5" thickBot="1"/>
    <row r="9" spans="2:9" ht="15.75" thickBot="1">
      <c r="B9" s="783" t="s">
        <v>535</v>
      </c>
      <c r="C9" s="784"/>
      <c r="D9" s="784"/>
      <c r="E9" s="784"/>
      <c r="F9" s="784"/>
      <c r="G9" s="784"/>
      <c r="H9" s="784"/>
      <c r="I9" s="785"/>
    </row>
    <row r="11" ht="13.5" thickBot="1"/>
    <row r="12" spans="2:9" ht="15.75">
      <c r="B12" s="786" t="s">
        <v>528</v>
      </c>
      <c r="C12" s="787"/>
      <c r="D12" s="787"/>
      <c r="E12" s="787"/>
      <c r="F12" s="787"/>
      <c r="G12" s="788"/>
      <c r="I12" s="734">
        <f>+INGRESOS!Z39</f>
        <v>14395117020.99078</v>
      </c>
    </row>
    <row r="13" spans="2:12" ht="15.75">
      <c r="B13" s="789" t="s">
        <v>529</v>
      </c>
      <c r="C13" s="790"/>
      <c r="D13" s="790"/>
      <c r="E13" s="790"/>
      <c r="F13" s="790"/>
      <c r="G13" s="791"/>
      <c r="I13" s="735">
        <f>+'ANEXO 2'!T203</f>
        <v>11303665051.98</v>
      </c>
      <c r="K13" s="736"/>
      <c r="L13" s="737"/>
    </row>
    <row r="14" spans="2:12" ht="16.5" thickBot="1">
      <c r="B14" s="780" t="s">
        <v>530</v>
      </c>
      <c r="C14" s="781"/>
      <c r="D14" s="781"/>
      <c r="E14" s="781"/>
      <c r="F14" s="781"/>
      <c r="G14" s="782"/>
      <c r="I14" s="738">
        <f>+(I12-I13)</f>
        <v>3091451969.0107803</v>
      </c>
      <c r="J14" s="739"/>
      <c r="K14" s="736"/>
      <c r="L14" s="737"/>
    </row>
    <row r="15" spans="2:12" ht="15">
      <c r="B15" s="740"/>
      <c r="C15" s="740"/>
      <c r="D15" s="740"/>
      <c r="E15" s="740"/>
      <c r="F15" s="740"/>
      <c r="G15" s="740"/>
      <c r="K15" s="741"/>
      <c r="L15" s="742"/>
    </row>
    <row r="16" spans="2:12" ht="15.75" thickBot="1">
      <c r="B16" s="740"/>
      <c r="C16" s="740"/>
      <c r="D16" s="740"/>
      <c r="E16" s="740"/>
      <c r="F16" s="740"/>
      <c r="G16" s="740"/>
      <c r="J16" s="743"/>
      <c r="K16" s="741"/>
      <c r="L16" s="742"/>
    </row>
    <row r="17" spans="2:9" ht="15.75">
      <c r="B17" s="786" t="s">
        <v>531</v>
      </c>
      <c r="C17" s="787"/>
      <c r="D17" s="787"/>
      <c r="E17" s="787"/>
      <c r="F17" s="787"/>
      <c r="G17" s="788"/>
      <c r="I17" s="734">
        <f>+INGRESOS!Z42</f>
        <v>12038300494.25</v>
      </c>
    </row>
    <row r="18" spans="2:9" ht="15.75">
      <c r="B18" s="789" t="s">
        <v>532</v>
      </c>
      <c r="C18" s="790"/>
      <c r="D18" s="790"/>
      <c r="E18" s="790"/>
      <c r="F18" s="790"/>
      <c r="G18" s="791"/>
      <c r="I18" s="735">
        <f>+'ANEXO 2'!T205</f>
        <v>6790055894.5</v>
      </c>
    </row>
    <row r="19" spans="2:9" ht="16.5" thickBot="1">
      <c r="B19" s="780" t="s">
        <v>533</v>
      </c>
      <c r="C19" s="781"/>
      <c r="D19" s="781"/>
      <c r="E19" s="781"/>
      <c r="F19" s="781"/>
      <c r="G19" s="782"/>
      <c r="I19" s="738">
        <f>+I17-I18</f>
        <v>5248244599.75</v>
      </c>
    </row>
    <row r="22" spans="2:9" ht="16.5" thickBot="1">
      <c r="B22" s="780" t="s">
        <v>534</v>
      </c>
      <c r="C22" s="781"/>
      <c r="D22" s="781"/>
      <c r="E22" s="781"/>
      <c r="F22" s="781"/>
      <c r="G22" s="782"/>
      <c r="I22" s="738">
        <f>+I19+I14</f>
        <v>8339696568.76078</v>
      </c>
    </row>
  </sheetData>
  <sheetProtection/>
  <mergeCells count="8">
    <mergeCell ref="B19:G19"/>
    <mergeCell ref="B22:G22"/>
    <mergeCell ref="B9:I9"/>
    <mergeCell ref="B12:G12"/>
    <mergeCell ref="B13:G13"/>
    <mergeCell ref="B14:G14"/>
    <mergeCell ref="B17:G17"/>
    <mergeCell ref="B18:G18"/>
  </mergeCells>
  <printOptions horizontalCentered="1"/>
  <pageMargins left="0.1968503937007874" right="0.2362204724409449" top="0.3937007874015748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1">
      <selection activeCell="A28" sqref="A28:A29"/>
    </sheetView>
  </sheetViews>
  <sheetFormatPr defaultColWidth="11.421875" defaultRowHeight="12.75"/>
  <cols>
    <col min="1" max="1" width="57.57421875" style="0" bestFit="1" customWidth="1"/>
    <col min="2" max="2" width="16.140625" style="0" bestFit="1" customWidth="1"/>
    <col min="3" max="3" width="14.8515625" style="0" bestFit="1" customWidth="1"/>
    <col min="4" max="4" width="13.8515625" style="0" bestFit="1" customWidth="1"/>
  </cols>
  <sheetData>
    <row r="1" spans="1:3" ht="15.75">
      <c r="A1" s="796" t="s">
        <v>537</v>
      </c>
      <c r="B1" s="796"/>
      <c r="C1" s="796"/>
    </row>
    <row r="2" spans="1:3" ht="12.75">
      <c r="A2" s="399"/>
      <c r="B2" s="399"/>
      <c r="C2" s="399"/>
    </row>
    <row r="3" spans="1:3" ht="12.75">
      <c r="A3" s="440" t="s">
        <v>360</v>
      </c>
      <c r="B3" s="440" t="s">
        <v>538</v>
      </c>
      <c r="C3" s="440" t="s">
        <v>361</v>
      </c>
    </row>
    <row r="4" spans="1:3" ht="12.75">
      <c r="A4" s="441"/>
      <c r="B4" s="441"/>
      <c r="C4" s="441"/>
    </row>
    <row r="5" spans="1:3" ht="12.75">
      <c r="A5" s="442" t="s">
        <v>263</v>
      </c>
      <c r="B5" s="441"/>
      <c r="C5" s="443">
        <f>SUM(B7:B11)</f>
        <v>21098185476</v>
      </c>
    </row>
    <row r="6" spans="1:3" ht="12.75">
      <c r="A6" s="442" t="s">
        <v>247</v>
      </c>
      <c r="B6" s="444"/>
      <c r="C6" s="441"/>
    </row>
    <row r="7" spans="1:3" ht="12.75">
      <c r="A7" s="441" t="s">
        <v>362</v>
      </c>
      <c r="B7" s="445">
        <v>11136698531.75</v>
      </c>
      <c r="C7" s="441"/>
    </row>
    <row r="8" spans="1:3" ht="12.75">
      <c r="A8" s="441" t="s">
        <v>363</v>
      </c>
      <c r="B8" s="445">
        <v>6682019119.25</v>
      </c>
      <c r="C8" s="441"/>
    </row>
    <row r="9" spans="1:3" ht="12.75">
      <c r="A9" s="441" t="s">
        <v>364</v>
      </c>
      <c r="B9" s="445">
        <v>87493047</v>
      </c>
      <c r="C9" s="441"/>
    </row>
    <row r="10" spans="1:3" ht="12.75">
      <c r="A10" s="441" t="s">
        <v>365</v>
      </c>
      <c r="B10" s="445">
        <v>36859031</v>
      </c>
      <c r="C10" s="441"/>
    </row>
    <row r="11" spans="1:3" ht="12.75">
      <c r="A11" s="441" t="s">
        <v>366</v>
      </c>
      <c r="B11" s="445">
        <v>3155115747</v>
      </c>
      <c r="C11" s="441"/>
    </row>
    <row r="12" spans="1:3" ht="12.75">
      <c r="A12" s="441"/>
      <c r="B12" s="441"/>
      <c r="C12" s="444"/>
    </row>
    <row r="13" spans="1:3" ht="12.75">
      <c r="A13" s="442" t="s">
        <v>253</v>
      </c>
      <c r="B13" s="441"/>
      <c r="C13" s="443">
        <f>SUM(B14:B21)</f>
        <v>5335232039</v>
      </c>
    </row>
    <row r="14" spans="1:3" ht="12.75">
      <c r="A14" s="441" t="s">
        <v>255</v>
      </c>
      <c r="B14" s="445">
        <v>110160772</v>
      </c>
      <c r="C14" s="443"/>
    </row>
    <row r="15" spans="1:3" ht="12.75">
      <c r="A15" s="441" t="s">
        <v>256</v>
      </c>
      <c r="B15" s="445">
        <v>67937649</v>
      </c>
      <c r="C15" s="443"/>
    </row>
    <row r="16" spans="1:3" ht="12.75">
      <c r="A16" s="441" t="s">
        <v>258</v>
      </c>
      <c r="B16" s="445">
        <v>3902008480</v>
      </c>
      <c r="C16" s="443"/>
    </row>
    <row r="17" spans="1:3" ht="12.75">
      <c r="A17" s="441" t="s">
        <v>259</v>
      </c>
      <c r="B17" s="445">
        <v>49329772</v>
      </c>
      <c r="C17" s="443"/>
    </row>
    <row r="18" spans="1:3" ht="12.75">
      <c r="A18" s="441" t="s">
        <v>260</v>
      </c>
      <c r="B18" s="445">
        <v>17898302</v>
      </c>
      <c r="C18" s="443"/>
    </row>
    <row r="19" spans="1:3" ht="12.75">
      <c r="A19" s="441" t="s">
        <v>261</v>
      </c>
      <c r="B19" s="445">
        <v>434484636</v>
      </c>
      <c r="C19" s="443"/>
    </row>
    <row r="20" spans="1:3" ht="12.75">
      <c r="A20" s="441" t="s">
        <v>262</v>
      </c>
      <c r="B20" s="445">
        <v>753412428</v>
      </c>
      <c r="C20" s="443"/>
    </row>
    <row r="21" spans="1:3" ht="12.75">
      <c r="A21" s="441" t="s">
        <v>367</v>
      </c>
      <c r="B21" s="445">
        <v>0</v>
      </c>
      <c r="C21" s="443"/>
    </row>
    <row r="22" spans="1:3" ht="12.75">
      <c r="A22" s="441"/>
      <c r="B22" s="441"/>
      <c r="C22" s="441"/>
    </row>
    <row r="23" spans="1:3" ht="12.75">
      <c r="A23" s="442" t="s">
        <v>368</v>
      </c>
      <c r="B23" s="441"/>
      <c r="C23" s="443">
        <f>SUM(B24:B27)</f>
        <v>18093720946</v>
      </c>
    </row>
    <row r="24" spans="1:3" ht="12.75">
      <c r="A24" s="441" t="s">
        <v>369</v>
      </c>
      <c r="B24" s="445">
        <v>2810120697</v>
      </c>
      <c r="C24" s="441"/>
    </row>
    <row r="25" spans="1:3" ht="12.75">
      <c r="A25" s="441" t="s">
        <v>370</v>
      </c>
      <c r="B25" s="445">
        <v>860571913</v>
      </c>
      <c r="C25" s="441"/>
    </row>
    <row r="26" spans="1:4" ht="12.75">
      <c r="A26" s="441" t="s">
        <v>371</v>
      </c>
      <c r="B26" s="445">
        <v>1791727116</v>
      </c>
      <c r="C26" s="441"/>
      <c r="D26" s="438"/>
    </row>
    <row r="27" spans="1:3" ht="12.75">
      <c r="A27" s="441" t="s">
        <v>372</v>
      </c>
      <c r="B27" s="445">
        <v>12631301220</v>
      </c>
      <c r="C27" s="441"/>
    </row>
    <row r="28" spans="1:3" ht="12.75">
      <c r="A28" s="797" t="s">
        <v>540</v>
      </c>
      <c r="B28" s="792"/>
      <c r="C28" s="794">
        <f>+C5+C13-C23</f>
        <v>8339696569</v>
      </c>
    </row>
    <row r="29" spans="1:3" ht="12.75">
      <c r="A29" s="798"/>
      <c r="B29" s="793"/>
      <c r="C29" s="799"/>
    </row>
    <row r="30" spans="1:3" ht="12.75">
      <c r="A30" s="402"/>
      <c r="B30" s="402"/>
      <c r="C30" s="402"/>
    </row>
    <row r="31" spans="1:3" ht="15.75">
      <c r="A31" s="796" t="s">
        <v>539</v>
      </c>
      <c r="B31" s="796"/>
      <c r="C31" s="402"/>
    </row>
    <row r="32" spans="1:3" ht="12.75">
      <c r="A32" s="440" t="s">
        <v>360</v>
      </c>
      <c r="B32" s="440" t="s">
        <v>538</v>
      </c>
      <c r="C32" s="440" t="s">
        <v>361</v>
      </c>
    </row>
    <row r="33" spans="1:3" ht="12.75">
      <c r="A33" s="441"/>
      <c r="B33" s="441"/>
      <c r="C33" s="441"/>
    </row>
    <row r="34" spans="1:3" ht="12.75">
      <c r="A34" s="442" t="s">
        <v>263</v>
      </c>
      <c r="B34" s="441"/>
      <c r="C34" s="443">
        <f>SUM(B36:B38)</f>
        <v>8050456063.25</v>
      </c>
    </row>
    <row r="35" spans="1:3" ht="12.75">
      <c r="A35" s="442" t="s">
        <v>247</v>
      </c>
      <c r="B35" s="441"/>
      <c r="C35" s="441"/>
    </row>
    <row r="36" spans="1:3" ht="12.75">
      <c r="A36" s="441" t="s">
        <v>363</v>
      </c>
      <c r="B36" s="444">
        <v>6682019119.25</v>
      </c>
      <c r="C36" s="441"/>
    </row>
    <row r="37" spans="1:3" ht="12.75">
      <c r="A37" s="441" t="s">
        <v>366</v>
      </c>
      <c r="B37" s="445">
        <v>1331577913</v>
      </c>
      <c r="C37" s="441"/>
    </row>
    <row r="38" spans="1:3" ht="12.75">
      <c r="A38" s="441" t="s">
        <v>365</v>
      </c>
      <c r="B38" s="444">
        <v>36859031</v>
      </c>
      <c r="C38" s="444"/>
    </row>
    <row r="39" spans="1:3" ht="12.75">
      <c r="A39" s="441"/>
      <c r="B39" s="441"/>
      <c r="C39" s="444"/>
    </row>
    <row r="40" spans="1:3" ht="12.75">
      <c r="A40" s="442" t="s">
        <v>253</v>
      </c>
      <c r="B40" s="441"/>
      <c r="C40" s="446">
        <f>SUM(B41:B43)</f>
        <v>3987844431</v>
      </c>
    </row>
    <row r="41" spans="1:3" ht="12.75">
      <c r="A41" s="441" t="s">
        <v>256</v>
      </c>
      <c r="B41" s="444">
        <v>67937649</v>
      </c>
      <c r="C41" s="446"/>
    </row>
    <row r="42" spans="1:3" ht="12.75">
      <c r="A42" s="441" t="s">
        <v>258</v>
      </c>
      <c r="B42" s="444">
        <v>3902008480</v>
      </c>
      <c r="C42" s="446"/>
    </row>
    <row r="43" spans="1:3" ht="12.75">
      <c r="A43" s="441" t="s">
        <v>260</v>
      </c>
      <c r="B43" s="444">
        <v>17898302</v>
      </c>
      <c r="C43" s="446"/>
    </row>
    <row r="44" spans="1:3" ht="12.75">
      <c r="A44" s="441"/>
      <c r="B44" s="441"/>
      <c r="C44" s="441"/>
    </row>
    <row r="45" spans="1:3" ht="12.75">
      <c r="A45" s="442" t="s">
        <v>368</v>
      </c>
      <c r="B45" s="441"/>
      <c r="C45" s="443">
        <f>SUM(B46:B49)</f>
        <v>6790055894</v>
      </c>
    </row>
    <row r="46" spans="1:4" ht="12.75">
      <c r="A46" s="441" t="s">
        <v>369</v>
      </c>
      <c r="B46" s="445">
        <v>899873403</v>
      </c>
      <c r="C46" s="443"/>
      <c r="D46" s="438"/>
    </row>
    <row r="47" spans="1:3" ht="12.75">
      <c r="A47" s="441" t="s">
        <v>370</v>
      </c>
      <c r="B47" s="445">
        <v>332400028</v>
      </c>
      <c r="C47" s="443"/>
    </row>
    <row r="48" spans="1:5" ht="12.75">
      <c r="A48" s="441" t="s">
        <v>371</v>
      </c>
      <c r="B48" s="445">
        <v>670562231</v>
      </c>
      <c r="C48" s="443"/>
      <c r="E48" s="438"/>
    </row>
    <row r="49" spans="1:3" ht="12.75">
      <c r="A49" s="441" t="s">
        <v>373</v>
      </c>
      <c r="B49" s="445">
        <v>4887220232</v>
      </c>
      <c r="C49" s="441"/>
    </row>
    <row r="50" spans="1:3" ht="12.75">
      <c r="A50" s="797" t="s">
        <v>540</v>
      </c>
      <c r="B50" s="792"/>
      <c r="C50" s="794">
        <f>+C34+C40-C45</f>
        <v>5248244600.25</v>
      </c>
    </row>
    <row r="51" spans="1:3" ht="12.75">
      <c r="A51" s="798"/>
      <c r="B51" s="793"/>
      <c r="C51" s="795"/>
    </row>
    <row r="52" spans="1:3" ht="12.75">
      <c r="A52" s="439"/>
      <c r="B52" s="439"/>
      <c r="C52" s="402"/>
    </row>
    <row r="53" spans="1:3" ht="12.75">
      <c r="A53" s="439"/>
      <c r="B53" s="439"/>
      <c r="C53" s="402"/>
    </row>
    <row r="54" spans="1:3" ht="12.75">
      <c r="A54" s="439"/>
      <c r="B54" s="439"/>
      <c r="C54" s="402"/>
    </row>
    <row r="55" spans="1:3" ht="15.75">
      <c r="A55" s="796" t="s">
        <v>542</v>
      </c>
      <c r="B55" s="796"/>
      <c r="C55" s="796"/>
    </row>
    <row r="56" spans="1:3" ht="12.75">
      <c r="A56" s="440" t="s">
        <v>360</v>
      </c>
      <c r="B56" s="440" t="s">
        <v>538</v>
      </c>
      <c r="C56" s="441"/>
    </row>
    <row r="57" spans="1:3" ht="12.75">
      <c r="A57" s="441"/>
      <c r="B57" s="441"/>
      <c r="C57" s="441"/>
    </row>
    <row r="58" spans="1:3" ht="12.75">
      <c r="A58" s="442" t="s">
        <v>263</v>
      </c>
      <c r="B58" s="441"/>
      <c r="C58" s="443">
        <f>SUM(B60:B62)</f>
        <v>13047729412.75</v>
      </c>
    </row>
    <row r="59" spans="1:3" ht="12.75">
      <c r="A59" s="442" t="s">
        <v>247</v>
      </c>
      <c r="B59" s="441"/>
      <c r="C59" s="441"/>
    </row>
    <row r="60" spans="1:3" ht="12.75">
      <c r="A60" s="441" t="s">
        <v>362</v>
      </c>
      <c r="B60" s="444">
        <v>11136698531.75</v>
      </c>
      <c r="C60" s="441"/>
    </row>
    <row r="61" spans="1:3" ht="12.75">
      <c r="A61" s="441" t="s">
        <v>366</v>
      </c>
      <c r="B61" s="445">
        <v>1823537834</v>
      </c>
      <c r="C61" s="441"/>
    </row>
    <row r="62" spans="1:3" ht="12.75">
      <c r="A62" s="441" t="str">
        <f>+A9</f>
        <v>Cuota de Fomento (vigencias anteriores)</v>
      </c>
      <c r="B62" s="444">
        <v>87493047</v>
      </c>
      <c r="C62" s="441"/>
    </row>
    <row r="63" spans="1:3" ht="12.75">
      <c r="A63" s="441"/>
      <c r="B63" s="441"/>
      <c r="C63" s="441"/>
    </row>
    <row r="64" spans="1:3" ht="12.75">
      <c r="A64" s="441"/>
      <c r="B64" s="441"/>
      <c r="C64" s="441"/>
    </row>
    <row r="65" spans="1:3" ht="12.75">
      <c r="A65" s="442" t="s">
        <v>253</v>
      </c>
      <c r="B65" s="441"/>
      <c r="C65" s="443">
        <f>SUM(B66:B69)</f>
        <v>1347387608</v>
      </c>
    </row>
    <row r="66" spans="1:3" ht="12.75">
      <c r="A66" s="441" t="str">
        <f>+A14</f>
        <v>Rendimientos Financieros FNP</v>
      </c>
      <c r="B66" s="445">
        <v>110160772</v>
      </c>
      <c r="C66" s="441"/>
    </row>
    <row r="67" spans="1:3" ht="12.75">
      <c r="A67" s="441" t="str">
        <f>+A17</f>
        <v>Financieros FNP</v>
      </c>
      <c r="B67" s="445">
        <v>49329772</v>
      </c>
      <c r="C67" s="441"/>
    </row>
    <row r="68" spans="1:3" ht="12.75">
      <c r="A68" s="441" t="str">
        <f>+A19</f>
        <v>Extraordinarios FNP</v>
      </c>
      <c r="B68" s="445">
        <v>434484636</v>
      </c>
      <c r="C68" s="441"/>
    </row>
    <row r="69" spans="1:3" ht="12.75">
      <c r="A69" s="441" t="str">
        <f>+A20</f>
        <v>Programas y proyectos FNP</v>
      </c>
      <c r="B69" s="447">
        <v>753412428</v>
      </c>
      <c r="C69" s="441"/>
    </row>
    <row r="70" spans="1:3" ht="12.75">
      <c r="A70" s="441"/>
      <c r="B70" s="441"/>
      <c r="C70" s="441"/>
    </row>
    <row r="71" spans="1:3" ht="12.75">
      <c r="A71" s="442" t="s">
        <v>368</v>
      </c>
      <c r="B71" s="441"/>
      <c r="C71" s="443">
        <f>SUM(B72:B75)</f>
        <v>11303665052</v>
      </c>
    </row>
    <row r="72" spans="1:3" ht="12.75">
      <c r="A72" s="441" t="s">
        <v>369</v>
      </c>
      <c r="B72" s="445">
        <v>1910247294</v>
      </c>
      <c r="C72" s="441"/>
    </row>
    <row r="73" spans="1:3" ht="12.75">
      <c r="A73" s="441" t="s">
        <v>370</v>
      </c>
      <c r="B73" s="445">
        <v>528171885</v>
      </c>
      <c r="C73" s="441"/>
    </row>
    <row r="74" spans="1:4" ht="12.75">
      <c r="A74" s="441" t="s">
        <v>371</v>
      </c>
      <c r="B74" s="445">
        <v>1121164885</v>
      </c>
      <c r="C74" s="441"/>
      <c r="D74" s="438"/>
    </row>
    <row r="75" spans="1:3" ht="12.75">
      <c r="A75" s="441" t="s">
        <v>372</v>
      </c>
      <c r="B75" s="445">
        <v>7744080988</v>
      </c>
      <c r="C75" s="441"/>
    </row>
    <row r="76" spans="1:3" ht="12.75">
      <c r="A76" s="797" t="s">
        <v>540</v>
      </c>
      <c r="B76" s="792"/>
      <c r="C76" s="794">
        <f>+C58+C65-C71</f>
        <v>3091451968.75</v>
      </c>
    </row>
    <row r="77" spans="1:4" ht="12.75">
      <c r="A77" s="798"/>
      <c r="B77" s="793"/>
      <c r="C77" s="795"/>
      <c r="D77" s="438"/>
    </row>
    <row r="78" ht="12.75">
      <c r="D78" s="438"/>
    </row>
    <row r="79" ht="12.75">
      <c r="C79" s="438"/>
    </row>
  </sheetData>
  <sheetProtection/>
  <mergeCells count="12">
    <mergeCell ref="A1:C1"/>
    <mergeCell ref="A28:A29"/>
    <mergeCell ref="B28:B29"/>
    <mergeCell ref="C28:C29"/>
    <mergeCell ref="A31:B31"/>
    <mergeCell ref="A50:A51"/>
    <mergeCell ref="B50:B51"/>
    <mergeCell ref="C50:C51"/>
    <mergeCell ref="A55:C55"/>
    <mergeCell ref="A76:A77"/>
    <mergeCell ref="B76:B77"/>
    <mergeCell ref="C76:C77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185"/>
  <sheetViews>
    <sheetView view="pageBreakPreview" zoomScale="60" zoomScaleNormal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V59" sqref="V59"/>
    </sheetView>
  </sheetViews>
  <sheetFormatPr defaultColWidth="11.421875" defaultRowHeight="12.75" outlineLevelCol="1"/>
  <cols>
    <col min="1" max="1" width="35.00390625" style="51" customWidth="1"/>
    <col min="2" max="2" width="20.8515625" style="51" customWidth="1"/>
    <col min="3" max="3" width="18.7109375" style="51" hidden="1" customWidth="1" outlineLevel="1"/>
    <col min="4" max="4" width="17.7109375" style="51" hidden="1" customWidth="1" outlineLevel="1"/>
    <col min="5" max="5" width="18.57421875" style="51" hidden="1" customWidth="1" outlineLevel="1"/>
    <col min="6" max="6" width="20.140625" style="51" hidden="1" customWidth="1" outlineLevel="1"/>
    <col min="7" max="7" width="18.421875" style="51" hidden="1" customWidth="1" outlineLevel="1"/>
    <col min="8" max="8" width="16.140625" style="51" hidden="1" customWidth="1" outlineLevel="1"/>
    <col min="9" max="9" width="20.421875" style="51" customWidth="1" collapsed="1"/>
    <col min="10" max="10" width="18.7109375" style="51" hidden="1" customWidth="1" outlineLevel="1"/>
    <col min="11" max="11" width="20.140625" style="51" hidden="1" customWidth="1" outlineLevel="1"/>
    <col min="12" max="12" width="19.8515625" style="51" hidden="1" customWidth="1" outlineLevel="1"/>
    <col min="13" max="13" width="19.00390625" style="51" hidden="1" customWidth="1" outlineLevel="1"/>
    <col min="14" max="14" width="20.8515625" style="51" hidden="1" customWidth="1" collapsed="1"/>
    <col min="15" max="15" width="18.7109375" style="51" customWidth="1" outlineLevel="1"/>
    <col min="16" max="16" width="19.00390625" style="51" customWidth="1" outlineLevel="1"/>
    <col min="17" max="17" width="19.8515625" style="51" customWidth="1" outlineLevel="1"/>
    <col min="18" max="18" width="18.7109375" style="51" customWidth="1" outlineLevel="1"/>
    <col min="19" max="19" width="20.421875" style="51" customWidth="1"/>
    <col min="20" max="20" width="21.00390625" style="51" hidden="1" customWidth="1" outlineLevel="1"/>
    <col min="21" max="21" width="19.00390625" style="51" hidden="1" customWidth="1" outlineLevel="1"/>
    <col min="22" max="22" width="14.28125" style="51" customWidth="1" outlineLevel="1"/>
    <col min="23" max="23" width="27.140625" style="51" hidden="1" customWidth="1" outlineLevel="1"/>
    <col min="24" max="27" width="16.140625" style="51" hidden="1" customWidth="1"/>
    <col min="28" max="28" width="15.140625" style="60" bestFit="1" customWidth="1"/>
    <col min="29" max="29" width="13.57421875" style="60" bestFit="1" customWidth="1"/>
    <col min="30" max="16384" width="11.421875" style="51" customWidth="1"/>
  </cols>
  <sheetData>
    <row r="1" ht="16.5">
      <c r="A1" s="2" t="s">
        <v>0</v>
      </c>
    </row>
    <row r="2" ht="16.5">
      <c r="A2" s="61" t="s">
        <v>133</v>
      </c>
    </row>
    <row r="3" spans="1:24" ht="16.5">
      <c r="A3" s="61" t="s">
        <v>134</v>
      </c>
      <c r="X3" s="62"/>
    </row>
    <row r="4" ht="16.5">
      <c r="A4" s="61" t="s">
        <v>182</v>
      </c>
    </row>
    <row r="5" ht="16.5">
      <c r="A5" s="61" t="s">
        <v>352</v>
      </c>
    </row>
    <row r="6" ht="15"/>
    <row r="7" ht="15.75" thickBot="1"/>
    <row r="8" spans="1:28" ht="16.5">
      <c r="A8" s="414" t="s">
        <v>2</v>
      </c>
      <c r="B8" s="414" t="s">
        <v>3</v>
      </c>
      <c r="C8" s="801" t="s">
        <v>234</v>
      </c>
      <c r="D8" s="801" t="s">
        <v>226</v>
      </c>
      <c r="E8" s="801" t="s">
        <v>268</v>
      </c>
      <c r="F8" s="801" t="s">
        <v>278</v>
      </c>
      <c r="G8" s="801" t="s">
        <v>292</v>
      </c>
      <c r="H8" s="801"/>
      <c r="I8" s="414" t="s">
        <v>3</v>
      </c>
      <c r="J8" s="800" t="s">
        <v>5</v>
      </c>
      <c r="K8" s="800"/>
      <c r="L8" s="800"/>
      <c r="M8" s="800"/>
      <c r="N8" s="415" t="s">
        <v>5</v>
      </c>
      <c r="O8" s="800" t="s">
        <v>6</v>
      </c>
      <c r="P8" s="800"/>
      <c r="Q8" s="800"/>
      <c r="R8" s="800"/>
      <c r="S8" s="414" t="s">
        <v>7</v>
      </c>
      <c r="T8" s="414" t="s">
        <v>8</v>
      </c>
      <c r="U8" s="414" t="s">
        <v>9</v>
      </c>
      <c r="V8" s="416" t="s">
        <v>81</v>
      </c>
      <c r="W8" s="229" t="s">
        <v>10</v>
      </c>
      <c r="X8" s="230" t="s">
        <v>135</v>
      </c>
      <c r="Y8" s="230" t="s">
        <v>135</v>
      </c>
      <c r="Z8" s="230" t="s">
        <v>135</v>
      </c>
      <c r="AA8" s="230" t="s">
        <v>135</v>
      </c>
      <c r="AB8" s="60" t="s">
        <v>130</v>
      </c>
    </row>
    <row r="9" spans="1:27" ht="17.25" thickBot="1">
      <c r="A9" s="417"/>
      <c r="B9" s="418" t="s">
        <v>183</v>
      </c>
      <c r="C9" s="802"/>
      <c r="D9" s="802"/>
      <c r="E9" s="802"/>
      <c r="F9" s="802"/>
      <c r="G9" s="802"/>
      <c r="H9" s="802"/>
      <c r="I9" s="418" t="s">
        <v>83</v>
      </c>
      <c r="J9" s="418" t="s">
        <v>12</v>
      </c>
      <c r="K9" s="418" t="s">
        <v>13</v>
      </c>
      <c r="L9" s="418" t="s">
        <v>14</v>
      </c>
      <c r="M9" s="419" t="s">
        <v>15</v>
      </c>
      <c r="N9" s="420" t="s">
        <v>16</v>
      </c>
      <c r="O9" s="419" t="s">
        <v>12</v>
      </c>
      <c r="P9" s="419" t="s">
        <v>13</v>
      </c>
      <c r="Q9" s="419" t="s">
        <v>14</v>
      </c>
      <c r="R9" s="419" t="s">
        <v>15</v>
      </c>
      <c r="S9" s="418" t="s">
        <v>6</v>
      </c>
      <c r="T9" s="418" t="s">
        <v>17</v>
      </c>
      <c r="U9" s="418" t="s">
        <v>18</v>
      </c>
      <c r="V9" s="419" t="s">
        <v>19</v>
      </c>
      <c r="W9" s="231" t="s">
        <v>20</v>
      </c>
      <c r="X9" s="232" t="s">
        <v>21</v>
      </c>
      <c r="Y9" s="232" t="s">
        <v>13</v>
      </c>
      <c r="Z9" s="232" t="s">
        <v>14</v>
      </c>
      <c r="AA9" s="232" t="s">
        <v>15</v>
      </c>
    </row>
    <row r="10" spans="1:28" ht="16.5">
      <c r="A10" s="167" t="s">
        <v>22</v>
      </c>
      <c r="B10" s="164"/>
      <c r="C10" s="165"/>
      <c r="D10" s="165"/>
      <c r="E10" s="165"/>
      <c r="F10" s="165"/>
      <c r="G10" s="165"/>
      <c r="H10" s="165"/>
      <c r="I10" s="164"/>
      <c r="J10" s="37"/>
      <c r="K10" s="37"/>
      <c r="L10" s="165"/>
      <c r="M10" s="165"/>
      <c r="N10" s="165"/>
      <c r="O10" s="37"/>
      <c r="P10" s="37"/>
      <c r="Q10" s="37"/>
      <c r="R10" s="37"/>
      <c r="S10" s="37"/>
      <c r="T10" s="37"/>
      <c r="U10" s="37"/>
      <c r="V10" s="147"/>
      <c r="W10" s="166"/>
      <c r="X10" s="147"/>
      <c r="Y10" s="166"/>
      <c r="Z10" s="147"/>
      <c r="AA10" s="166"/>
      <c r="AB10" s="226"/>
    </row>
    <row r="11" spans="1:29" s="3" customFormat="1" ht="16.5">
      <c r="A11" s="168" t="s">
        <v>23</v>
      </c>
      <c r="B11" s="36"/>
      <c r="C11" s="7"/>
      <c r="D11" s="7"/>
      <c r="E11" s="7"/>
      <c r="F11" s="7"/>
      <c r="G11" s="7"/>
      <c r="H11" s="7"/>
      <c r="I11" s="36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64"/>
      <c r="W11" s="63"/>
      <c r="X11" s="64"/>
      <c r="Y11" s="63"/>
      <c r="Z11" s="64"/>
      <c r="AA11" s="63"/>
      <c r="AB11" s="227"/>
      <c r="AC11" s="65"/>
    </row>
    <row r="12" spans="1:29" s="3" customFormat="1" ht="15">
      <c r="A12" s="168" t="s">
        <v>24</v>
      </c>
      <c r="B12" s="7">
        <f>+'[11]ECO'!B11+TEC!B11+PPC!B11+MER!B11+FUN!B11</f>
        <v>1672103509</v>
      </c>
      <c r="C12" s="7"/>
      <c r="D12" s="7"/>
      <c r="E12" s="7"/>
      <c r="F12" s="7">
        <f>+ECO!F11</f>
        <v>-35145088</v>
      </c>
      <c r="G12" s="7"/>
      <c r="H12" s="7"/>
      <c r="I12" s="7">
        <f>+SUM(B12:G12)</f>
        <v>1636958421</v>
      </c>
      <c r="J12" s="7">
        <f>+ECO!M11+TEC!M11+PPC!M11+MER!M11+FUN!L11</f>
        <v>345320997</v>
      </c>
      <c r="K12" s="7">
        <f>+ECO!Q11+TEC!Q11+PPC!Q11+MER!Q11+FUN!P11</f>
        <v>402239343</v>
      </c>
      <c r="L12" s="7">
        <f>+ECO!V11+TEC!V11+PPC!V11+MER!V11+FUN!U11</f>
        <v>406093064.2119</v>
      </c>
      <c r="M12" s="7">
        <f>+ECO!Z11+TEC!AA11+PPC!Z11+MER!AA11+FUN!Z11</f>
        <v>483305016.7881</v>
      </c>
      <c r="N12" s="7">
        <f>SUM(J12:M12)</f>
        <v>1636958421</v>
      </c>
      <c r="O12" s="380">
        <f>+'[11]ECO'!AA11+TEC!AC11+PPC!AB11+MER!AC11+FUN!AB11</f>
        <v>345320997</v>
      </c>
      <c r="P12" s="380">
        <f>+'[11]ECO'!AB11+TEC!AD11+PPC!AC11+MER!AD11+FUN!AC11</f>
        <v>402239343</v>
      </c>
      <c r="Q12" s="380">
        <f>+ECO!AD11+TEC!AE11+PPC!AD11+MER!AE11+FUN!AD11</f>
        <v>406093064</v>
      </c>
      <c r="R12" s="380">
        <f>+ECO!AE11+TEC!AF11+PPC!AE11+MER!AF11+FUN!AE11</f>
        <v>388423995</v>
      </c>
      <c r="S12" s="380">
        <f>SUM(O12:R12)</f>
        <v>1542077399</v>
      </c>
      <c r="T12" s="7">
        <f>+I12-N12</f>
        <v>0</v>
      </c>
      <c r="U12" s="7">
        <f>+I12-S12</f>
        <v>94881022</v>
      </c>
      <c r="V12" s="130">
        <f>+S12/I12</f>
        <v>0.9420382211406212</v>
      </c>
      <c r="W12" s="9">
        <f>+N12-S12</f>
        <v>94881022</v>
      </c>
      <c r="X12" s="130">
        <f>+O12/J12</f>
        <v>1</v>
      </c>
      <c r="Y12" s="131">
        <f>+P12/K12</f>
        <v>1</v>
      </c>
      <c r="Z12" s="130">
        <f>+Q12/L12</f>
        <v>0.9999999994781984</v>
      </c>
      <c r="AA12" s="131">
        <f>+R12/M12</f>
        <v>0.8036829362570023</v>
      </c>
      <c r="AB12" s="227"/>
      <c r="AC12" s="65"/>
    </row>
    <row r="13" spans="1:29" s="3" customFormat="1" ht="15">
      <c r="A13" s="168" t="s">
        <v>25</v>
      </c>
      <c r="B13" s="7">
        <f>+'[11]ECO'!B12+TEC!B12+PPC!B12+MER!B12+FUN!B12</f>
        <v>112055641</v>
      </c>
      <c r="C13" s="7"/>
      <c r="D13" s="7"/>
      <c r="E13" s="7"/>
      <c r="F13" s="7">
        <f>+ECO!F12</f>
        <v>-4374907</v>
      </c>
      <c r="G13" s="7"/>
      <c r="H13" s="7"/>
      <c r="I13" s="7">
        <f aca="true" t="shared" si="0" ref="I13:I22">+SUM(B13:G13)</f>
        <v>107680734</v>
      </c>
      <c r="J13" s="7">
        <f>+ECO!M12+TEC!M12+PPC!M12+MER!M12+FUN!L12</f>
        <v>23129450</v>
      </c>
      <c r="K13" s="7">
        <f>+ECO!Q12+TEC!Q12+PPC!Q12+MER!Q12+FUN!P12</f>
        <v>28702568</v>
      </c>
      <c r="L13" s="7">
        <f>+ECO!V12+TEC!V12+PPC!V12+MER!V12+FUN!U12</f>
        <v>27406355.70245127</v>
      </c>
      <c r="M13" s="7">
        <f>+ECO!Z12+TEC!AA12+PPC!Z12+MER!AA12+FUN!Z12</f>
        <v>28442360.29754873</v>
      </c>
      <c r="N13" s="7">
        <f aca="true" t="shared" si="1" ref="N13:N22">SUM(J13:M13)</f>
        <v>107680734</v>
      </c>
      <c r="O13" s="380">
        <f>+'[11]ECO'!AA12+TEC!AC12+PPC!AB12+MER!AC12+FUN!AB12</f>
        <v>23129450</v>
      </c>
      <c r="P13" s="380">
        <f>+'[11]ECO'!AB12+TEC!AD12+PPC!AC12+MER!AD12+FUN!AC12</f>
        <v>28702568</v>
      </c>
      <c r="Q13" s="380">
        <f>+ECO!AD12+TEC!AE12+PPC!AD12+MER!AE12+FUN!AD12</f>
        <v>27406356</v>
      </c>
      <c r="R13" s="380">
        <f>+ECO!AE12+TEC!AF12+PPC!AE12+MER!AF12+FUN!AE12</f>
        <v>26699033</v>
      </c>
      <c r="S13" s="380">
        <f aca="true" t="shared" si="2" ref="S13:S21">SUM(O13:R13)</f>
        <v>105937407</v>
      </c>
      <c r="T13" s="7">
        <f aca="true" t="shared" si="3" ref="T13:T22">+I13-N13</f>
        <v>0</v>
      </c>
      <c r="U13" s="7">
        <f aca="true" t="shared" si="4" ref="U13:U22">+I13-S13</f>
        <v>1743327</v>
      </c>
      <c r="V13" s="130">
        <f aca="true" t="shared" si="5" ref="V13:V22">+S13/I13</f>
        <v>0.9838102236561649</v>
      </c>
      <c r="W13" s="9">
        <f aca="true" t="shared" si="6" ref="W13:W22">+N13-S13</f>
        <v>1743327</v>
      </c>
      <c r="X13" s="130">
        <f aca="true" t="shared" si="7" ref="X13:X22">+O13/J13</f>
        <v>1</v>
      </c>
      <c r="Y13" s="131">
        <f aca="true" t="shared" si="8" ref="Y13:Y22">+P13/K13</f>
        <v>1</v>
      </c>
      <c r="Z13" s="130">
        <f aca="true" t="shared" si="9" ref="Z13:Z22">+Q13/L13</f>
        <v>1.0000000108569242</v>
      </c>
      <c r="AA13" s="131">
        <f aca="true" t="shared" si="10" ref="AA13:AA22">+R13/M13</f>
        <v>0.9387066586840552</v>
      </c>
      <c r="AB13" s="227"/>
      <c r="AC13" s="65"/>
    </row>
    <row r="14" spans="1:29" s="3" customFormat="1" ht="15">
      <c r="A14" s="168" t="s">
        <v>26</v>
      </c>
      <c r="B14" s="7">
        <f>+'[11]ECO'!B13+TEC!B13+PPC!B13+MER!B13+FUN!B13</f>
        <v>13446675.5</v>
      </c>
      <c r="C14" s="7"/>
      <c r="D14" s="7"/>
      <c r="E14" s="7"/>
      <c r="F14" s="7">
        <f>+ECO!F13</f>
        <v>-524989</v>
      </c>
      <c r="G14" s="7"/>
      <c r="H14" s="7"/>
      <c r="I14" s="7">
        <f t="shared" si="0"/>
        <v>12921686.5</v>
      </c>
      <c r="J14" s="7">
        <f>+ECO!M13+TEC!M13+PPC!M13+MER!M13+FUN!L13</f>
        <v>2775534</v>
      </c>
      <c r="K14" s="7">
        <f>+ECO!Q13+TEC!Q13+PPC!Q13+MER!Q13+FUN!P13</f>
        <v>242002</v>
      </c>
      <c r="L14" s="7">
        <f>+ECO!V13+TEC!V13+PPC!V13+MER!V13+FUN!U13</f>
        <v>3873296.3242941527</v>
      </c>
      <c r="M14" s="7">
        <f>+ECO!Z13+TEC!AA13+PPC!Z13+MER!AA13+FUN!Z13</f>
        <v>6030854.175705847</v>
      </c>
      <c r="N14" s="7">
        <f t="shared" si="1"/>
        <v>12921686.5</v>
      </c>
      <c r="O14" s="380">
        <f>+'[11]ECO'!AA13+TEC!AC13+PPC!AB13+MER!AC13+FUN!AB13</f>
        <v>2775534</v>
      </c>
      <c r="P14" s="380">
        <f>+'[11]ECO'!AB13+TEC!AD13+PPC!AC13+MER!AD13+FUN!AC13</f>
        <v>242002</v>
      </c>
      <c r="Q14" s="380">
        <f>+ECO!AD13+TEC!AE13+PPC!AD13+MER!AE13+FUN!AD13</f>
        <v>3873296</v>
      </c>
      <c r="R14" s="380">
        <f>+ECO!AE13+TEC!AF13+PPC!AE13+MER!AF13+FUN!AE13</f>
        <v>5218216</v>
      </c>
      <c r="S14" s="380">
        <f t="shared" si="2"/>
        <v>12109048</v>
      </c>
      <c r="T14" s="7">
        <f t="shared" si="3"/>
        <v>0</v>
      </c>
      <c r="U14" s="7">
        <f t="shared" si="4"/>
        <v>812638.5</v>
      </c>
      <c r="V14" s="130">
        <f t="shared" si="5"/>
        <v>0.9371104925042099</v>
      </c>
      <c r="W14" s="9">
        <f t="shared" si="6"/>
        <v>812638.5</v>
      </c>
      <c r="X14" s="130">
        <f t="shared" si="7"/>
        <v>1</v>
      </c>
      <c r="Y14" s="131">
        <f t="shared" si="8"/>
        <v>1</v>
      </c>
      <c r="Z14" s="130">
        <f t="shared" si="9"/>
        <v>0.9999999162743758</v>
      </c>
      <c r="AA14" s="131">
        <f t="shared" si="10"/>
        <v>0.8652532208489793</v>
      </c>
      <c r="AB14" s="227"/>
      <c r="AC14" s="65"/>
    </row>
    <row r="15" spans="1:29" s="3" customFormat="1" ht="15">
      <c r="A15" s="168" t="s">
        <v>27</v>
      </c>
      <c r="B15" s="7">
        <f>+'[11]ECO'!B14+TEC!B14+PPC!B14+MER!B14+FUN!B14</f>
        <v>112055641</v>
      </c>
      <c r="C15" s="7"/>
      <c r="D15" s="7"/>
      <c r="E15" s="7"/>
      <c r="F15" s="7">
        <f>+ECO!F14</f>
        <v>-4374907</v>
      </c>
      <c r="G15" s="7"/>
      <c r="H15" s="7"/>
      <c r="I15" s="7">
        <f t="shared" si="0"/>
        <v>107680734</v>
      </c>
      <c r="J15" s="7">
        <f>+ECO!M14+TEC!M14+PPC!M14+MER!M14+FUN!L14</f>
        <v>23129450</v>
      </c>
      <c r="K15" s="7">
        <f>+ECO!Q14+TEC!Q14+PPC!Q14+MER!Q14+FUN!P14</f>
        <v>28702568</v>
      </c>
      <c r="L15" s="7">
        <f>+ECO!V14+TEC!V14+PPC!V14+MER!V14+FUN!U14</f>
        <v>27406355.70245127</v>
      </c>
      <c r="M15" s="7">
        <f>+ECO!Z14+TEC!AA14+PPC!Z14+MER!AA14+FUN!Z14</f>
        <v>28442360.29754873</v>
      </c>
      <c r="N15" s="7">
        <f t="shared" si="1"/>
        <v>107680734</v>
      </c>
      <c r="O15" s="380">
        <f>+'[11]ECO'!AA14+TEC!AC14+PPC!AB14+MER!AC14+FUN!AB14</f>
        <v>23129450</v>
      </c>
      <c r="P15" s="380">
        <f>+'[11]ECO'!AB14+TEC!AD14+PPC!AC14+MER!AD14+FUN!AC14</f>
        <v>28702568</v>
      </c>
      <c r="Q15" s="380">
        <f>+ECO!AD14+TEC!AE14+PPC!AD14+MER!AE14+FUN!AD14</f>
        <v>27406356</v>
      </c>
      <c r="R15" s="380">
        <f>+ECO!AE14+TEC!AF14+PPC!AE14+MER!AF14+FUN!AE14</f>
        <v>26317880</v>
      </c>
      <c r="S15" s="380">
        <f t="shared" si="2"/>
        <v>105556254</v>
      </c>
      <c r="T15" s="7">
        <f t="shared" si="3"/>
        <v>0</v>
      </c>
      <c r="U15" s="7">
        <f t="shared" si="4"/>
        <v>2124480</v>
      </c>
      <c r="V15" s="130">
        <f t="shared" si="5"/>
        <v>0.9802705653919483</v>
      </c>
      <c r="W15" s="9">
        <f t="shared" si="6"/>
        <v>2124480</v>
      </c>
      <c r="X15" s="130">
        <f t="shared" si="7"/>
        <v>1</v>
      </c>
      <c r="Y15" s="131">
        <f t="shared" si="8"/>
        <v>1</v>
      </c>
      <c r="Z15" s="130">
        <f t="shared" si="9"/>
        <v>1.0000000108569242</v>
      </c>
      <c r="AA15" s="131">
        <f t="shared" si="10"/>
        <v>0.9253057666338674</v>
      </c>
      <c r="AB15" s="227"/>
      <c r="AC15" s="65"/>
    </row>
    <row r="16" spans="1:29" s="3" customFormat="1" ht="15">
      <c r="A16" s="168" t="s">
        <v>28</v>
      </c>
      <c r="B16" s="7">
        <f>+'[11]ECO'!B15+TEC!B15+PPC!B15+MER!B15+FUN!B15</f>
        <v>69953420</v>
      </c>
      <c r="C16" s="7"/>
      <c r="D16" s="7"/>
      <c r="E16" s="7"/>
      <c r="F16" s="7">
        <f>+ECO!F15</f>
        <v>-2187454</v>
      </c>
      <c r="G16" s="7"/>
      <c r="H16" s="7"/>
      <c r="I16" s="7">
        <f t="shared" si="0"/>
        <v>67765966</v>
      </c>
      <c r="J16" s="7">
        <f>+ECO!M15+TEC!M15+PPC!M15+MER!M15+FUN!L15</f>
        <v>14265630</v>
      </c>
      <c r="K16" s="7">
        <f>+ECO!Q15+TEC!Q15+PPC!Q15+MER!Q15+FUN!P15</f>
        <v>16471524</v>
      </c>
      <c r="L16" s="7">
        <f>+ECO!V15+TEC!V15+PPC!V15+MER!V15+FUN!U15</f>
        <v>18648021.244036227</v>
      </c>
      <c r="M16" s="7">
        <f>+ECO!Z15+TEC!AA15+PPC!Z15+MER!AA15+FUN!Z15</f>
        <v>18380790.755963773</v>
      </c>
      <c r="N16" s="7">
        <f t="shared" si="1"/>
        <v>67765966</v>
      </c>
      <c r="O16" s="380">
        <f>+'[11]ECO'!AA15+TEC!AC15+PPC!AB15+MER!AC15+FUN!AB15</f>
        <v>14265630</v>
      </c>
      <c r="P16" s="380">
        <f>+'[11]ECO'!AB15+TEC!AD15+PPC!AC15+MER!AD15+FUN!AC15</f>
        <v>16471524</v>
      </c>
      <c r="Q16" s="380">
        <f>+ECO!AD15+TEC!AE15+PPC!AD15+MER!AE15+FUN!AD15</f>
        <v>18648021</v>
      </c>
      <c r="R16" s="380">
        <f>+ECO!AE15+TEC!AF15+PPC!AE15+MER!AF15+FUN!AE15</f>
        <v>16618305</v>
      </c>
      <c r="S16" s="380">
        <f t="shared" si="2"/>
        <v>66003480</v>
      </c>
      <c r="T16" s="7">
        <f t="shared" si="3"/>
        <v>0</v>
      </c>
      <c r="U16" s="7">
        <f t="shared" si="4"/>
        <v>1762486</v>
      </c>
      <c r="V16" s="130">
        <f t="shared" si="5"/>
        <v>0.9739915756531826</v>
      </c>
      <c r="W16" s="9">
        <f t="shared" si="6"/>
        <v>1762486</v>
      </c>
      <c r="X16" s="130">
        <f t="shared" si="7"/>
        <v>1</v>
      </c>
      <c r="Y16" s="131">
        <f t="shared" si="8"/>
        <v>1</v>
      </c>
      <c r="Z16" s="130">
        <f t="shared" si="9"/>
        <v>0.9999999869135591</v>
      </c>
      <c r="AA16" s="131">
        <f t="shared" si="10"/>
        <v>0.904112626090805</v>
      </c>
      <c r="AB16" s="227"/>
      <c r="AC16" s="65"/>
    </row>
    <row r="17" spans="1:29" s="3" customFormat="1" ht="15">
      <c r="A17" s="168" t="s">
        <v>29</v>
      </c>
      <c r="B17" s="7">
        <f>+FUN!B16</f>
        <v>20000000</v>
      </c>
      <c r="C17" s="7"/>
      <c r="D17" s="7"/>
      <c r="E17" s="7"/>
      <c r="F17" s="7"/>
      <c r="G17" s="7"/>
      <c r="H17" s="7"/>
      <c r="I17" s="7">
        <f t="shared" si="0"/>
        <v>20000000</v>
      </c>
      <c r="J17" s="7">
        <f>+FUN!L16</f>
        <v>0</v>
      </c>
      <c r="K17" s="7">
        <f>+FUN!P16</f>
        <v>13352885</v>
      </c>
      <c r="L17" s="7">
        <f>+FUN!U16</f>
        <v>0</v>
      </c>
      <c r="M17" s="7">
        <f>+FUN!V16</f>
        <v>6647115</v>
      </c>
      <c r="N17" s="7">
        <f t="shared" si="1"/>
        <v>20000000</v>
      </c>
      <c r="O17" s="380">
        <f>+FUN!AB16</f>
        <v>0</v>
      </c>
      <c r="P17" s="380">
        <f>+FUN!AC16</f>
        <v>13352885</v>
      </c>
      <c r="Q17" s="380">
        <f>+ECO!AD16+TEC!AE16+PPC!AD16+MER!AE16+FUN!AD16</f>
        <v>0</v>
      </c>
      <c r="R17" s="380">
        <f>+ECO!AE16+TEC!AF16+PPC!AE16+MER!AF16+FUN!AE16</f>
        <v>3853001</v>
      </c>
      <c r="S17" s="380">
        <f t="shared" si="2"/>
        <v>17205886</v>
      </c>
      <c r="T17" s="7">
        <f t="shared" si="3"/>
        <v>0</v>
      </c>
      <c r="U17" s="7">
        <f t="shared" si="4"/>
        <v>2794114</v>
      </c>
      <c r="V17" s="130">
        <f t="shared" si="5"/>
        <v>0.8602943</v>
      </c>
      <c r="W17" s="9">
        <f t="shared" si="6"/>
        <v>2794114</v>
      </c>
      <c r="X17" s="130">
        <v>1</v>
      </c>
      <c r="Y17" s="131">
        <f t="shared" si="8"/>
        <v>1</v>
      </c>
      <c r="Z17" s="130">
        <v>0</v>
      </c>
      <c r="AA17" s="131">
        <f t="shared" si="10"/>
        <v>0.5796501188861634</v>
      </c>
      <c r="AB17" s="227"/>
      <c r="AC17" s="65"/>
    </row>
    <row r="18" spans="1:29" s="3" customFormat="1" ht="15">
      <c r="A18" s="168" t="s">
        <v>30</v>
      </c>
      <c r="B18" s="7">
        <f>+'[11]ECO'!B17+TEC!B17+PPC!B17+MER!B17+FUN!B17</f>
        <v>332026991.20505786</v>
      </c>
      <c r="C18" s="7"/>
      <c r="D18" s="7"/>
      <c r="E18" s="7"/>
      <c r="F18" s="7">
        <f>+ECO!F17</f>
        <v>-7280795</v>
      </c>
      <c r="G18" s="7"/>
      <c r="H18" s="7"/>
      <c r="I18" s="7">
        <f t="shared" si="0"/>
        <v>324746196.20505786</v>
      </c>
      <c r="J18" s="7">
        <f>+ECO!M17+TEC!M17+PPC!M17+MER!M17+FUN!L17</f>
        <v>75135233</v>
      </c>
      <c r="K18" s="7">
        <f>+ECO!Q17+TEC!Q17+PPC!Q17+MER!Q17+FUN!P17</f>
        <v>79760261</v>
      </c>
      <c r="L18" s="7">
        <f>+ECO!V17+TEC!V17+PPC!V17+MER!V17+FUN!U17</f>
        <v>81319892.61486125</v>
      </c>
      <c r="M18" s="7">
        <f>+ECO!Z17+TEC!AA17+PPC!Z17+MER!AA17+FUN!Z17</f>
        <v>88530809.59019658</v>
      </c>
      <c r="N18" s="7">
        <f t="shared" si="1"/>
        <v>324746196.20505786</v>
      </c>
      <c r="O18" s="380">
        <f>+'[11]ECO'!AA17+TEC!AC17+PPC!AB17+MER!AC17+FUN!AB17</f>
        <v>75135233</v>
      </c>
      <c r="P18" s="380">
        <f>+'[11]ECO'!AB17+TEC!AD17+PPC!AC17+MER!AD17+FUN!AC17</f>
        <v>79760261</v>
      </c>
      <c r="Q18" s="380">
        <f>+ECO!AD17+TEC!AE17+PPC!AD17+MER!AE17+FUN!AD17</f>
        <v>81319893</v>
      </c>
      <c r="R18" s="380">
        <f>+ECO!AE17+TEC!AF17+PPC!AE17+MER!AF17+FUN!AE17</f>
        <v>80311603</v>
      </c>
      <c r="S18" s="380">
        <f t="shared" si="2"/>
        <v>316526990</v>
      </c>
      <c r="T18" s="7">
        <f t="shared" si="3"/>
        <v>0</v>
      </c>
      <c r="U18" s="7">
        <f t="shared" si="4"/>
        <v>8219206.205057859</v>
      </c>
      <c r="V18" s="130">
        <f t="shared" si="5"/>
        <v>0.9746903695836735</v>
      </c>
      <c r="W18" s="9">
        <f t="shared" si="6"/>
        <v>8219206.205057859</v>
      </c>
      <c r="X18" s="130">
        <f t="shared" si="7"/>
        <v>1</v>
      </c>
      <c r="Y18" s="131">
        <f t="shared" si="8"/>
        <v>1</v>
      </c>
      <c r="Z18" s="130">
        <f t="shared" si="9"/>
        <v>1.000000004736095</v>
      </c>
      <c r="AA18" s="131">
        <f t="shared" si="10"/>
        <v>0.9071599296533855</v>
      </c>
      <c r="AB18" s="227"/>
      <c r="AC18" s="65"/>
    </row>
    <row r="19" spans="1:29" s="3" customFormat="1" ht="15">
      <c r="A19" s="168" t="s">
        <v>31</v>
      </c>
      <c r="B19" s="7">
        <f>+'[11]ECO'!B18+TEC!B18+PPC!B18+MER!B18+FUN!B18</f>
        <v>62179771.82023147</v>
      </c>
      <c r="C19" s="7"/>
      <c r="D19" s="7"/>
      <c r="E19" s="7"/>
      <c r="F19" s="7">
        <f>+ECO!F18</f>
        <v>-1385367</v>
      </c>
      <c r="G19" s="7"/>
      <c r="H19" s="7"/>
      <c r="I19" s="7">
        <f t="shared" si="0"/>
        <v>60794404.82023147</v>
      </c>
      <c r="J19" s="7">
        <f>+ECO!M18+TEC!M18+PPC!M18+MER!M18+FUN!L18</f>
        <v>14102940</v>
      </c>
      <c r="K19" s="7">
        <f>+ECO!Q18+TEC!Q18+PPC!Q18+MER!Q18+FUN!P18</f>
        <v>14776660</v>
      </c>
      <c r="L19" s="7">
        <f>+ECO!V18+TEC!V18+PPC!V18+MER!V18+FUN!U18</f>
        <v>15089820.448476002</v>
      </c>
      <c r="M19" s="7">
        <f>+ECO!Z18+TEC!AA18+PPC!Z18+MER!AA18+FUN!Z18</f>
        <v>16824984.371755466</v>
      </c>
      <c r="N19" s="7">
        <f t="shared" si="1"/>
        <v>60794404.82023147</v>
      </c>
      <c r="O19" s="380">
        <f>+'[11]ECO'!AA18+TEC!AC18+PPC!AB18+MER!AC18+FUN!AB18</f>
        <v>14102940</v>
      </c>
      <c r="P19" s="380">
        <f>+'[11]ECO'!AB18+TEC!AD18+PPC!AC18+MER!AD18+FUN!AC18</f>
        <v>14776660</v>
      </c>
      <c r="Q19" s="380">
        <f>+ECO!AD18+TEC!AE18+PPC!AD18+MER!AE18+FUN!AD18</f>
        <v>15089820</v>
      </c>
      <c r="R19" s="380">
        <f>+ECO!AE18+TEC!AF18+PPC!AE18+MER!AF18+FUN!AE18</f>
        <v>15030920</v>
      </c>
      <c r="S19" s="380">
        <f t="shared" si="2"/>
        <v>59000340</v>
      </c>
      <c r="T19" s="7">
        <f t="shared" si="3"/>
        <v>0</v>
      </c>
      <c r="U19" s="7">
        <f t="shared" si="4"/>
        <v>1794064.8202314675</v>
      </c>
      <c r="V19" s="130">
        <f t="shared" si="5"/>
        <v>0.9704896392104421</v>
      </c>
      <c r="W19" s="9">
        <f t="shared" si="6"/>
        <v>1794064.8202314675</v>
      </c>
      <c r="X19" s="130">
        <f t="shared" si="7"/>
        <v>1</v>
      </c>
      <c r="Y19" s="131">
        <f t="shared" si="8"/>
        <v>1</v>
      </c>
      <c r="Z19" s="130">
        <f t="shared" si="9"/>
        <v>0.9999999702795668</v>
      </c>
      <c r="AA19" s="131">
        <f t="shared" si="10"/>
        <v>0.8933690319042906</v>
      </c>
      <c r="AB19" s="227"/>
      <c r="AC19" s="65"/>
    </row>
    <row r="20" spans="1:29" s="3" customFormat="1" ht="15">
      <c r="A20" s="168" t="s">
        <v>32</v>
      </c>
      <c r="B20" s="7">
        <f>+'[11]ECO'!B19+TEC!B19+PPC!B19+MER!B19+FUN!B19</f>
        <v>77724715.27528933</v>
      </c>
      <c r="C20" s="7"/>
      <c r="D20" s="7"/>
      <c r="E20" s="7"/>
      <c r="F20" s="7">
        <f>+ECO!F19</f>
        <v>-1731708</v>
      </c>
      <c r="G20" s="7"/>
      <c r="H20" s="7"/>
      <c r="I20" s="7">
        <f t="shared" si="0"/>
        <v>75993007.27528933</v>
      </c>
      <c r="J20" s="7">
        <f>+ECO!M19+TEC!M19+PPC!M19+MER!M19+FUN!L19</f>
        <v>17631310</v>
      </c>
      <c r="K20" s="7">
        <f>+ECO!Q19+TEC!Q19+PPC!Q19+MER!Q19+FUN!P19</f>
        <v>18473831</v>
      </c>
      <c r="L20" s="7">
        <f>+ECO!V19+TEC!V19+PPC!V19+MER!V19+FUN!U19</f>
        <v>18865469.810595002</v>
      </c>
      <c r="M20" s="7">
        <f>+ECO!Z19+TEC!AA19+PPC!Z19+MER!AA19+FUN!Z19</f>
        <v>21022396.464694332</v>
      </c>
      <c r="N20" s="7">
        <f t="shared" si="1"/>
        <v>75993007.27528934</v>
      </c>
      <c r="O20" s="380">
        <f>+'[11]ECO'!AA19+TEC!AC19+PPC!AB19+MER!AC19+FUN!AB19</f>
        <v>17631310</v>
      </c>
      <c r="P20" s="380">
        <f>+'[11]ECO'!AB19+TEC!AD19+PPC!AC19+MER!AD19+FUN!AC19</f>
        <v>18473831</v>
      </c>
      <c r="Q20" s="380">
        <f>+ECO!AD19+TEC!AE19+PPC!AD19+MER!AE19+FUN!AD19</f>
        <v>18865470</v>
      </c>
      <c r="R20" s="380">
        <f>+ECO!AE19+TEC!AF19+PPC!AE19+MER!AF19+FUN!AE19</f>
        <v>18791990</v>
      </c>
      <c r="S20" s="380">
        <f t="shared" si="2"/>
        <v>73762601</v>
      </c>
      <c r="T20" s="7">
        <f t="shared" si="3"/>
        <v>0</v>
      </c>
      <c r="U20" s="7">
        <f t="shared" si="4"/>
        <v>2230406.275289327</v>
      </c>
      <c r="V20" s="130">
        <f t="shared" si="5"/>
        <v>0.9706498485155411</v>
      </c>
      <c r="W20" s="9">
        <f t="shared" si="6"/>
        <v>2230406.275289342</v>
      </c>
      <c r="X20" s="130">
        <f t="shared" si="7"/>
        <v>1</v>
      </c>
      <c r="Y20" s="131">
        <f t="shared" si="8"/>
        <v>1</v>
      </c>
      <c r="Z20" s="130">
        <f t="shared" si="9"/>
        <v>1.000000010039771</v>
      </c>
      <c r="AA20" s="131">
        <f t="shared" si="10"/>
        <v>0.8939033202784399</v>
      </c>
      <c r="AB20" s="227"/>
      <c r="AC20" s="65"/>
    </row>
    <row r="21" spans="1:29" s="3" customFormat="1" ht="15">
      <c r="A21" s="168" t="s">
        <v>33</v>
      </c>
      <c r="B21" s="7">
        <f>+'[11]ECO'!B20+TEC!B20+PPC!B20+MER!B20+FUN!B20</f>
        <v>3000000</v>
      </c>
      <c r="C21" s="7"/>
      <c r="D21" s="7"/>
      <c r="E21" s="7"/>
      <c r="F21" s="7"/>
      <c r="G21" s="7"/>
      <c r="H21" s="7"/>
      <c r="I21" s="7">
        <f t="shared" si="0"/>
        <v>3000000</v>
      </c>
      <c r="J21" s="7">
        <f>+ECO!M20+TEC!M20+PPC!M20+MER!M20+FUN!L20</f>
        <v>0</v>
      </c>
      <c r="K21" s="7">
        <f>+ECO!Q20+TEC!Q20+PPC!Q20+MER!Q20+FUN!P20</f>
        <v>2396100</v>
      </c>
      <c r="L21" s="7">
        <f>+ECO!V20+TEC!V20+PPC!V20+MER!V20+FUN!U20</f>
        <v>300000</v>
      </c>
      <c r="M21" s="7">
        <f>+ECO!Z20+TEC!AA20+PPC!Z20+MER!AA20+FUN!Z20</f>
        <v>0</v>
      </c>
      <c r="N21" s="7">
        <f t="shared" si="1"/>
        <v>2696100</v>
      </c>
      <c r="O21" s="380">
        <f>+'[11]ECO'!AA20+TEC!AC20+PPC!AB20+MER!AC20+FUN!AB20</f>
        <v>0</v>
      </c>
      <c r="P21" s="380">
        <f>+'[11]ECO'!AB20+TEC!AD20+PPC!AC20+MER!AD20+FUN!AC20</f>
        <v>2396100</v>
      </c>
      <c r="Q21" s="380">
        <f>+ECO!AD20+TEC!AE20+PPC!AD20+MER!AE20+FUN!AD20</f>
        <v>300000</v>
      </c>
      <c r="R21" s="380">
        <f>+ECO!AE20+TEC!AF20+PPC!AE20+MER!AF20+FUN!AE20</f>
        <v>0</v>
      </c>
      <c r="S21" s="380">
        <f t="shared" si="2"/>
        <v>2696100</v>
      </c>
      <c r="T21" s="7">
        <f t="shared" si="3"/>
        <v>303900</v>
      </c>
      <c r="U21" s="7">
        <f t="shared" si="4"/>
        <v>303900</v>
      </c>
      <c r="V21" s="130">
        <f t="shared" si="5"/>
        <v>0.8987</v>
      </c>
      <c r="W21" s="9">
        <f t="shared" si="6"/>
        <v>0</v>
      </c>
      <c r="X21" s="130">
        <v>0</v>
      </c>
      <c r="Y21" s="131">
        <f t="shared" si="8"/>
        <v>1</v>
      </c>
      <c r="Z21" s="130">
        <f t="shared" si="9"/>
        <v>1</v>
      </c>
      <c r="AA21" s="131">
        <v>0</v>
      </c>
      <c r="AB21" s="227"/>
      <c r="AC21" s="65"/>
    </row>
    <row r="22" spans="1:29" s="3" customFormat="1" ht="15">
      <c r="A22" s="170" t="s">
        <v>34</v>
      </c>
      <c r="B22" s="7">
        <f>+'[11]ECO'!B21+FUN!B21</f>
        <v>121766976</v>
      </c>
      <c r="C22" s="7"/>
      <c r="D22" s="7"/>
      <c r="E22" s="7"/>
      <c r="F22" s="7"/>
      <c r="G22" s="7">
        <f>+FUN!G21</f>
        <v>2350100</v>
      </c>
      <c r="H22" s="7"/>
      <c r="I22" s="7">
        <f t="shared" si="0"/>
        <v>124117076</v>
      </c>
      <c r="J22" s="7">
        <f>+ECO!M21+PPC!M21+FUN!L21</f>
        <v>25338027</v>
      </c>
      <c r="K22" s="7">
        <f>+ECO!Q21+PPC!Q21+FUN!P21</f>
        <v>30088140</v>
      </c>
      <c r="L22" s="7">
        <f>+ECO!V21+PPC!V21+FUN!U21</f>
        <v>28648040</v>
      </c>
      <c r="M22" s="7">
        <f>+ECO!Z21+PPC!Z21+FUN!Z21</f>
        <v>40042869</v>
      </c>
      <c r="N22" s="7">
        <f t="shared" si="1"/>
        <v>124117076</v>
      </c>
      <c r="O22" s="380">
        <f>+'[11]ECO'!AA21+PPC!AB21+FUN!AB21</f>
        <v>25338027</v>
      </c>
      <c r="P22" s="380">
        <f>+'[11]ECO'!AB21+PPC!AC21+FUN!AC21</f>
        <v>30088140</v>
      </c>
      <c r="Q22" s="380">
        <f>+ECO!AD21+FUN!AD21</f>
        <v>28648040</v>
      </c>
      <c r="R22" s="380">
        <f>+ECO!AE21+FUN!AE21</f>
        <v>29016380</v>
      </c>
      <c r="S22" s="380">
        <f>SUM(O22:R22)</f>
        <v>113090587</v>
      </c>
      <c r="T22" s="7">
        <f t="shared" si="3"/>
        <v>0</v>
      </c>
      <c r="U22" s="7">
        <f t="shared" si="4"/>
        <v>11026489</v>
      </c>
      <c r="V22" s="130">
        <f t="shared" si="5"/>
        <v>0.9111605803539877</v>
      </c>
      <c r="W22" s="9">
        <f t="shared" si="6"/>
        <v>11026489</v>
      </c>
      <c r="X22" s="130">
        <f t="shared" si="7"/>
        <v>1</v>
      </c>
      <c r="Y22" s="131">
        <f t="shared" si="8"/>
        <v>1</v>
      </c>
      <c r="Z22" s="130">
        <f t="shared" si="9"/>
        <v>1</v>
      </c>
      <c r="AA22" s="131">
        <f t="shared" si="10"/>
        <v>0.7246328928129501</v>
      </c>
      <c r="AB22" s="227"/>
      <c r="AC22" s="65"/>
    </row>
    <row r="23" spans="1:29" s="3" customFormat="1" ht="15.75" thickBot="1">
      <c r="A23" s="171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381"/>
      <c r="P23" s="381"/>
      <c r="Q23" s="381"/>
      <c r="R23" s="381"/>
      <c r="S23" s="381"/>
      <c r="T23" s="47"/>
      <c r="U23" s="47"/>
      <c r="V23" s="11"/>
      <c r="W23" s="11"/>
      <c r="X23" s="149"/>
      <c r="Y23" s="154"/>
      <c r="Z23" s="149"/>
      <c r="AA23" s="154"/>
      <c r="AB23" s="227"/>
      <c r="AC23" s="65"/>
    </row>
    <row r="24" spans="1:29" ht="17.25" thickBot="1">
      <c r="A24" s="421" t="s">
        <v>35</v>
      </c>
      <c r="B24" s="421">
        <f>SUM(B12:B23)</f>
        <v>2596313340.800579</v>
      </c>
      <c r="C24" s="421">
        <f aca="true" t="shared" si="11" ref="C24:N24">SUM(C12:C23)</f>
        <v>0</v>
      </c>
      <c r="D24" s="421">
        <f t="shared" si="11"/>
        <v>0</v>
      </c>
      <c r="E24" s="421">
        <f t="shared" si="11"/>
        <v>0</v>
      </c>
      <c r="F24" s="421">
        <f t="shared" si="11"/>
        <v>-57005215</v>
      </c>
      <c r="G24" s="421">
        <f t="shared" si="11"/>
        <v>2350100</v>
      </c>
      <c r="H24" s="421">
        <f t="shared" si="11"/>
        <v>0</v>
      </c>
      <c r="I24" s="421">
        <f>SUM(I12:I23)</f>
        <v>2541658225.800579</v>
      </c>
      <c r="J24" s="421">
        <f t="shared" si="11"/>
        <v>540828571</v>
      </c>
      <c r="K24" s="421">
        <f t="shared" si="11"/>
        <v>635205882</v>
      </c>
      <c r="L24" s="421">
        <f t="shared" si="11"/>
        <v>627650316.0590652</v>
      </c>
      <c r="M24" s="421">
        <f>SUM(M12:M23)</f>
        <v>737669556.7415136</v>
      </c>
      <c r="N24" s="421">
        <f t="shared" si="11"/>
        <v>2541354325.800579</v>
      </c>
      <c r="O24" s="421">
        <f aca="true" t="shared" si="12" ref="O24:U24">SUM(O12:O23)</f>
        <v>540828571</v>
      </c>
      <c r="P24" s="421">
        <f t="shared" si="12"/>
        <v>635205882</v>
      </c>
      <c r="Q24" s="421">
        <f t="shared" si="12"/>
        <v>627650316</v>
      </c>
      <c r="R24" s="421">
        <f t="shared" si="12"/>
        <v>610281323</v>
      </c>
      <c r="S24" s="421">
        <f>SUM(S12:S23)</f>
        <v>2413966092</v>
      </c>
      <c r="T24" s="421">
        <f t="shared" si="12"/>
        <v>303900</v>
      </c>
      <c r="U24" s="421">
        <f t="shared" si="12"/>
        <v>127692133.80057865</v>
      </c>
      <c r="V24" s="422">
        <f>+S24/I24</f>
        <v>0.9497603051014626</v>
      </c>
      <c r="W24" s="155">
        <f>SUM(W12:W23)</f>
        <v>127388233.80057867</v>
      </c>
      <c r="X24" s="156">
        <f>+O24/J24</f>
        <v>1</v>
      </c>
      <c r="Y24" s="156">
        <f>+P24/K24</f>
        <v>1</v>
      </c>
      <c r="Z24" s="156">
        <f>+Q24/L24</f>
        <v>0.9999999999058947</v>
      </c>
      <c r="AA24" s="156">
        <f>+R24/M24</f>
        <v>0.8273098942781074</v>
      </c>
      <c r="AB24" s="69"/>
      <c r="AC24" s="69"/>
    </row>
    <row r="25" spans="1:29" s="3" customFormat="1" ht="15">
      <c r="A25" s="171"/>
      <c r="B25" s="47"/>
      <c r="C25" s="47"/>
      <c r="D25" s="47"/>
      <c r="E25" s="47"/>
      <c r="F25" s="47"/>
      <c r="G25" s="47"/>
      <c r="H25" s="47"/>
      <c r="I25" s="329"/>
      <c r="J25" s="47"/>
      <c r="K25" s="47"/>
      <c r="L25" s="47"/>
      <c r="M25" s="47"/>
      <c r="N25" s="47"/>
      <c r="O25" s="381"/>
      <c r="P25" s="381"/>
      <c r="Q25" s="381"/>
      <c r="R25" s="381"/>
      <c r="S25" s="381"/>
      <c r="T25" s="47"/>
      <c r="U25" s="47"/>
      <c r="V25" s="70"/>
      <c r="W25" s="71"/>
      <c r="X25" s="72"/>
      <c r="Y25" s="71"/>
      <c r="Z25" s="72"/>
      <c r="AA25" s="71"/>
      <c r="AB25" s="227"/>
      <c r="AC25" s="65"/>
    </row>
    <row r="26" spans="1:29" s="3" customFormat="1" ht="16.5">
      <c r="A26" s="173" t="s">
        <v>36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357"/>
      <c r="P26" s="357"/>
      <c r="Q26" s="357"/>
      <c r="R26" s="357"/>
      <c r="S26" s="357"/>
      <c r="T26" s="7"/>
      <c r="U26" s="7"/>
      <c r="V26" s="64"/>
      <c r="W26" s="32"/>
      <c r="X26" s="12"/>
      <c r="Y26" s="32"/>
      <c r="Z26" s="12"/>
      <c r="AA26" s="32"/>
      <c r="AB26" s="227"/>
      <c r="AC26" s="65"/>
    </row>
    <row r="27" spans="1:29" s="3" customFormat="1" ht="15">
      <c r="A27" s="170" t="s">
        <v>37</v>
      </c>
      <c r="B27" s="7">
        <f>+'[11]ECO'!B25+TEC!B24+PPC!B25+MER!B24+FUN!B25</f>
        <v>94531061.41600001</v>
      </c>
      <c r="C27" s="7"/>
      <c r="D27" s="7"/>
      <c r="E27" s="7"/>
      <c r="F27" s="7"/>
      <c r="G27" s="7"/>
      <c r="H27" s="7"/>
      <c r="I27" s="7">
        <f aca="true" t="shared" si="13" ref="I27:I38">+SUM(B27:G27)</f>
        <v>94531061.41600001</v>
      </c>
      <c r="J27" s="10">
        <f>+ECO!M25+TEC!M24+PPC!M25+MER!M24+FUN!L25</f>
        <v>36355262.64</v>
      </c>
      <c r="K27" s="10">
        <f>+ECO!Q25+TEC!N24+PPC!Q25+MER!Q24+FUN!P25</f>
        <v>38868610</v>
      </c>
      <c r="L27" s="10">
        <f>+ECO!V25+TEC!V24+PPC!V25+MER!V24+FUN!U25</f>
        <v>4203958</v>
      </c>
      <c r="M27" s="10">
        <f>+ECO!Z25+TEC!AA24+PPC!Z25+MER!AA24+FUN!Z25</f>
        <v>15103230.776</v>
      </c>
      <c r="N27" s="7">
        <f aca="true" t="shared" si="14" ref="N27:N40">SUM(J27:M27)</f>
        <v>94531061.41600001</v>
      </c>
      <c r="O27" s="380">
        <f>+'[11]ECO'!AA25+TEC!AC24+PPC!AB25+MER!AC24+FUN!AB25</f>
        <v>36355262.64</v>
      </c>
      <c r="P27" s="380">
        <f>+'[11]ECO'!AB25+TEC!AD24+PPC!AC25+MER!AD24+FUN!AC25</f>
        <v>38868610</v>
      </c>
      <c r="Q27" s="380">
        <f>+ECO!AD25+TEC!AE24+PPC!AD25+MER!AE24+FUN!AD25</f>
        <v>4203958</v>
      </c>
      <c r="R27" s="357">
        <f>+ECO!AE25+TEC!AF24+PPC!AE25+MER!AF24+FUN!AE25</f>
        <v>13537447</v>
      </c>
      <c r="S27" s="357">
        <f aca="true" t="shared" si="15" ref="S27:S40">SUM(O27:R27)</f>
        <v>92965277.64</v>
      </c>
      <c r="T27" s="7">
        <f aca="true" t="shared" si="16" ref="T27:T40">+I27-N27</f>
        <v>0</v>
      </c>
      <c r="U27" s="7">
        <f aca="true" t="shared" si="17" ref="U27:U40">+I27-S27</f>
        <v>1565783.776000008</v>
      </c>
      <c r="V27" s="130">
        <f aca="true" t="shared" si="18" ref="V27:V41">+S27/I27</f>
        <v>0.9834363038714914</v>
      </c>
      <c r="W27" s="9">
        <f aca="true" t="shared" si="19" ref="W27:W41">+N27-S27</f>
        <v>1565783.776000008</v>
      </c>
      <c r="X27" s="130">
        <v>0</v>
      </c>
      <c r="Y27" s="131">
        <f aca="true" t="shared" si="20" ref="Y27:Y41">+P27/K27</f>
        <v>1</v>
      </c>
      <c r="Z27" s="130">
        <f aca="true" t="shared" si="21" ref="Z27:Z41">+Q27/L27</f>
        <v>1</v>
      </c>
      <c r="AA27" s="131">
        <f aca="true" t="shared" si="22" ref="AA27:AA41">+R27/M27</f>
        <v>0.8963278917456435</v>
      </c>
      <c r="AB27" s="227"/>
      <c r="AC27" s="65"/>
    </row>
    <row r="28" spans="1:29" s="3" customFormat="1" ht="15">
      <c r="A28" s="170" t="s">
        <v>38</v>
      </c>
      <c r="B28" s="7">
        <f>+FUN!B26</f>
        <v>6349081.800000001</v>
      </c>
      <c r="C28" s="7"/>
      <c r="D28" s="7"/>
      <c r="E28" s="7"/>
      <c r="F28" s="7"/>
      <c r="G28" s="7"/>
      <c r="H28" s="7"/>
      <c r="I28" s="7">
        <f t="shared" si="13"/>
        <v>6349081.800000001</v>
      </c>
      <c r="J28" s="10">
        <f>+FUN!L26</f>
        <v>3109320</v>
      </c>
      <c r="K28" s="10">
        <f>+FUN!P26</f>
        <v>1019480</v>
      </c>
      <c r="L28" s="10">
        <f>+FUN!U26</f>
        <v>1104900</v>
      </c>
      <c r="M28" s="10">
        <f>+FUN!Z26</f>
        <v>1115381.8000000007</v>
      </c>
      <c r="N28" s="7">
        <f t="shared" si="14"/>
        <v>6349081.800000001</v>
      </c>
      <c r="O28" s="380">
        <f>+FUN!AB26</f>
        <v>3109320</v>
      </c>
      <c r="P28" s="380">
        <f>+FUN!AC26</f>
        <v>1019480</v>
      </c>
      <c r="Q28" s="380">
        <f>+FUN!AD26</f>
        <v>1104900</v>
      </c>
      <c r="R28" s="357">
        <f>+FUN!AE26</f>
        <v>1107550</v>
      </c>
      <c r="S28" s="357">
        <f t="shared" si="15"/>
        <v>6341250</v>
      </c>
      <c r="T28" s="7">
        <f t="shared" si="16"/>
        <v>0</v>
      </c>
      <c r="U28" s="7">
        <f t="shared" si="17"/>
        <v>7831.800000000745</v>
      </c>
      <c r="V28" s="130">
        <f t="shared" si="18"/>
        <v>0.9987664673024057</v>
      </c>
      <c r="W28" s="9">
        <f t="shared" si="19"/>
        <v>7831.800000000745</v>
      </c>
      <c r="X28" s="130">
        <f aca="true" t="shared" si="23" ref="X28:X41">+O28/J28</f>
        <v>1</v>
      </c>
      <c r="Y28" s="131">
        <f t="shared" si="20"/>
        <v>1</v>
      </c>
      <c r="Z28" s="130">
        <f t="shared" si="21"/>
        <v>1</v>
      </c>
      <c r="AA28" s="131">
        <f t="shared" si="22"/>
        <v>0.9929783684833294</v>
      </c>
      <c r="AB28" s="227"/>
      <c r="AC28" s="65"/>
    </row>
    <row r="29" spans="1:29" s="3" customFormat="1" ht="15">
      <c r="A29" s="170" t="s">
        <v>39</v>
      </c>
      <c r="B29" s="7">
        <f>+PPC!B26+FUN!B27</f>
        <v>21999700</v>
      </c>
      <c r="C29" s="7"/>
      <c r="D29" s="7"/>
      <c r="E29" s="7"/>
      <c r="F29" s="7"/>
      <c r="G29" s="7"/>
      <c r="H29" s="7"/>
      <c r="I29" s="7">
        <f t="shared" si="13"/>
        <v>21999700</v>
      </c>
      <c r="J29" s="10">
        <f>+PPC!M26+FUN!L27</f>
        <v>5449005</v>
      </c>
      <c r="K29" s="10">
        <f>+PPC!Q26+FUN!P27</f>
        <v>5404241.8</v>
      </c>
      <c r="L29" s="10">
        <f>+PPC!V26+FUN!U27</f>
        <v>5482561.8</v>
      </c>
      <c r="M29" s="10">
        <f>+PPC!Z26+FUN!Z27</f>
        <v>5647219.199999999</v>
      </c>
      <c r="N29" s="7">
        <f t="shared" si="14"/>
        <v>21983027.8</v>
      </c>
      <c r="O29" s="380">
        <f>+PPC!AB26+FUN!AB27</f>
        <v>5449005</v>
      </c>
      <c r="P29" s="380">
        <f>+PPC!AC26+FUN!AC27</f>
        <v>5404241.8</v>
      </c>
      <c r="Q29" s="380">
        <f>+PPC!AD26+FUN!AD27</f>
        <v>5482561.8</v>
      </c>
      <c r="R29" s="357">
        <f>+PPC!AE26+FUN!AE27</f>
        <v>5633402</v>
      </c>
      <c r="S29" s="357">
        <f t="shared" si="15"/>
        <v>21969210.6</v>
      </c>
      <c r="T29" s="7">
        <f t="shared" si="16"/>
        <v>16672.199999999255</v>
      </c>
      <c r="U29" s="7">
        <f t="shared" si="17"/>
        <v>30489.39999999851</v>
      </c>
      <c r="V29" s="130">
        <f t="shared" si="18"/>
        <v>0.9986140992831721</v>
      </c>
      <c r="W29" s="9">
        <f t="shared" si="19"/>
        <v>13817.199999999255</v>
      </c>
      <c r="X29" s="130">
        <f t="shared" si="23"/>
        <v>1</v>
      </c>
      <c r="Y29" s="131">
        <f t="shared" si="20"/>
        <v>1</v>
      </c>
      <c r="Z29" s="130">
        <f t="shared" si="21"/>
        <v>1</v>
      </c>
      <c r="AA29" s="131">
        <f t="shared" si="22"/>
        <v>0.9975532736536951</v>
      </c>
      <c r="AB29" s="227"/>
      <c r="AC29" s="65"/>
    </row>
    <row r="30" spans="1:29" s="3" customFormat="1" ht="15">
      <c r="A30" s="170" t="s">
        <v>40</v>
      </c>
      <c r="B30" s="7">
        <f>+'[11]ECO'!B26+TEC!B25+PPC!B27+MER!B25+FUN!B28</f>
        <v>47105066.252399996</v>
      </c>
      <c r="C30" s="7"/>
      <c r="D30" s="7"/>
      <c r="E30" s="7"/>
      <c r="F30" s="7"/>
      <c r="G30" s="7"/>
      <c r="H30" s="7"/>
      <c r="I30" s="7">
        <f t="shared" si="13"/>
        <v>47105066.252399996</v>
      </c>
      <c r="J30" s="10">
        <f>+ECO!M26+TEC!M25+PPC!M27+MER!M25+FUN!L28</f>
        <v>11708743</v>
      </c>
      <c r="K30" s="10">
        <f>+ECO!Q26+TEC!Q25+PPC!Q27+MER!Q25+FUN!P28</f>
        <v>8597139</v>
      </c>
      <c r="L30" s="10">
        <f>+ECO!V26+TEC!V25+PPC!V27+MER!V25+FUN!U28</f>
        <v>10042010</v>
      </c>
      <c r="M30" s="10">
        <f>+ECO!Z26+TEC!AA25+PPC!Z27+MER!AA25+FUN!Z28</f>
        <v>16757174.2524</v>
      </c>
      <c r="N30" s="7">
        <f t="shared" si="14"/>
        <v>47105066.252399996</v>
      </c>
      <c r="O30" s="380">
        <f>+'[11]ECO'!AA26+TEC!AC25+PPC!AB27+MER!AC25+FUN!AB28</f>
        <v>11708743</v>
      </c>
      <c r="P30" s="380">
        <f>+'[11]ECO'!AB26+TEC!AD25+PPC!AC27+MER!AD25+FUN!AC28</f>
        <v>8597139</v>
      </c>
      <c r="Q30" s="380">
        <f>+ECO!AD26+TEC!AE25+PPC!AD27+MER!AE25+FUN!AD28</f>
        <v>10042010</v>
      </c>
      <c r="R30" s="357">
        <f>+ECO!AE26+TEC!AF25+PPC!AE27+MER!AF25+FUN!AE28</f>
        <v>13351890</v>
      </c>
      <c r="S30" s="357">
        <f>SUM(O30:R30)</f>
        <v>43699782</v>
      </c>
      <c r="T30" s="7">
        <f t="shared" si="16"/>
        <v>0</v>
      </c>
      <c r="U30" s="7">
        <f t="shared" si="17"/>
        <v>3405284.252399996</v>
      </c>
      <c r="V30" s="130">
        <f t="shared" si="18"/>
        <v>0.9277087472045218</v>
      </c>
      <c r="W30" s="9">
        <f t="shared" si="19"/>
        <v>3405284.252399996</v>
      </c>
      <c r="X30" s="130">
        <f t="shared" si="23"/>
        <v>1</v>
      </c>
      <c r="Y30" s="131">
        <f t="shared" si="20"/>
        <v>1</v>
      </c>
      <c r="Z30" s="130">
        <f t="shared" si="21"/>
        <v>1</v>
      </c>
      <c r="AA30" s="131">
        <f t="shared" si="22"/>
        <v>0.7967864867244973</v>
      </c>
      <c r="AB30" s="227"/>
      <c r="AC30" s="65"/>
    </row>
    <row r="31" spans="1:29" s="3" customFormat="1" ht="15">
      <c r="A31" s="170" t="s">
        <v>41</v>
      </c>
      <c r="B31" s="7">
        <f>+'[11]ECO'!B27+TEC!B26+PPC!B28+MER!B26+FUN!B29</f>
        <v>61774758.8519</v>
      </c>
      <c r="C31" s="7"/>
      <c r="D31" s="7">
        <f>+FUN!D29</f>
        <v>-807247</v>
      </c>
      <c r="E31" s="7"/>
      <c r="F31" s="7"/>
      <c r="G31" s="7"/>
      <c r="H31" s="7"/>
      <c r="I31" s="7">
        <f t="shared" si="13"/>
        <v>60967511.8519</v>
      </c>
      <c r="J31" s="10">
        <f>+ECO!M27+TEC!M26+PPC!M28+MER!M26+FUN!L29</f>
        <v>10564131</v>
      </c>
      <c r="K31" s="10">
        <f>+ECO!Q27+TEC!Q26+PPC!Q28+MER!Q26+FUN!P29</f>
        <v>11014566</v>
      </c>
      <c r="L31" s="10">
        <f>+ECO!V27+TEC!V26+PPC!V28+MER!V26+FUN!U29</f>
        <v>12672460.133025</v>
      </c>
      <c r="M31" s="10">
        <f>+ECO!Z27+TEC!AA26+PPC!Z28+MER!AA26+FUN!Z29</f>
        <v>26716354.718875006</v>
      </c>
      <c r="N31" s="7">
        <f t="shared" si="14"/>
        <v>60967511.851900004</v>
      </c>
      <c r="O31" s="380">
        <f>+'[11]ECO'!AA27+TEC!AC26+PPC!AB28+MER!AC26+FUN!AB29</f>
        <v>10564131</v>
      </c>
      <c r="P31" s="380">
        <f>+'[11]ECO'!AB27+TEC!AD26+PPC!AC28+MER!AD26+FUN!AC29</f>
        <v>11014566</v>
      </c>
      <c r="Q31" s="380">
        <f>+ECO!AD27+TEC!AE26+PPC!AD28+MER!AE26+FUN!AD29</f>
        <v>12672459.540000001</v>
      </c>
      <c r="R31" s="357">
        <f>+ECO!AE27+TEC!AF26+PPC!AE28+MER!AF26+FUN!AE29</f>
        <v>12677620</v>
      </c>
      <c r="S31" s="357">
        <f t="shared" si="15"/>
        <v>46928776.54</v>
      </c>
      <c r="T31" s="7">
        <f t="shared" si="16"/>
        <v>0</v>
      </c>
      <c r="U31" s="7">
        <f t="shared" si="17"/>
        <v>14038735.311899997</v>
      </c>
      <c r="V31" s="130">
        <f t="shared" si="18"/>
        <v>0.7697341602851964</v>
      </c>
      <c r="W31" s="9">
        <f t="shared" si="19"/>
        <v>14038735.311900005</v>
      </c>
      <c r="X31" s="130">
        <f t="shared" si="23"/>
        <v>1</v>
      </c>
      <c r="Y31" s="131">
        <f t="shared" si="20"/>
        <v>1</v>
      </c>
      <c r="Z31" s="130">
        <f t="shared" si="21"/>
        <v>0.9999999532036405</v>
      </c>
      <c r="AA31" s="131">
        <f t="shared" si="22"/>
        <v>0.4745265637247775</v>
      </c>
      <c r="AB31" s="227"/>
      <c r="AC31" s="65"/>
    </row>
    <row r="32" spans="1:29" s="3" customFormat="1" ht="15">
      <c r="A32" s="170" t="s">
        <v>42</v>
      </c>
      <c r="B32" s="7">
        <f>+'[11]ECO'!B28+PPC!B29+FUN!B30</f>
        <v>47660252.5648</v>
      </c>
      <c r="C32" s="7"/>
      <c r="D32" s="7">
        <f>+FUN!D30</f>
        <v>807247</v>
      </c>
      <c r="E32" s="7"/>
      <c r="F32" s="7"/>
      <c r="G32" s="7"/>
      <c r="H32" s="7"/>
      <c r="I32" s="7">
        <f t="shared" si="13"/>
        <v>48467499.5648</v>
      </c>
      <c r="J32" s="10">
        <f>+ECO!M28+PPC!M29+FUN!L30</f>
        <v>12609588</v>
      </c>
      <c r="K32" s="10">
        <f>+ECO!Q28+PPC!Q29+FUN!P30</f>
        <v>14446464</v>
      </c>
      <c r="L32" s="10">
        <f>+ECO!V28+PPC!V29+FUN!U30</f>
        <v>10705126</v>
      </c>
      <c r="M32" s="10">
        <f>+ECO!Z28+PPC!Z29+FUN!Z30</f>
        <v>10705230.564800002</v>
      </c>
      <c r="N32" s="7">
        <f t="shared" si="14"/>
        <v>48466408.5648</v>
      </c>
      <c r="O32" s="380">
        <f>+'[11]ECO'!AA28+PPC!AB29+FUN!AB30</f>
        <v>12609588</v>
      </c>
      <c r="P32" s="380">
        <f>+'[11]ECO'!AB28+PPC!AC29+FUN!AC30</f>
        <v>14446464</v>
      </c>
      <c r="Q32" s="380">
        <f>+ECO!AD28+PPC!AD29+FUN!AD30</f>
        <v>10705126</v>
      </c>
      <c r="R32" s="357">
        <f>+ECO!AE28+PPC!AE29+FUN!AE30</f>
        <v>10705128</v>
      </c>
      <c r="S32" s="357">
        <f>SUM(O32:R32)</f>
        <v>48466306</v>
      </c>
      <c r="T32" s="7">
        <f t="shared" si="16"/>
        <v>1091</v>
      </c>
      <c r="U32" s="7">
        <f t="shared" si="17"/>
        <v>1193.5648000016809</v>
      </c>
      <c r="V32" s="130">
        <f t="shared" si="18"/>
        <v>0.9999753739142576</v>
      </c>
      <c r="W32" s="9">
        <f t="shared" si="19"/>
        <v>102.56480000168085</v>
      </c>
      <c r="X32" s="130">
        <f t="shared" si="23"/>
        <v>1</v>
      </c>
      <c r="Y32" s="131">
        <f t="shared" si="20"/>
        <v>1</v>
      </c>
      <c r="Z32" s="130">
        <f t="shared" si="21"/>
        <v>1</v>
      </c>
      <c r="AA32" s="131">
        <f t="shared" si="22"/>
        <v>0.999990419188136</v>
      </c>
      <c r="AB32" s="227"/>
      <c r="AC32" s="65"/>
    </row>
    <row r="33" spans="1:29" s="3" customFormat="1" ht="15">
      <c r="A33" s="170" t="s">
        <v>43</v>
      </c>
      <c r="B33" s="7">
        <f>+'[11]ECO'!B29+TEC!B27+PPC!B30+MER!B27+FUN!B31</f>
        <v>234176000</v>
      </c>
      <c r="C33" s="7"/>
      <c r="D33" s="7"/>
      <c r="E33" s="7">
        <f>+PPC!E30</f>
        <v>-2000000</v>
      </c>
      <c r="F33" s="7"/>
      <c r="G33" s="7"/>
      <c r="H33" s="7"/>
      <c r="I33" s="7">
        <f t="shared" si="13"/>
        <v>232176000</v>
      </c>
      <c r="J33" s="10">
        <f>+ECO!M29+TEC!M27+PPC!M30+MER!M27+FUN!L31</f>
        <v>42441538</v>
      </c>
      <c r="K33" s="10">
        <f>+ECO!Q29+TEC!Q27+PPC!Q30+MER!Q27+FUN!P31</f>
        <v>57660601</v>
      </c>
      <c r="L33" s="10">
        <f>+ECO!V29+TEC!V27+PPC!V30+MER!V27+FUN!U31</f>
        <v>59765651</v>
      </c>
      <c r="M33" s="10">
        <f>+ECO!Z29+TEC!AA27+PPC!Z30+MER!AA27+FUN!Z31</f>
        <v>72308210</v>
      </c>
      <c r="N33" s="7">
        <f t="shared" si="14"/>
        <v>232176000</v>
      </c>
      <c r="O33" s="380">
        <f>+'[11]ECO'!AA29+TEC!AC27+PPC!AB30+MER!AC27+FUN!AB31</f>
        <v>42441538</v>
      </c>
      <c r="P33" s="380">
        <f>+'[11]ECO'!AB29+TEC!AD27+PPC!AC30+MER!AD27+FUN!AC31</f>
        <v>57660601</v>
      </c>
      <c r="Q33" s="380">
        <f>+ECO!AD29+TEC!AE27+PPC!AD30+MER!AE27+FUN!AD31</f>
        <v>59765651</v>
      </c>
      <c r="R33" s="357">
        <f>+ECO!AE29+TEC!AF27+PPC!AE30+MER!AF27+FUN!AE31</f>
        <v>51581684</v>
      </c>
      <c r="S33" s="357">
        <f t="shared" si="15"/>
        <v>211449474</v>
      </c>
      <c r="T33" s="7">
        <f t="shared" si="16"/>
        <v>0</v>
      </c>
      <c r="U33" s="7">
        <f t="shared" si="17"/>
        <v>20726526</v>
      </c>
      <c r="V33" s="130">
        <f t="shared" si="18"/>
        <v>0.9107292485011371</v>
      </c>
      <c r="W33" s="9">
        <f t="shared" si="19"/>
        <v>20726526</v>
      </c>
      <c r="X33" s="130">
        <f t="shared" si="23"/>
        <v>1</v>
      </c>
      <c r="Y33" s="131">
        <f t="shared" si="20"/>
        <v>1</v>
      </c>
      <c r="Z33" s="130">
        <f t="shared" si="21"/>
        <v>1</v>
      </c>
      <c r="AA33" s="131">
        <f t="shared" si="22"/>
        <v>0.7133586075495438</v>
      </c>
      <c r="AB33" s="227"/>
      <c r="AC33" s="65"/>
    </row>
    <row r="34" spans="1:29" s="3" customFormat="1" ht="15">
      <c r="A34" s="170" t="s">
        <v>44</v>
      </c>
      <c r="B34" s="7">
        <f>+'[11]ECO'!B30+TEC!B28+PPC!B31+FUN!B32</f>
        <v>46034945.804192</v>
      </c>
      <c r="C34" s="7"/>
      <c r="D34" s="7"/>
      <c r="E34" s="7"/>
      <c r="F34" s="7"/>
      <c r="G34" s="7"/>
      <c r="H34" s="7"/>
      <c r="I34" s="7">
        <f t="shared" si="13"/>
        <v>46034945.804192</v>
      </c>
      <c r="J34" s="10">
        <f>+ECO!M30+TEC!M28+PPC!M31+FUN!L32</f>
        <v>7095778</v>
      </c>
      <c r="K34" s="10">
        <f>+ECO!Q30+TEC!Q28+PPC!Q31+FUN!P32</f>
        <v>6561826</v>
      </c>
      <c r="L34" s="10">
        <f>+ECO!V30+TEC!V28+PPC!V31+FUN!U32</f>
        <v>12870968</v>
      </c>
      <c r="M34" s="10">
        <f>+ECO!Z30+TEC!AA28+PPC!Z31+FUN!Z32</f>
        <v>18826373.804192</v>
      </c>
      <c r="N34" s="7">
        <f t="shared" si="14"/>
        <v>45354945.804192</v>
      </c>
      <c r="O34" s="380">
        <f>+'[11]ECO'!AA30+TEC!AC28+PPC!AB31+FUN!AB32</f>
        <v>7095778</v>
      </c>
      <c r="P34" s="380">
        <f>+'[11]ECO'!AB30+TEC!AD28+PPC!AC31+FUN!AC32</f>
        <v>6561826</v>
      </c>
      <c r="Q34" s="380">
        <f>+ECO!AD30+PPC!AD31+FUN!AD32</f>
        <v>12870968</v>
      </c>
      <c r="R34" s="357">
        <f>+ECO!AE30+PPC!AE31+FUN!AE32</f>
        <v>18384995</v>
      </c>
      <c r="S34" s="357">
        <f t="shared" si="15"/>
        <v>44913567</v>
      </c>
      <c r="T34" s="7">
        <f t="shared" si="16"/>
        <v>680000</v>
      </c>
      <c r="U34" s="7">
        <f t="shared" si="17"/>
        <v>1121378.8041919991</v>
      </c>
      <c r="V34" s="130">
        <f t="shared" si="18"/>
        <v>0.9756407054553351</v>
      </c>
      <c r="W34" s="9">
        <f t="shared" si="19"/>
        <v>441378.80419199914</v>
      </c>
      <c r="X34" s="130">
        <f t="shared" si="23"/>
        <v>1</v>
      </c>
      <c r="Y34" s="131">
        <f t="shared" si="20"/>
        <v>1</v>
      </c>
      <c r="Z34" s="130">
        <f t="shared" si="21"/>
        <v>1</v>
      </c>
      <c r="AA34" s="131">
        <f t="shared" si="22"/>
        <v>0.9765552937181287</v>
      </c>
      <c r="AB34" s="227"/>
      <c r="AC34" s="65"/>
    </row>
    <row r="35" spans="1:29" s="3" customFormat="1" ht="15">
      <c r="A35" s="170" t="s">
        <v>45</v>
      </c>
      <c r="B35" s="7">
        <f>+'[11]ECO'!B31+TEC!B29+PPC!B32+MER!B28+FUN!B33</f>
        <v>133687645.59616</v>
      </c>
      <c r="C35" s="7"/>
      <c r="D35" s="7"/>
      <c r="E35" s="7"/>
      <c r="F35" s="7"/>
      <c r="G35" s="7">
        <f>+FUN!G33</f>
        <v>-2350100</v>
      </c>
      <c r="H35" s="7"/>
      <c r="I35" s="7">
        <f t="shared" si="13"/>
        <v>131337545.59616</v>
      </c>
      <c r="J35" s="10">
        <f>+ECO!M31+TEC!M29+PPC!M32+MER!M28+FUN!L33</f>
        <v>28749504</v>
      </c>
      <c r="K35" s="10">
        <f>+ECO!Q31+TEC!Q29+PPC!Q32+MER!Q28+FUN!P33</f>
        <v>25587909</v>
      </c>
      <c r="L35" s="10">
        <f>+ECO!V31+TEC!V29+PPC!V32+MER!V28+FUN!U33</f>
        <v>28081934</v>
      </c>
      <c r="M35" s="10">
        <f>+ECO!Z31+TEC!AA29+PPC!Z32+MER!AA28+FUN!Z33</f>
        <v>48918198.59616</v>
      </c>
      <c r="N35" s="7">
        <f t="shared" si="14"/>
        <v>131337545.59616</v>
      </c>
      <c r="O35" s="380">
        <f>+'[11]ECO'!AA31+TEC!AC29+PPC!AB32+MER!AC28+FUN!AB33</f>
        <v>28749504</v>
      </c>
      <c r="P35" s="380">
        <f>+'[11]ECO'!AB31+TEC!AD29+PPC!AC32+MER!AD28+FUN!AC33</f>
        <v>25587909</v>
      </c>
      <c r="Q35" s="380">
        <f>+ECO!AD31+TEC!AE29+PPC!AD32+MER!AE28+FUN!AD33</f>
        <v>28081934</v>
      </c>
      <c r="R35" s="357">
        <f>+ECO!AE31+TEC!AF29+PPC!AE32+MER!AF28+FUN!AE33</f>
        <v>18687695</v>
      </c>
      <c r="S35" s="357">
        <f t="shared" si="15"/>
        <v>101107042</v>
      </c>
      <c r="T35" s="7">
        <f t="shared" si="16"/>
        <v>0</v>
      </c>
      <c r="U35" s="7">
        <f t="shared" si="17"/>
        <v>30230503.596159995</v>
      </c>
      <c r="V35" s="130">
        <f t="shared" si="18"/>
        <v>0.7698258829267793</v>
      </c>
      <c r="W35" s="9">
        <f t="shared" si="19"/>
        <v>30230503.596159995</v>
      </c>
      <c r="X35" s="130">
        <f t="shared" si="23"/>
        <v>1</v>
      </c>
      <c r="Y35" s="131">
        <f t="shared" si="20"/>
        <v>1</v>
      </c>
      <c r="Z35" s="130">
        <f t="shared" si="21"/>
        <v>1</v>
      </c>
      <c r="AA35" s="131">
        <f t="shared" si="22"/>
        <v>0.38201927986503886</v>
      </c>
      <c r="AB35" s="227"/>
      <c r="AC35" s="65"/>
    </row>
    <row r="36" spans="1:29" s="3" customFormat="1" ht="15">
      <c r="A36" s="170" t="s">
        <v>46</v>
      </c>
      <c r="B36" s="7">
        <f>+PPC!B33+FUN!B34</f>
        <v>4655100</v>
      </c>
      <c r="C36" s="7"/>
      <c r="D36" s="7"/>
      <c r="E36" s="7"/>
      <c r="F36" s="7"/>
      <c r="G36" s="7"/>
      <c r="H36" s="7"/>
      <c r="I36" s="7">
        <f t="shared" si="13"/>
        <v>4655100</v>
      </c>
      <c r="J36" s="10">
        <f>+PPC!M33+FUN!L34</f>
        <v>919100</v>
      </c>
      <c r="K36" s="10">
        <f>+PPC!Q33+FUN!P34</f>
        <v>1253500</v>
      </c>
      <c r="L36" s="10">
        <f>+PPC!V33+FUN!U34</f>
        <v>1393500</v>
      </c>
      <c r="M36" s="10">
        <f>+PPC!Z33+FUN!Z34</f>
        <v>1089000</v>
      </c>
      <c r="N36" s="7">
        <f t="shared" si="14"/>
        <v>4655100</v>
      </c>
      <c r="O36" s="380">
        <f>+PPC!AB33+FUN!AB34</f>
        <v>919100</v>
      </c>
      <c r="P36" s="380">
        <f>+PPC!AC33+FUN!AC34</f>
        <v>1253500</v>
      </c>
      <c r="Q36" s="380">
        <f>+PPC!AD33+FUN!AD34</f>
        <v>1393500</v>
      </c>
      <c r="R36" s="357">
        <f>+PPC!AE33+FUN!AE34</f>
        <v>968600</v>
      </c>
      <c r="S36" s="357">
        <f t="shared" si="15"/>
        <v>4534700</v>
      </c>
      <c r="T36" s="7">
        <f t="shared" si="16"/>
        <v>0</v>
      </c>
      <c r="U36" s="7">
        <f t="shared" si="17"/>
        <v>120400</v>
      </c>
      <c r="V36" s="130">
        <f t="shared" si="18"/>
        <v>0.974135893965758</v>
      </c>
      <c r="W36" s="9">
        <f t="shared" si="19"/>
        <v>120400</v>
      </c>
      <c r="X36" s="130">
        <f t="shared" si="23"/>
        <v>1</v>
      </c>
      <c r="Y36" s="131">
        <f t="shared" si="20"/>
        <v>1</v>
      </c>
      <c r="Z36" s="130">
        <f t="shared" si="21"/>
        <v>1</v>
      </c>
      <c r="AA36" s="131">
        <f t="shared" si="22"/>
        <v>0.8894398530762168</v>
      </c>
      <c r="AB36" s="227"/>
      <c r="AC36" s="65"/>
    </row>
    <row r="37" spans="1:29" s="3" customFormat="1" ht="15">
      <c r="A37" s="170" t="s">
        <v>47</v>
      </c>
      <c r="B37" s="7">
        <f>+'[11]ECO'!B32+TEC!B30+PPC!B34+FUN!B35</f>
        <v>69505410.80236</v>
      </c>
      <c r="C37" s="7"/>
      <c r="D37" s="7"/>
      <c r="E37" s="7">
        <f>+PPC!E34</f>
        <v>2000000</v>
      </c>
      <c r="F37" s="7"/>
      <c r="G37" s="7">
        <f>+PPC!G34</f>
        <v>7000000</v>
      </c>
      <c r="H37" s="7"/>
      <c r="I37" s="7">
        <f t="shared" si="13"/>
        <v>78505410.80236</v>
      </c>
      <c r="J37" s="10">
        <f>+ECO!M32+TEC!M30+PPC!M34+FUN!L35</f>
        <v>7229790</v>
      </c>
      <c r="K37" s="10">
        <f>+ECO!Q32+TEC!Q30+PPC!Q34+FUN!P35</f>
        <v>7540272</v>
      </c>
      <c r="L37" s="10">
        <f>+ECO!V32+TEC!V30+PPC!V34+FUN!U35</f>
        <v>14502012</v>
      </c>
      <c r="M37" s="10">
        <f>+ECO!Z32+TEC!AA30+PPC!Z34+FUN!Z35</f>
        <v>49233336.80236</v>
      </c>
      <c r="N37" s="7">
        <f t="shared" si="14"/>
        <v>78505410.80236</v>
      </c>
      <c r="O37" s="380">
        <f>+'[11]ECO'!AA32+TEC!AC30+PPC!AB34+FUN!AB35</f>
        <v>7229790</v>
      </c>
      <c r="P37" s="380">
        <f>+'[11]ECO'!AB32+TEC!AD30+PPC!AC34+FUN!AC35</f>
        <v>7540272</v>
      </c>
      <c r="Q37" s="380">
        <f>+ECO!AD32+PPC!AD34+FUN!AD35</f>
        <v>14502012</v>
      </c>
      <c r="R37" s="357">
        <f>+ECO!AE32+PPC!AE34+FUN!AE35</f>
        <v>24161891</v>
      </c>
      <c r="S37" s="357">
        <f t="shared" si="15"/>
        <v>53433965</v>
      </c>
      <c r="T37" s="7">
        <f t="shared" si="16"/>
        <v>0</v>
      </c>
      <c r="U37" s="7">
        <f t="shared" si="17"/>
        <v>25071445.80236</v>
      </c>
      <c r="V37" s="130">
        <f t="shared" si="18"/>
        <v>0.6806405374340604</v>
      </c>
      <c r="W37" s="9">
        <f t="shared" si="19"/>
        <v>25071445.80236</v>
      </c>
      <c r="X37" s="130">
        <f t="shared" si="23"/>
        <v>1</v>
      </c>
      <c r="Y37" s="131">
        <f t="shared" si="20"/>
        <v>1</v>
      </c>
      <c r="Z37" s="130">
        <f t="shared" si="21"/>
        <v>1</v>
      </c>
      <c r="AA37" s="131">
        <f t="shared" si="22"/>
        <v>0.4907628157927699</v>
      </c>
      <c r="AB37" s="227"/>
      <c r="AC37" s="65"/>
    </row>
    <row r="38" spans="1:29" s="3" customFormat="1" ht="15">
      <c r="A38" s="170" t="s">
        <v>48</v>
      </c>
      <c r="B38" s="7">
        <f>+FUN!B36</f>
        <v>18570600</v>
      </c>
      <c r="C38" s="7"/>
      <c r="D38" s="7"/>
      <c r="E38" s="7"/>
      <c r="F38" s="7"/>
      <c r="G38" s="7">
        <f>+FUN!G36</f>
        <v>-6500000</v>
      </c>
      <c r="H38" s="7"/>
      <c r="I38" s="7">
        <f t="shared" si="13"/>
        <v>12070600</v>
      </c>
      <c r="J38" s="10">
        <f>+FUN!L36</f>
        <v>3927925</v>
      </c>
      <c r="K38" s="10">
        <f>+FUN!P36</f>
        <v>1612932</v>
      </c>
      <c r="L38" s="10">
        <f>+FUN!U36</f>
        <v>2184579</v>
      </c>
      <c r="M38" s="10">
        <f>+FUN!Z36</f>
        <v>4345164</v>
      </c>
      <c r="N38" s="7">
        <f t="shared" si="14"/>
        <v>12070600</v>
      </c>
      <c r="O38" s="380">
        <f>+FUN!AB36</f>
        <v>3927925</v>
      </c>
      <c r="P38" s="380">
        <f>+FUN!AC36</f>
        <v>1612932</v>
      </c>
      <c r="Q38" s="380">
        <f>+FUN!AD36</f>
        <v>2184579</v>
      </c>
      <c r="R38" s="357">
        <f>+FUN!AE36</f>
        <v>2556372</v>
      </c>
      <c r="S38" s="357">
        <f t="shared" si="15"/>
        <v>10281808</v>
      </c>
      <c r="T38" s="7">
        <f t="shared" si="16"/>
        <v>0</v>
      </c>
      <c r="U38" s="7">
        <f t="shared" si="17"/>
        <v>1788792</v>
      </c>
      <c r="V38" s="130">
        <f t="shared" si="18"/>
        <v>0.8518058754328699</v>
      </c>
      <c r="W38" s="9">
        <f t="shared" si="19"/>
        <v>1788792</v>
      </c>
      <c r="X38" s="130">
        <v>0</v>
      </c>
      <c r="Y38" s="131">
        <f t="shared" si="20"/>
        <v>1</v>
      </c>
      <c r="Z38" s="130">
        <f t="shared" si="21"/>
        <v>1</v>
      </c>
      <c r="AA38" s="131">
        <f>+R38/M39</f>
        <v>0.0903062089836211</v>
      </c>
      <c r="AB38" s="227"/>
      <c r="AC38" s="65"/>
    </row>
    <row r="39" spans="1:29" s="3" customFormat="1" ht="15">
      <c r="A39" s="170" t="s">
        <v>49</v>
      </c>
      <c r="B39" s="7">
        <f>+PPC!B35+FUN!B37</f>
        <v>80000000</v>
      </c>
      <c r="C39" s="7"/>
      <c r="D39" s="7"/>
      <c r="E39" s="7"/>
      <c r="F39" s="7">
        <f>+PPC!F35</f>
        <v>8000000</v>
      </c>
      <c r="G39" s="7">
        <f>+FUN!G37</f>
        <v>6500000</v>
      </c>
      <c r="H39" s="7"/>
      <c r="I39" s="7">
        <f>+SUM(B39:H39)</f>
        <v>94500000</v>
      </c>
      <c r="J39" s="10">
        <f>+PPC!M35+FUN!L37</f>
        <v>19411871.25</v>
      </c>
      <c r="K39" s="10">
        <f>+PPC!Q35+FUN!P37</f>
        <v>25366673.76</v>
      </c>
      <c r="L39" s="10">
        <f>+PPC!V35+FUN!U37</f>
        <v>21413633.979999997</v>
      </c>
      <c r="M39" s="10">
        <f>+PPC!Z35+FUN!Z37</f>
        <v>28307821.009999998</v>
      </c>
      <c r="N39" s="7">
        <f t="shared" si="14"/>
        <v>94500000</v>
      </c>
      <c r="O39" s="380">
        <f>+PPC!AB35+FUN!AB37</f>
        <v>19411871.25</v>
      </c>
      <c r="P39" s="380">
        <f>+PPC!AC35+FUN!AC37</f>
        <v>25366673.76</v>
      </c>
      <c r="Q39" s="380">
        <f>+PPC!AD35+FUN!AD37</f>
        <v>21413633.979999997</v>
      </c>
      <c r="R39" s="357">
        <f>+PPC!AE35+FUN!AE37</f>
        <v>22200486.04</v>
      </c>
      <c r="S39" s="357">
        <f t="shared" si="15"/>
        <v>88392665.03</v>
      </c>
      <c r="T39" s="7">
        <f t="shared" si="16"/>
        <v>0</v>
      </c>
      <c r="U39" s="7">
        <f t="shared" si="17"/>
        <v>6107334.969999999</v>
      </c>
      <c r="V39" s="130">
        <f t="shared" si="18"/>
        <v>0.9353721167195768</v>
      </c>
      <c r="W39" s="9">
        <f t="shared" si="19"/>
        <v>6107334.969999999</v>
      </c>
      <c r="X39" s="130">
        <f t="shared" si="23"/>
        <v>1</v>
      </c>
      <c r="Y39" s="131">
        <f t="shared" si="20"/>
        <v>1</v>
      </c>
      <c r="Z39" s="130">
        <f t="shared" si="21"/>
        <v>1</v>
      </c>
      <c r="AA39" s="131">
        <f>+R39/M40</f>
        <v>5.848987209440796</v>
      </c>
      <c r="AB39" s="227"/>
      <c r="AC39" s="65"/>
    </row>
    <row r="40" spans="1:29" s="3" customFormat="1" ht="15.75" thickBot="1">
      <c r="A40" s="168" t="s">
        <v>50</v>
      </c>
      <c r="B40" s="11">
        <f>+FUN!B38</f>
        <v>31186455</v>
      </c>
      <c r="C40" s="11"/>
      <c r="D40" s="11"/>
      <c r="E40" s="11"/>
      <c r="F40" s="11"/>
      <c r="G40" s="11"/>
      <c r="H40" s="11"/>
      <c r="I40" s="7">
        <f>+SUM(B40:G40)</f>
        <v>31186455</v>
      </c>
      <c r="J40" s="53">
        <f>+FUN!L38</f>
        <v>0</v>
      </c>
      <c r="K40" s="53">
        <f>+FUN!P38</f>
        <v>0</v>
      </c>
      <c r="L40" s="53">
        <f>+FUN!U38</f>
        <v>27390843</v>
      </c>
      <c r="M40" s="53">
        <f>+FUN!Z38</f>
        <v>3795612</v>
      </c>
      <c r="N40" s="11">
        <f t="shared" si="14"/>
        <v>31186455</v>
      </c>
      <c r="O40" s="383">
        <f>+FUN!AB38</f>
        <v>0</v>
      </c>
      <c r="P40" s="383">
        <f>+FUN!AC38</f>
        <v>0</v>
      </c>
      <c r="Q40" s="380">
        <f>+FUN!AD38</f>
        <v>27390843</v>
      </c>
      <c r="R40" s="384">
        <f>+FUN!AE38</f>
        <v>0</v>
      </c>
      <c r="S40" s="384">
        <f t="shared" si="15"/>
        <v>27390843</v>
      </c>
      <c r="T40" s="11">
        <f t="shared" si="16"/>
        <v>0</v>
      </c>
      <c r="U40" s="11">
        <f t="shared" si="17"/>
        <v>3795612</v>
      </c>
      <c r="V40" s="146">
        <f t="shared" si="18"/>
        <v>0.8782929319796046</v>
      </c>
      <c r="W40" s="129">
        <f t="shared" si="19"/>
        <v>3795612</v>
      </c>
      <c r="X40" s="146">
        <v>0</v>
      </c>
      <c r="Y40" s="131">
        <v>0</v>
      </c>
      <c r="Z40" s="146">
        <f t="shared" si="21"/>
        <v>1</v>
      </c>
      <c r="AA40" s="157">
        <f t="shared" si="22"/>
        <v>0</v>
      </c>
      <c r="AB40" s="227"/>
      <c r="AC40" s="65"/>
    </row>
    <row r="41" spans="1:29" s="3" customFormat="1" ht="17.25" thickBot="1">
      <c r="A41" s="158" t="s">
        <v>51</v>
      </c>
      <c r="B41" s="158">
        <f>SUM(B27:B40)</f>
        <v>897236078.087812</v>
      </c>
      <c r="C41" s="158">
        <f aca="true" t="shared" si="24" ref="C41:N41">SUM(C27:C40)</f>
        <v>0</v>
      </c>
      <c r="D41" s="158">
        <f t="shared" si="24"/>
        <v>0</v>
      </c>
      <c r="E41" s="158">
        <f t="shared" si="24"/>
        <v>0</v>
      </c>
      <c r="F41" s="158">
        <f t="shared" si="24"/>
        <v>8000000</v>
      </c>
      <c r="G41" s="158">
        <f t="shared" si="24"/>
        <v>4649900</v>
      </c>
      <c r="H41" s="158">
        <f t="shared" si="24"/>
        <v>0</v>
      </c>
      <c r="I41" s="158">
        <f>SUM(I27:I40)</f>
        <v>909885978.087812</v>
      </c>
      <c r="J41" s="158">
        <f t="shared" si="24"/>
        <v>189571555.89</v>
      </c>
      <c r="K41" s="158">
        <f t="shared" si="24"/>
        <v>204934214.56</v>
      </c>
      <c r="L41" s="158">
        <f t="shared" si="24"/>
        <v>211814136.913025</v>
      </c>
      <c r="M41" s="158">
        <f t="shared" si="24"/>
        <v>302868307.524787</v>
      </c>
      <c r="N41" s="158">
        <f t="shared" si="24"/>
        <v>909188214.8878121</v>
      </c>
      <c r="O41" s="382">
        <f aca="true" t="shared" si="25" ref="O41:U41">SUM(O27:O40)</f>
        <v>189571555.89</v>
      </c>
      <c r="P41" s="382">
        <f>SUM(P27:P40)</f>
        <v>204934214.56</v>
      </c>
      <c r="Q41" s="382">
        <f>SUM(Q27:Q40)</f>
        <v>211814136.32</v>
      </c>
      <c r="R41" s="382">
        <f t="shared" si="25"/>
        <v>195554760.04</v>
      </c>
      <c r="S41" s="382">
        <f t="shared" si="25"/>
        <v>801874666.81</v>
      </c>
      <c r="T41" s="158">
        <f t="shared" si="25"/>
        <v>697763.1999999993</v>
      </c>
      <c r="U41" s="158">
        <f t="shared" si="25"/>
        <v>108011311.277812</v>
      </c>
      <c r="V41" s="159">
        <f t="shared" si="18"/>
        <v>0.8812913772945428</v>
      </c>
      <c r="W41" s="158">
        <f t="shared" si="19"/>
        <v>107313548.0778122</v>
      </c>
      <c r="X41" s="156">
        <f t="shared" si="23"/>
        <v>1</v>
      </c>
      <c r="Y41" s="156">
        <f t="shared" si="20"/>
        <v>1</v>
      </c>
      <c r="Z41" s="156">
        <f t="shared" si="21"/>
        <v>0.9999999972002577</v>
      </c>
      <c r="AA41" s="156">
        <f t="shared" si="22"/>
        <v>0.645675876879246</v>
      </c>
      <c r="AB41" s="73"/>
      <c r="AC41" s="73"/>
    </row>
    <row r="42" spans="1:29" s="3" customFormat="1" ht="16.5">
      <c r="A42" s="175"/>
      <c r="B42" s="152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381"/>
      <c r="P42" s="381"/>
      <c r="Q42" s="381"/>
      <c r="R42" s="381"/>
      <c r="S42" s="381"/>
      <c r="T42" s="47"/>
      <c r="U42" s="47"/>
      <c r="V42" s="70"/>
      <c r="W42" s="71"/>
      <c r="X42" s="72"/>
      <c r="Y42" s="71"/>
      <c r="Z42" s="72"/>
      <c r="AA42" s="71"/>
      <c r="AB42" s="227"/>
      <c r="AC42" s="65"/>
    </row>
    <row r="43" spans="1:29" s="3" customFormat="1" ht="16.5">
      <c r="A43" s="173" t="s">
        <v>52</v>
      </c>
      <c r="B43" s="3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357"/>
      <c r="P43" s="357"/>
      <c r="Q43" s="357"/>
      <c r="R43" s="357"/>
      <c r="S43" s="357"/>
      <c r="T43" s="7"/>
      <c r="U43" s="7"/>
      <c r="V43" s="64"/>
      <c r="W43" s="32"/>
      <c r="X43" s="12"/>
      <c r="Y43" s="32"/>
      <c r="Z43" s="12"/>
      <c r="AA43" s="32"/>
      <c r="AB43" s="227"/>
      <c r="AC43" s="65"/>
    </row>
    <row r="44" spans="1:29" s="3" customFormat="1" ht="15">
      <c r="A44" s="170" t="s">
        <v>53</v>
      </c>
      <c r="B44" s="7">
        <f>+'[11]ECO'!B64</f>
        <v>2260118760.375</v>
      </c>
      <c r="C44" s="7"/>
      <c r="D44" s="7"/>
      <c r="E44" s="7"/>
      <c r="F44" s="7">
        <f>+ECO!F36</f>
        <v>-382411608</v>
      </c>
      <c r="G44" s="7">
        <f>+ECO!G36</f>
        <v>-2450000</v>
      </c>
      <c r="H44" s="7"/>
      <c r="I44" s="7">
        <f>+SUM(B44:G44)</f>
        <v>1875257152.375</v>
      </c>
      <c r="J44" s="10">
        <f>+ECO!M65</f>
        <v>338318289.99999976</v>
      </c>
      <c r="K44" s="10">
        <f>+ECO!Q65</f>
        <v>415186710</v>
      </c>
      <c r="L44" s="10">
        <f>+ECO!V65</f>
        <v>454003834.0000001</v>
      </c>
      <c r="M44" s="10">
        <f>+ECO!Z65</f>
        <v>667731255.3750002</v>
      </c>
      <c r="N44" s="7">
        <f>SUM(J44:M44)</f>
        <v>1875240089.3750002</v>
      </c>
      <c r="O44" s="380">
        <f>+'[11]ECO'!AA36</f>
        <v>338318289.99999976</v>
      </c>
      <c r="P44" s="380">
        <f>+'[11]ECO'!AB64</f>
        <v>415186710</v>
      </c>
      <c r="Q44" s="380">
        <f>+ECO!AD65</f>
        <v>454003834.0000001</v>
      </c>
      <c r="R44" s="357">
        <f>+ECO!AE65</f>
        <v>537738434.9500002</v>
      </c>
      <c r="S44" s="357">
        <f>SUM(O44:R44)</f>
        <v>1745247268.9500003</v>
      </c>
      <c r="T44" s="7">
        <f>+I44-N44</f>
        <v>17062.99999976158</v>
      </c>
      <c r="U44" s="7">
        <f>+I44-S44</f>
        <v>130009883.42499971</v>
      </c>
      <c r="V44" s="130">
        <f>+S44/I44</f>
        <v>0.9306709038489238</v>
      </c>
      <c r="W44" s="9">
        <f>+N44-S44</f>
        <v>129992820.42499995</v>
      </c>
      <c r="X44" s="130">
        <f aca="true" t="shared" si="26" ref="X44:AA48">+O44/J44</f>
        <v>1</v>
      </c>
      <c r="Y44" s="131">
        <f t="shared" si="26"/>
        <v>1</v>
      </c>
      <c r="Z44" s="130">
        <f t="shared" si="26"/>
        <v>1</v>
      </c>
      <c r="AA44" s="131">
        <f t="shared" si="26"/>
        <v>0.805321647925563</v>
      </c>
      <c r="AB44" s="227"/>
      <c r="AC44" s="65"/>
    </row>
    <row r="45" spans="1:29" s="3" customFormat="1" ht="15">
      <c r="A45" s="170" t="s">
        <v>54</v>
      </c>
      <c r="B45" s="7">
        <f>+TEC!B35</f>
        <v>1110781737</v>
      </c>
      <c r="C45" s="7"/>
      <c r="D45" s="7"/>
      <c r="E45" s="7"/>
      <c r="F45" s="7">
        <f>+TEC!F35</f>
        <v>-387000000</v>
      </c>
      <c r="G45" s="7">
        <f>+TEC!H35</f>
        <v>0</v>
      </c>
      <c r="H45" s="7"/>
      <c r="I45" s="7">
        <f>+SUM(B45:G45)</f>
        <v>723781737</v>
      </c>
      <c r="J45" s="10">
        <f>+TEC!M62</f>
        <v>80325359.2</v>
      </c>
      <c r="K45" s="7">
        <f>+TEC!Q62</f>
        <v>143216407</v>
      </c>
      <c r="L45" s="7">
        <f>+TEC!V62</f>
        <v>187791332</v>
      </c>
      <c r="M45" s="7">
        <f>+TEC!AA62</f>
        <v>273894282</v>
      </c>
      <c r="N45" s="7">
        <f>SUM(J45:M45)</f>
        <v>685227380.2</v>
      </c>
      <c r="O45" s="380">
        <f>+TEC!AC35</f>
        <v>80325359.2</v>
      </c>
      <c r="P45" s="380">
        <f>+TEC!AD35</f>
        <v>143216407</v>
      </c>
      <c r="Q45" s="380">
        <f>+TEC!AE62</f>
        <v>187791332</v>
      </c>
      <c r="R45" s="357">
        <f>+TEC!AF62</f>
        <v>264190471</v>
      </c>
      <c r="S45" s="357">
        <f>SUM(O45:R45)</f>
        <v>675523569.2</v>
      </c>
      <c r="T45" s="7">
        <f>+I45-N45</f>
        <v>38554356.79999995</v>
      </c>
      <c r="U45" s="7">
        <f>+I45-S45</f>
        <v>48258167.79999995</v>
      </c>
      <c r="V45" s="130">
        <f>+S45/I45</f>
        <v>0.9333249716965435</v>
      </c>
      <c r="W45" s="9">
        <f>+N45-S45</f>
        <v>9703811</v>
      </c>
      <c r="X45" s="130">
        <f t="shared" si="26"/>
        <v>1</v>
      </c>
      <c r="Y45" s="131">
        <f t="shared" si="26"/>
        <v>1</v>
      </c>
      <c r="Z45" s="130">
        <f t="shared" si="26"/>
        <v>1</v>
      </c>
      <c r="AA45" s="131">
        <f t="shared" si="26"/>
        <v>0.9645709617260283</v>
      </c>
      <c r="AB45" s="227"/>
      <c r="AC45" s="65"/>
    </row>
    <row r="46" spans="1:29" s="3" customFormat="1" ht="15">
      <c r="A46" s="170" t="s">
        <v>55</v>
      </c>
      <c r="B46" s="7">
        <f>+PPC!B68</f>
        <v>4625165946.33424</v>
      </c>
      <c r="C46" s="7"/>
      <c r="D46" s="7"/>
      <c r="E46" s="7">
        <f>+PPC!E68</f>
        <v>5600000</v>
      </c>
      <c r="F46" s="7">
        <f>+PPC!F40</f>
        <v>-258677677</v>
      </c>
      <c r="G46" s="7">
        <f>+PPC!G40</f>
        <v>270000000</v>
      </c>
      <c r="H46" s="7"/>
      <c r="I46" s="7">
        <f>+SUM(B46:G46)</f>
        <v>4642088269.33424</v>
      </c>
      <c r="J46" s="10">
        <f>+PPC!M68</f>
        <v>971703359.1700001</v>
      </c>
      <c r="K46" s="10">
        <f>+PPC!Q68</f>
        <v>1048755268.05</v>
      </c>
      <c r="L46" s="10">
        <f>+PPC!V68</f>
        <v>1143472611</v>
      </c>
      <c r="M46" s="10">
        <f>+PPC!Z68</f>
        <v>1418879979</v>
      </c>
      <c r="N46" s="7">
        <f>SUM(J46:M46)</f>
        <v>4582811217.22</v>
      </c>
      <c r="O46" s="380">
        <f>+PPC!AB40</f>
        <v>971703359.1700001</v>
      </c>
      <c r="P46" s="380">
        <f>+PPC!AC68</f>
        <v>1048755268.05</v>
      </c>
      <c r="Q46" s="380">
        <f>+PPC!AD68</f>
        <v>1143472611</v>
      </c>
      <c r="R46" s="357">
        <f>+PPC!AE68</f>
        <v>1342463740.6799998</v>
      </c>
      <c r="S46" s="357">
        <f>SUM(O46:R46)</f>
        <v>4506394978.9</v>
      </c>
      <c r="T46" s="7">
        <f>+I46-N46</f>
        <v>59277052.11423969</v>
      </c>
      <c r="U46" s="7">
        <f>+I46-S46</f>
        <v>135693290.43424034</v>
      </c>
      <c r="V46" s="130">
        <f>+S46/I46</f>
        <v>0.9707689120582575</v>
      </c>
      <c r="W46" s="9">
        <f>+N46-S46</f>
        <v>76416238.32000065</v>
      </c>
      <c r="X46" s="130">
        <f t="shared" si="26"/>
        <v>1</v>
      </c>
      <c r="Y46" s="131">
        <f t="shared" si="26"/>
        <v>1</v>
      </c>
      <c r="Z46" s="130">
        <f t="shared" si="26"/>
        <v>1</v>
      </c>
      <c r="AA46" s="131">
        <f t="shared" si="26"/>
        <v>0.9461432683165655</v>
      </c>
      <c r="AB46" s="227"/>
      <c r="AC46" s="65"/>
    </row>
    <row r="47" spans="1:29" s="3" customFormat="1" ht="15.75" thickBot="1">
      <c r="A47" s="171" t="s">
        <v>56</v>
      </c>
      <c r="B47" s="47">
        <f>+MER!B73</f>
        <v>2419905480.5964</v>
      </c>
      <c r="C47" s="11">
        <f>+MER!C73</f>
        <v>-154458505</v>
      </c>
      <c r="D47" s="11">
        <f>+MER!D73</f>
        <v>309629945</v>
      </c>
      <c r="E47" s="11"/>
      <c r="F47" s="11">
        <f>+MER!F33</f>
        <v>-65898781</v>
      </c>
      <c r="G47" s="11">
        <f>+MER!H33</f>
        <v>0</v>
      </c>
      <c r="H47" s="11"/>
      <c r="I47" s="7">
        <f>+SUM(B47:G47)</f>
        <v>2509178139.5964</v>
      </c>
      <c r="J47" s="59">
        <f>+MER!M73</f>
        <v>277596593</v>
      </c>
      <c r="K47" s="47">
        <f>+MER!Q73</f>
        <v>634398313</v>
      </c>
      <c r="L47" s="47">
        <f>+MER!V73</f>
        <v>849105718.8000001</v>
      </c>
      <c r="M47" s="47">
        <f>+MER!AA73</f>
        <v>743734437.4083999</v>
      </c>
      <c r="N47" s="11">
        <f>SUM(J47:M47)</f>
        <v>2504835062.2084002</v>
      </c>
      <c r="O47" s="385">
        <f>+MER!AC33</f>
        <v>277596593</v>
      </c>
      <c r="P47" s="385">
        <f>+MER!AD73</f>
        <v>634398313</v>
      </c>
      <c r="Q47" s="385">
        <f>+MER!AE73</f>
        <v>849105718.8000001</v>
      </c>
      <c r="R47" s="381">
        <f>+MER!AF73</f>
        <v>679948897</v>
      </c>
      <c r="S47" s="384">
        <f>SUM(O47:R47)</f>
        <v>2441049521.8</v>
      </c>
      <c r="T47" s="11">
        <f>+I47-N47</f>
        <v>4343077.387999535</v>
      </c>
      <c r="U47" s="11">
        <f>+I47-S47</f>
        <v>68128617.7963996</v>
      </c>
      <c r="V47" s="146">
        <f>+S47/I47</f>
        <v>0.9728482339610379</v>
      </c>
      <c r="W47" s="129">
        <f>+N47-S47</f>
        <v>63785540.40840006</v>
      </c>
      <c r="X47" s="146">
        <f>+O47/J47</f>
        <v>1</v>
      </c>
      <c r="Y47" s="157">
        <f t="shared" si="26"/>
        <v>1</v>
      </c>
      <c r="Z47" s="146">
        <f t="shared" si="26"/>
        <v>1</v>
      </c>
      <c r="AA47" s="157">
        <f t="shared" si="26"/>
        <v>0.9142361342972559</v>
      </c>
      <c r="AB47" s="227"/>
      <c r="AC47" s="65"/>
    </row>
    <row r="48" spans="1:29" s="3" customFormat="1" ht="17.25" thickBot="1">
      <c r="A48" s="158" t="s">
        <v>57</v>
      </c>
      <c r="B48" s="158">
        <f>SUM(B44:B47)</f>
        <v>10415971924.30564</v>
      </c>
      <c r="C48" s="158">
        <f aca="true" t="shared" si="27" ref="C48:N48">SUM(C44:C47)</f>
        <v>-154458505</v>
      </c>
      <c r="D48" s="158">
        <f t="shared" si="27"/>
        <v>309629945</v>
      </c>
      <c r="E48" s="158">
        <f t="shared" si="27"/>
        <v>5600000</v>
      </c>
      <c r="F48" s="158">
        <f t="shared" si="27"/>
        <v>-1093988066</v>
      </c>
      <c r="G48" s="158">
        <f>SUM(G44:G47)</f>
        <v>267550000</v>
      </c>
      <c r="H48" s="158">
        <f t="shared" si="27"/>
        <v>0</v>
      </c>
      <c r="I48" s="158">
        <f>SUM(I44:I47)</f>
        <v>9750305298.30564</v>
      </c>
      <c r="J48" s="158">
        <f t="shared" si="27"/>
        <v>1667943601.37</v>
      </c>
      <c r="K48" s="158">
        <f t="shared" si="27"/>
        <v>2241556698.05</v>
      </c>
      <c r="L48" s="158">
        <f t="shared" si="27"/>
        <v>2634373495.8</v>
      </c>
      <c r="M48" s="158">
        <f t="shared" si="27"/>
        <v>3104239953.7834</v>
      </c>
      <c r="N48" s="158">
        <f t="shared" si="27"/>
        <v>9648113749.0034</v>
      </c>
      <c r="O48" s="382">
        <f aca="true" t="shared" si="28" ref="O48:U48">SUM(O44:O47)</f>
        <v>1667943601.37</v>
      </c>
      <c r="P48" s="382">
        <f t="shared" si="28"/>
        <v>2241556698.05</v>
      </c>
      <c r="Q48" s="382">
        <f t="shared" si="28"/>
        <v>2634373495.8</v>
      </c>
      <c r="R48" s="382">
        <f t="shared" si="28"/>
        <v>2824341543.63</v>
      </c>
      <c r="S48" s="382">
        <f t="shared" si="28"/>
        <v>9368215338.85</v>
      </c>
      <c r="T48" s="158">
        <f t="shared" si="28"/>
        <v>102191549.30223894</v>
      </c>
      <c r="U48" s="158">
        <f t="shared" si="28"/>
        <v>382089959.4556396</v>
      </c>
      <c r="V48" s="156">
        <f>+S48/I48</f>
        <v>0.9608125132736063</v>
      </c>
      <c r="W48" s="158">
        <f>SUM(W44:W47)</f>
        <v>279898410.15340066</v>
      </c>
      <c r="X48" s="156">
        <f t="shared" si="26"/>
        <v>1</v>
      </c>
      <c r="Y48" s="156">
        <f t="shared" si="26"/>
        <v>1</v>
      </c>
      <c r="Z48" s="156">
        <f t="shared" si="26"/>
        <v>1</v>
      </c>
      <c r="AA48" s="156">
        <f t="shared" si="26"/>
        <v>0.9098335134137218</v>
      </c>
      <c r="AB48" s="73"/>
      <c r="AC48" s="73"/>
    </row>
    <row r="49" spans="1:29" s="3" customFormat="1" ht="15">
      <c r="A49" s="171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381"/>
      <c r="P49" s="381"/>
      <c r="Q49" s="381"/>
      <c r="R49" s="381"/>
      <c r="S49" s="381"/>
      <c r="T49" s="47"/>
      <c r="U49" s="47"/>
      <c r="V49" s="70"/>
      <c r="W49" s="71"/>
      <c r="X49" s="72"/>
      <c r="Y49" s="71"/>
      <c r="Z49" s="72"/>
      <c r="AA49" s="71"/>
      <c r="AB49" s="227"/>
      <c r="AC49" s="65"/>
    </row>
    <row r="50" spans="1:29" s="2" customFormat="1" ht="16.5">
      <c r="A50" s="173" t="s">
        <v>58</v>
      </c>
      <c r="B50" s="36">
        <f>+FUN!B41</f>
        <v>927081953.1505461</v>
      </c>
      <c r="C50" s="36"/>
      <c r="D50" s="36"/>
      <c r="E50" s="36">
        <f>+FUN!E41</f>
        <v>0</v>
      </c>
      <c r="F50" s="36">
        <f>+FUN!F41</f>
        <v>44389398.842745595</v>
      </c>
      <c r="G50" s="36">
        <f>+FUN!W41</f>
        <v>0</v>
      </c>
      <c r="H50" s="36"/>
      <c r="I50" s="36">
        <f>+SUM(B50:G50)</f>
        <v>971471351.9932916</v>
      </c>
      <c r="J50" s="58">
        <f>+FUN!L41</f>
        <v>216532596</v>
      </c>
      <c r="K50" s="36">
        <f>+FUN!P41</f>
        <v>236955666.5</v>
      </c>
      <c r="L50" s="36">
        <f>+FUN!U41</f>
        <v>251791255</v>
      </c>
      <c r="M50" s="36">
        <f>+FUN!V41</f>
        <v>262766302.00054613</v>
      </c>
      <c r="N50" s="36">
        <f>SUM(J50:M50)</f>
        <v>968045819.5005461</v>
      </c>
      <c r="O50" s="373">
        <f>+FUN!AB41</f>
        <v>216532596</v>
      </c>
      <c r="P50" s="373">
        <f>+FUN!AC41</f>
        <v>236955666.5</v>
      </c>
      <c r="Q50" s="373">
        <f>+FUN!AD41</f>
        <v>251791255</v>
      </c>
      <c r="R50" s="373">
        <f>+FUN!AE41</f>
        <v>269310139</v>
      </c>
      <c r="S50" s="373">
        <f>SUM(O50:R50)</f>
        <v>974589656.5</v>
      </c>
      <c r="T50" s="36">
        <f>+I50-N50</f>
        <v>3425532.4927455187</v>
      </c>
      <c r="U50" s="36">
        <f>+I50-S50</f>
        <v>-3118304.5067083836</v>
      </c>
      <c r="V50" s="133">
        <f>+S50/I50</f>
        <v>1.0032098779859129</v>
      </c>
      <c r="W50" s="57">
        <f>+N50-S50</f>
        <v>-6543836.999453902</v>
      </c>
      <c r="X50" s="133">
        <f>+O50/J50</f>
        <v>1</v>
      </c>
      <c r="Y50" s="134">
        <f>+P50/K50</f>
        <v>1</v>
      </c>
      <c r="Z50" s="133">
        <f>+Q50/L50</f>
        <v>1</v>
      </c>
      <c r="AA50" s="134">
        <f>+R50/M50</f>
        <v>1.024903638516937</v>
      </c>
      <c r="AB50" s="228"/>
      <c r="AC50" s="75"/>
    </row>
    <row r="51" spans="1:29" s="2" customFormat="1" ht="16.5">
      <c r="A51" s="175"/>
      <c r="B51" s="152"/>
      <c r="C51" s="152"/>
      <c r="D51" s="152"/>
      <c r="E51" s="152"/>
      <c r="F51" s="152"/>
      <c r="G51" s="152"/>
      <c r="H51" s="152"/>
      <c r="I51" s="152"/>
      <c r="J51" s="328"/>
      <c r="K51" s="152"/>
      <c r="L51" s="152"/>
      <c r="M51" s="152"/>
      <c r="N51" s="152"/>
      <c r="O51" s="386"/>
      <c r="P51" s="386"/>
      <c r="Q51" s="386"/>
      <c r="R51" s="386"/>
      <c r="S51" s="386"/>
      <c r="T51" s="36"/>
      <c r="U51" s="36"/>
      <c r="V51" s="133"/>
      <c r="W51" s="57"/>
      <c r="X51" s="133"/>
      <c r="Y51" s="134"/>
      <c r="Z51" s="133"/>
      <c r="AA51" s="134"/>
      <c r="AB51" s="228"/>
      <c r="AC51" s="75"/>
    </row>
    <row r="52" spans="1:29" s="2" customFormat="1" ht="16.5">
      <c r="A52" s="175" t="s">
        <v>285</v>
      </c>
      <c r="B52" s="152">
        <v>1374122930</v>
      </c>
      <c r="C52" s="152"/>
      <c r="D52" s="152"/>
      <c r="E52" s="152"/>
      <c r="F52" s="152">
        <f>+TEC!F60</f>
        <v>66584098</v>
      </c>
      <c r="G52" s="152">
        <f>+TEC!H60</f>
        <v>0</v>
      </c>
      <c r="H52" s="152"/>
      <c r="I52" s="36">
        <f>+SUM(B52:G52)</f>
        <v>1440707028</v>
      </c>
      <c r="J52" s="328">
        <f>+TEC!M60</f>
        <v>0</v>
      </c>
      <c r="K52" s="152">
        <f>+TEC!Q60</f>
        <v>0</v>
      </c>
      <c r="L52" s="152">
        <f>+TEC!V60</f>
        <v>62988319</v>
      </c>
      <c r="M52" s="152">
        <f>+TEC!AA60</f>
        <v>15000000</v>
      </c>
      <c r="N52" s="36">
        <f>SUM(J52:M52)</f>
        <v>77988319</v>
      </c>
      <c r="O52" s="373"/>
      <c r="P52" s="373"/>
      <c r="Q52" s="373">
        <f>+TEC!AE60</f>
        <v>62988319</v>
      </c>
      <c r="R52" s="373">
        <f>+TEC!AF60</f>
        <v>14042589</v>
      </c>
      <c r="S52" s="373">
        <f>SUM(O52:R52)</f>
        <v>77030908</v>
      </c>
      <c r="T52" s="373">
        <f>SUM(P52:S52)</f>
        <v>154061816</v>
      </c>
      <c r="U52" s="373">
        <f>SUM(Q52:T52)</f>
        <v>308123632</v>
      </c>
      <c r="V52" s="133">
        <f>+S52/I52</f>
        <v>0.053467434046556205</v>
      </c>
      <c r="W52" s="57">
        <f>+N52-S52</f>
        <v>957411</v>
      </c>
      <c r="X52" s="133">
        <v>0</v>
      </c>
      <c r="Y52" s="134">
        <v>0</v>
      </c>
      <c r="Z52" s="133">
        <f>+Q52/L52</f>
        <v>1</v>
      </c>
      <c r="AA52" s="134">
        <f>+R52/M52</f>
        <v>0.9361726</v>
      </c>
      <c r="AB52" s="228"/>
      <c r="AC52" s="75"/>
    </row>
    <row r="53" spans="1:29" s="3" customFormat="1" ht="17.25" thickBot="1">
      <c r="A53" s="175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381"/>
      <c r="P53" s="381"/>
      <c r="Q53" s="381"/>
      <c r="R53" s="381"/>
      <c r="S53" s="381"/>
      <c r="T53" s="47"/>
      <c r="U53" s="47"/>
      <c r="V53" s="149"/>
      <c r="W53" s="160"/>
      <c r="X53" s="27"/>
      <c r="Y53" s="160"/>
      <c r="Z53" s="27"/>
      <c r="AA53" s="160"/>
      <c r="AB53" s="227"/>
      <c r="AC53" s="65"/>
    </row>
    <row r="54" spans="1:29" s="3" customFormat="1" ht="19.5" customHeight="1" thickBot="1">
      <c r="A54" s="158" t="s">
        <v>59</v>
      </c>
      <c r="B54" s="158">
        <f>SUM(B55:B56)</f>
        <v>718642359</v>
      </c>
      <c r="C54" s="158">
        <f aca="true" t="shared" si="29" ref="C54:W54">SUM(C55:C56)</f>
        <v>69812645</v>
      </c>
      <c r="D54" s="158">
        <f t="shared" si="29"/>
        <v>-2664985</v>
      </c>
      <c r="E54" s="158">
        <f t="shared" si="29"/>
        <v>40400000</v>
      </c>
      <c r="F54" s="158">
        <f t="shared" si="29"/>
        <v>350553824</v>
      </c>
      <c r="G54" s="158">
        <f>SUM(G55:G56)</f>
        <v>-277000000</v>
      </c>
      <c r="H54" s="158">
        <f t="shared" si="29"/>
        <v>0</v>
      </c>
      <c r="I54" s="158">
        <f>SUM(I55:I56)</f>
        <v>899743843</v>
      </c>
      <c r="J54" s="158">
        <f t="shared" si="29"/>
        <v>0</v>
      </c>
      <c r="K54" s="158">
        <f t="shared" si="29"/>
        <v>0</v>
      </c>
      <c r="L54" s="158">
        <f t="shared" si="29"/>
        <v>0</v>
      </c>
      <c r="M54" s="158">
        <f t="shared" si="29"/>
        <v>0</v>
      </c>
      <c r="N54" s="158">
        <f t="shared" si="29"/>
        <v>0</v>
      </c>
      <c r="O54" s="382">
        <f t="shared" si="29"/>
        <v>0</v>
      </c>
      <c r="P54" s="382">
        <f t="shared" si="29"/>
        <v>0</v>
      </c>
      <c r="Q54" s="382">
        <f t="shared" si="29"/>
        <v>0</v>
      </c>
      <c r="R54" s="382">
        <f t="shared" si="29"/>
        <v>0</v>
      </c>
      <c r="S54" s="382">
        <f t="shared" si="29"/>
        <v>0</v>
      </c>
      <c r="T54" s="158">
        <f t="shared" si="29"/>
        <v>899743843</v>
      </c>
      <c r="U54" s="158">
        <f t="shared" si="29"/>
        <v>899743843</v>
      </c>
      <c r="V54" s="156">
        <f>+S54/I54</f>
        <v>0</v>
      </c>
      <c r="W54" s="158">
        <f t="shared" si="29"/>
        <v>0</v>
      </c>
      <c r="X54" s="156">
        <v>0</v>
      </c>
      <c r="Y54" s="156">
        <v>0</v>
      </c>
      <c r="Z54" s="156">
        <v>0</v>
      </c>
      <c r="AA54" s="156">
        <v>0</v>
      </c>
      <c r="AB54" s="65"/>
      <c r="AC54" s="65"/>
    </row>
    <row r="55" spans="1:29" s="3" customFormat="1" ht="15">
      <c r="A55" s="171" t="s">
        <v>60</v>
      </c>
      <c r="B55" s="37">
        <f>+FUN!B44</f>
        <v>159414236</v>
      </c>
      <c r="C55" s="37">
        <f>+FUN!C44</f>
        <v>-159414236</v>
      </c>
      <c r="D55" s="37">
        <f>+FUN!D44</f>
        <v>0</v>
      </c>
      <c r="E55" s="37"/>
      <c r="F55" s="37">
        <f>+FUN!F44</f>
        <v>0</v>
      </c>
      <c r="G55" s="37">
        <f>+FUN!W44</f>
        <v>0</v>
      </c>
      <c r="H55" s="37"/>
      <c r="I55" s="37">
        <f>+SUM(B55:G55)</f>
        <v>0</v>
      </c>
      <c r="J55" s="59">
        <v>0</v>
      </c>
      <c r="K55" s="47"/>
      <c r="L55" s="47"/>
      <c r="M55" s="47"/>
      <c r="N55" s="37">
        <f>SUM(J55:M55)</f>
        <v>0</v>
      </c>
      <c r="O55" s="381">
        <v>0</v>
      </c>
      <c r="P55" s="381">
        <v>0</v>
      </c>
      <c r="Q55" s="381">
        <v>0</v>
      </c>
      <c r="R55" s="381">
        <f>+FUN!AE44</f>
        <v>0</v>
      </c>
      <c r="S55" s="387">
        <f>SUM(O55:R55)</f>
        <v>0</v>
      </c>
      <c r="T55" s="37">
        <f>+I55-N55</f>
        <v>0</v>
      </c>
      <c r="U55" s="37">
        <f>+I55-S55</f>
        <v>0</v>
      </c>
      <c r="V55" s="161">
        <v>0</v>
      </c>
      <c r="W55" s="98">
        <f>+N55-S55</f>
        <v>0</v>
      </c>
      <c r="X55" s="161">
        <v>0</v>
      </c>
      <c r="Y55" s="131">
        <v>0</v>
      </c>
      <c r="Z55" s="130">
        <v>0</v>
      </c>
      <c r="AA55" s="131">
        <v>0</v>
      </c>
      <c r="AB55" s="227"/>
      <c r="AC55" s="65"/>
    </row>
    <row r="56" spans="1:29" s="3" customFormat="1" ht="15">
      <c r="A56" s="170" t="s">
        <v>61</v>
      </c>
      <c r="B56" s="7">
        <f>+FUN!B45</f>
        <v>559228123</v>
      </c>
      <c r="C56" s="7">
        <f>+FUN!C45</f>
        <v>229226881</v>
      </c>
      <c r="D56" s="7">
        <f>+FUN!D45</f>
        <v>-2664985</v>
      </c>
      <c r="E56" s="7">
        <f>+FUN!E45</f>
        <v>40400000</v>
      </c>
      <c r="F56" s="7">
        <f>+FUN!F45</f>
        <v>350553824</v>
      </c>
      <c r="G56" s="7">
        <f>+FUN!G45</f>
        <v>-277000000</v>
      </c>
      <c r="H56" s="7"/>
      <c r="I56" s="37">
        <f>+SUM(B56:G56)</f>
        <v>899743843</v>
      </c>
      <c r="J56" s="10">
        <v>0</v>
      </c>
      <c r="K56" s="7"/>
      <c r="L56" s="7"/>
      <c r="M56" s="7"/>
      <c r="N56" s="7">
        <f>SUM(J56:M56)</f>
        <v>0</v>
      </c>
      <c r="O56" s="357">
        <v>0</v>
      </c>
      <c r="P56" s="357">
        <v>0</v>
      </c>
      <c r="Q56" s="357">
        <v>0</v>
      </c>
      <c r="R56" s="357">
        <f>+FUN!AE45</f>
        <v>0</v>
      </c>
      <c r="S56" s="357">
        <f>SUM(O56:R56)</f>
        <v>0</v>
      </c>
      <c r="T56" s="7">
        <f>+I56-N56</f>
        <v>899743843</v>
      </c>
      <c r="U56" s="7">
        <f>+I56-S56</f>
        <v>899743843</v>
      </c>
      <c r="V56" s="130">
        <f>+S56/I56</f>
        <v>0</v>
      </c>
      <c r="W56" s="9">
        <f>+N56-S56</f>
        <v>0</v>
      </c>
      <c r="X56" s="130">
        <v>0</v>
      </c>
      <c r="Y56" s="131">
        <v>0</v>
      </c>
      <c r="Z56" s="130">
        <v>0</v>
      </c>
      <c r="AA56" s="131">
        <v>0</v>
      </c>
      <c r="AB56" s="227"/>
      <c r="AC56" s="65"/>
    </row>
    <row r="57" spans="1:28" ht="15.75" thickBot="1">
      <c r="A57" s="177"/>
      <c r="B57" s="78"/>
      <c r="C57" s="78"/>
      <c r="D57" s="78"/>
      <c r="E57" s="78"/>
      <c r="F57" s="78"/>
      <c r="G57" s="78"/>
      <c r="H57" s="78"/>
      <c r="I57" s="78"/>
      <c r="J57" s="47"/>
      <c r="K57" s="47"/>
      <c r="L57" s="47"/>
      <c r="M57" s="47"/>
      <c r="N57" s="78"/>
      <c r="O57" s="381"/>
      <c r="P57" s="381"/>
      <c r="Q57" s="381"/>
      <c r="R57" s="381"/>
      <c r="S57" s="381"/>
      <c r="T57" s="47"/>
      <c r="U57" s="47"/>
      <c r="V57" s="149"/>
      <c r="W57" s="160"/>
      <c r="X57" s="162"/>
      <c r="Y57" s="163"/>
      <c r="Z57" s="162"/>
      <c r="AA57" s="163"/>
      <c r="AB57" s="226"/>
    </row>
    <row r="58" spans="1:34" ht="17.25" thickBot="1">
      <c r="A58" s="155" t="s">
        <v>62</v>
      </c>
      <c r="B58" s="158">
        <f aca="true" t="shared" si="30" ref="B58:G58">+B24+B41+B48+B50+B54+B52</f>
        <v>16929368585.344578</v>
      </c>
      <c r="C58" s="158">
        <f t="shared" si="30"/>
        <v>-84645860</v>
      </c>
      <c r="D58" s="158">
        <f t="shared" si="30"/>
        <v>306964960</v>
      </c>
      <c r="E58" s="158">
        <f t="shared" si="30"/>
        <v>46000000</v>
      </c>
      <c r="F58" s="158">
        <f t="shared" si="30"/>
        <v>-681465960.1572545</v>
      </c>
      <c r="G58" s="158">
        <f t="shared" si="30"/>
        <v>-2450000</v>
      </c>
      <c r="H58" s="158">
        <f>+H24+H41+H48+H50+H54</f>
        <v>0</v>
      </c>
      <c r="I58" s="158">
        <f>+I24+I41+I48+I50+I54+I52</f>
        <v>16513771725.187323</v>
      </c>
      <c r="J58" s="158">
        <f aca="true" t="shared" si="31" ref="J58:S58">+J24+J41+J48+J50+J54+J52</f>
        <v>2614876324.2599998</v>
      </c>
      <c r="K58" s="158">
        <f t="shared" si="31"/>
        <v>3318652461.11</v>
      </c>
      <c r="L58" s="158">
        <f>+L24+L41+L48+L50+L54+L52</f>
        <v>3788617522.7720904</v>
      </c>
      <c r="M58" s="158">
        <f t="shared" si="31"/>
        <v>4422544120.050247</v>
      </c>
      <c r="N58" s="158">
        <f t="shared" si="31"/>
        <v>14144690428.192337</v>
      </c>
      <c r="O58" s="382">
        <f t="shared" si="31"/>
        <v>2614876324.2599998</v>
      </c>
      <c r="P58" s="382">
        <f t="shared" si="31"/>
        <v>3318652461.11</v>
      </c>
      <c r="Q58" s="382">
        <f t="shared" si="31"/>
        <v>3788617522.12</v>
      </c>
      <c r="R58" s="382">
        <f t="shared" si="31"/>
        <v>3913530354.67</v>
      </c>
      <c r="S58" s="382">
        <f t="shared" si="31"/>
        <v>13635676662.16</v>
      </c>
      <c r="T58" s="158">
        <f>+T24+T41+T48+T50+T54</f>
        <v>1006362587.9949845</v>
      </c>
      <c r="U58" s="158">
        <f>+U24+U41+U48+U50+U54</f>
        <v>1514418943.0273218</v>
      </c>
      <c r="V58" s="406">
        <f>+S58/(I58-I54)</f>
        <v>0.8732965487858357</v>
      </c>
      <c r="W58" s="158">
        <f>+N58-S58</f>
        <v>509013766.0323372</v>
      </c>
      <c r="X58" s="156">
        <f>+O58/J58</f>
        <v>1</v>
      </c>
      <c r="Y58" s="156">
        <f>+P58/K58</f>
        <v>1</v>
      </c>
      <c r="Z58" s="156">
        <f>+Q58/L58</f>
        <v>0.9999999998278817</v>
      </c>
      <c r="AA58" s="156">
        <f>+R58/M58</f>
        <v>0.884904762606537</v>
      </c>
      <c r="AB58" s="65"/>
      <c r="AC58" s="65"/>
      <c r="AD58" s="3"/>
      <c r="AE58" s="3"/>
      <c r="AF58" s="3"/>
      <c r="AG58" s="3"/>
      <c r="AH58" s="3"/>
    </row>
    <row r="59" spans="10:22" ht="19.5" customHeight="1">
      <c r="J59" s="3"/>
      <c r="K59" s="3"/>
      <c r="L59" s="3"/>
      <c r="M59" s="3"/>
      <c r="O59" s="3"/>
      <c r="P59" s="2"/>
      <c r="Q59" s="3"/>
      <c r="S59" s="3"/>
      <c r="T59" s="3"/>
      <c r="V59" s="394"/>
    </row>
    <row r="60" spans="1:22" ht="19.5" customHeight="1">
      <c r="A60" s="79"/>
      <c r="I60" s="330"/>
      <c r="J60" s="3"/>
      <c r="K60" s="3"/>
      <c r="L60" s="80"/>
      <c r="M60" s="3"/>
      <c r="O60" s="3">
        <f>+'[11]ECO'!AA66+TEC!AC64+PPC!AB70+MER!AC75+FUN!AB47</f>
        <v>2614876324.2599998</v>
      </c>
      <c r="P60" s="3">
        <f>+'[11]ECO'!AB66+TEC!AD64+PPC!AC70+MER!AD75+FUN!AC47</f>
        <v>3318652461.1099997</v>
      </c>
      <c r="Q60" s="3">
        <f>+ECO!AD67+TEC!AE64+PPC!AD70+MER!AE75+FUN!AD47</f>
        <v>3788617522.12</v>
      </c>
      <c r="S60" s="61"/>
      <c r="V60" s="81"/>
    </row>
    <row r="61" spans="10:20" ht="19.5" customHeight="1">
      <c r="J61" s="3"/>
      <c r="K61" s="3"/>
      <c r="L61" s="3"/>
      <c r="M61" s="3"/>
      <c r="N61" s="61" t="s">
        <v>230</v>
      </c>
      <c r="O61" s="83">
        <f>+O60-O62</f>
        <v>1326427135.8399997</v>
      </c>
      <c r="P61" s="83">
        <f>+P60-P62</f>
        <v>1911107246.8049998</v>
      </c>
      <c r="Q61" s="83">
        <f>+Q60-Q62</f>
        <v>2273296746.1</v>
      </c>
      <c r="R61" s="81">
        <f>+ECO!AE67+TEC!AF64+MER!AF75+FUN!AE47-FUN!AE51</f>
        <v>2221786387.0200005</v>
      </c>
      <c r="S61" s="65">
        <f>SUM(O61:R61)</f>
        <v>7732617515.764999</v>
      </c>
      <c r="T61" s="3"/>
    </row>
    <row r="62" spans="10:19" ht="19.5" customHeight="1">
      <c r="J62" s="3"/>
      <c r="K62" s="3"/>
      <c r="L62" s="3"/>
      <c r="M62" s="3"/>
      <c r="N62" s="61" t="s">
        <v>231</v>
      </c>
      <c r="O62" s="3">
        <f>+PPC!AB70+FUN!AB51</f>
        <v>1288449188.42</v>
      </c>
      <c r="P62" s="3">
        <f>+PPC!AC70+FUN!AC51</f>
        <v>1407545214.3049998</v>
      </c>
      <c r="Q62" s="3">
        <f>+PPC!AD70+FUN!AD51</f>
        <v>1515320776.02</v>
      </c>
      <c r="R62" s="51">
        <f>+PPC!AE70+FUN!AE51</f>
        <v>1691743967.6499999</v>
      </c>
      <c r="S62" s="65">
        <f>SUM(O62:R62)</f>
        <v>5903059146.3949995</v>
      </c>
    </row>
    <row r="63" spans="10:17" ht="19.5" customHeight="1">
      <c r="J63" s="3"/>
      <c r="L63" s="3"/>
      <c r="M63" s="3"/>
      <c r="O63" s="3"/>
      <c r="P63" s="3"/>
      <c r="Q63" s="3"/>
    </row>
    <row r="64" spans="10:17" ht="19.5" customHeight="1">
      <c r="J64" s="3"/>
      <c r="K64" s="3"/>
      <c r="L64" s="3"/>
      <c r="M64" s="3"/>
      <c r="N64" s="82"/>
      <c r="O64" s="49"/>
      <c r="P64" s="49"/>
      <c r="Q64" s="3"/>
    </row>
    <row r="65" spans="10:16" ht="19.5" customHeight="1">
      <c r="J65" s="3"/>
      <c r="K65" s="3"/>
      <c r="L65" s="3"/>
      <c r="M65" s="3"/>
      <c r="N65" s="82"/>
      <c r="O65" s="3"/>
      <c r="P65" s="3"/>
    </row>
    <row r="66" spans="10:16" ht="19.5" customHeight="1">
      <c r="J66" s="3"/>
      <c r="K66" s="3"/>
      <c r="L66" s="3"/>
      <c r="M66" s="3"/>
      <c r="N66" s="82"/>
      <c r="O66" s="3"/>
      <c r="P66" s="49"/>
    </row>
    <row r="67" spans="10:16" ht="19.5" customHeight="1">
      <c r="J67" s="3"/>
      <c r="K67" s="3"/>
      <c r="L67" s="3"/>
      <c r="M67" s="3"/>
      <c r="N67" s="82"/>
      <c r="O67" s="3"/>
      <c r="P67" s="49"/>
    </row>
    <row r="68" spans="10:16" ht="19.5" customHeight="1">
      <c r="J68" s="3"/>
      <c r="K68" s="3"/>
      <c r="L68" s="3"/>
      <c r="M68" s="3"/>
      <c r="N68" s="82"/>
      <c r="O68" s="3"/>
      <c r="P68" s="49"/>
    </row>
    <row r="69" spans="10:16" ht="19.5" customHeight="1">
      <c r="J69" s="3"/>
      <c r="K69" s="3"/>
      <c r="L69" s="3"/>
      <c r="M69" s="3"/>
      <c r="N69" s="82"/>
      <c r="O69" s="3"/>
      <c r="P69" s="49"/>
    </row>
    <row r="70" spans="10:16" ht="19.5" customHeight="1">
      <c r="J70" s="3"/>
      <c r="K70" s="3"/>
      <c r="L70" s="3"/>
      <c r="M70" s="3"/>
      <c r="N70" s="82"/>
      <c r="O70" s="83"/>
      <c r="P70" s="49"/>
    </row>
    <row r="71" spans="10:16" ht="19.5" customHeight="1">
      <c r="J71" s="3"/>
      <c r="K71" s="3"/>
      <c r="L71" s="3"/>
      <c r="M71" s="3"/>
      <c r="N71" s="82"/>
      <c r="O71" s="3"/>
      <c r="P71" s="49"/>
    </row>
    <row r="72" spans="10:16" ht="19.5" customHeight="1">
      <c r="J72" s="3"/>
      <c r="K72" s="3"/>
      <c r="L72" s="3"/>
      <c r="M72" s="3"/>
      <c r="N72" s="84"/>
      <c r="O72" s="3"/>
      <c r="P72" s="3"/>
    </row>
    <row r="73" spans="10:16" ht="19.5" customHeight="1">
      <c r="J73" s="3"/>
      <c r="K73" s="3"/>
      <c r="L73" s="3"/>
      <c r="M73" s="3"/>
      <c r="N73" s="84"/>
      <c r="O73" s="3"/>
      <c r="P73" s="3"/>
    </row>
    <row r="74" spans="10:16" ht="19.5" customHeight="1">
      <c r="J74" s="3"/>
      <c r="K74" s="3"/>
      <c r="L74" s="3"/>
      <c r="M74" s="3"/>
      <c r="N74" s="84"/>
      <c r="O74" s="3"/>
      <c r="P74" s="49"/>
    </row>
    <row r="75" spans="10:16" ht="19.5" customHeight="1">
      <c r="J75" s="3"/>
      <c r="K75" s="3"/>
      <c r="L75" s="3"/>
      <c r="M75" s="3"/>
      <c r="N75" s="85" t="s">
        <v>64</v>
      </c>
      <c r="O75" s="3" t="s">
        <v>63</v>
      </c>
      <c r="P75" s="49">
        <v>-695710</v>
      </c>
    </row>
    <row r="76" spans="10:17" ht="19.5" customHeight="1">
      <c r="J76" s="3"/>
      <c r="K76" s="3"/>
      <c r="L76" s="3"/>
      <c r="M76" s="3"/>
      <c r="N76" s="51" t="s">
        <v>65</v>
      </c>
      <c r="Q76" s="51">
        <v>-1438010</v>
      </c>
    </row>
    <row r="77" spans="10:17" ht="19.5" customHeight="1">
      <c r="J77" s="3"/>
      <c r="K77" s="3"/>
      <c r="L77" s="3"/>
      <c r="M77" s="3"/>
      <c r="N77" s="93" t="s">
        <v>66</v>
      </c>
      <c r="O77" s="49"/>
      <c r="P77" s="49"/>
      <c r="Q77" s="3">
        <v>-7795</v>
      </c>
    </row>
    <row r="78" spans="10:17" ht="19.5" customHeight="1">
      <c r="J78" s="3"/>
      <c r="K78" s="3"/>
      <c r="L78" s="3"/>
      <c r="M78" s="3"/>
      <c r="N78" s="86" t="s">
        <v>7</v>
      </c>
      <c r="O78" s="87">
        <v>0</v>
      </c>
      <c r="P78" s="87">
        <v>3759171690.42</v>
      </c>
      <c r="Q78" s="87">
        <v>3752418366</v>
      </c>
    </row>
    <row r="79" spans="10:17" ht="19.5" customHeight="1">
      <c r="J79" s="3"/>
      <c r="K79" s="3"/>
      <c r="L79" s="3"/>
      <c r="M79" s="3"/>
      <c r="N79" s="88" t="s">
        <v>67</v>
      </c>
      <c r="O79" s="89"/>
      <c r="P79" s="94">
        <v>-1472.7051725387573</v>
      </c>
      <c r="Q79" s="94">
        <v>641.5999999046326</v>
      </c>
    </row>
    <row r="80" spans="10:17" ht="19.5" customHeight="1">
      <c r="J80" s="3"/>
      <c r="K80" s="3"/>
      <c r="L80" s="3"/>
      <c r="M80" s="3"/>
      <c r="O80" s="3"/>
      <c r="P80" s="3"/>
      <c r="Q80" s="3"/>
    </row>
    <row r="81" spans="10:18" ht="19.5" customHeight="1">
      <c r="J81" s="3"/>
      <c r="K81" s="3"/>
      <c r="L81" s="3"/>
      <c r="M81" s="3"/>
      <c r="N81" s="90" t="s">
        <v>68</v>
      </c>
      <c r="O81" s="95" t="s">
        <v>69</v>
      </c>
      <c r="P81" s="95" t="s">
        <v>69</v>
      </c>
      <c r="Q81" s="95" t="s">
        <v>69</v>
      </c>
      <c r="R81" s="95"/>
    </row>
    <row r="82" spans="10:13" ht="19.5" customHeight="1">
      <c r="J82" s="3"/>
      <c r="K82" s="3"/>
      <c r="L82" s="3"/>
      <c r="M82" s="3"/>
    </row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4" ht="19.5" customHeight="1"/>
    <row r="175" ht="19.5" customHeight="1"/>
    <row r="176" ht="19.5" customHeight="1"/>
    <row r="177" spans="1:19" ht="19.5" customHeight="1">
      <c r="A177" s="91" t="s">
        <v>70</v>
      </c>
      <c r="S177" s="92"/>
    </row>
    <row r="178" spans="1:9" ht="19.5" customHeight="1">
      <c r="A178" s="51" t="s">
        <v>71</v>
      </c>
      <c r="B178" s="51">
        <v>2195898462.7184525</v>
      </c>
      <c r="I178" s="51">
        <v>2200318462.7184525</v>
      </c>
    </row>
    <row r="179" spans="1:9" ht="19.5" customHeight="1">
      <c r="A179" s="51" t="s">
        <v>72</v>
      </c>
      <c r="B179" s="51">
        <v>879155682.18928</v>
      </c>
      <c r="I179" s="51">
        <v>871816097.18928</v>
      </c>
    </row>
    <row r="180" spans="1:9" ht="19.5" customHeight="1">
      <c r="A180" s="51" t="s">
        <v>73</v>
      </c>
      <c r="B180" s="51">
        <v>12952567482.94</v>
      </c>
      <c r="I180" s="51">
        <v>12495229420.94</v>
      </c>
    </row>
    <row r="181" spans="1:9" ht="19.5" customHeight="1">
      <c r="A181" s="51" t="s">
        <v>136</v>
      </c>
      <c r="B181" s="51">
        <v>801849312</v>
      </c>
      <c r="I181" s="51">
        <v>690941226</v>
      </c>
    </row>
    <row r="182" spans="1:17" ht="19.5" customHeight="1">
      <c r="A182" s="61" t="s">
        <v>74</v>
      </c>
      <c r="B182" s="61">
        <v>16829470939.847733</v>
      </c>
      <c r="I182" s="61">
        <v>16258305206.847733</v>
      </c>
      <c r="J182" s="61"/>
      <c r="K182" s="61"/>
      <c r="L182" s="61"/>
      <c r="M182" s="61"/>
      <c r="O182" s="61"/>
      <c r="P182" s="61"/>
      <c r="Q182" s="61"/>
    </row>
    <row r="183" ht="19.5" customHeight="1"/>
    <row r="184" spans="1:17" ht="19.5" customHeight="1">
      <c r="A184" s="61" t="s">
        <v>75</v>
      </c>
      <c r="B184" s="61">
        <v>1044886378.2260513</v>
      </c>
      <c r="I184" s="61">
        <v>588898371.2260494</v>
      </c>
      <c r="J184" s="61"/>
      <c r="K184" s="61"/>
      <c r="L184" s="61"/>
      <c r="M184" s="61"/>
      <c r="O184" s="61"/>
      <c r="P184" s="61"/>
      <c r="Q184" s="61"/>
    </row>
    <row r="185" spans="1:17" ht="19.5" customHeight="1">
      <c r="A185" s="61" t="s">
        <v>76</v>
      </c>
      <c r="B185" s="61">
        <v>-1.9073486328125E-06</v>
      </c>
      <c r="I185" s="61">
        <v>0</v>
      </c>
      <c r="J185" s="61"/>
      <c r="K185" s="61"/>
      <c r="L185" s="61"/>
      <c r="M185" s="61"/>
      <c r="O185" s="61"/>
      <c r="P185" s="61"/>
      <c r="Q185" s="61"/>
    </row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</sheetData>
  <sheetProtection/>
  <mergeCells count="8">
    <mergeCell ref="O8:R8"/>
    <mergeCell ref="J8:M8"/>
    <mergeCell ref="C8:C9"/>
    <mergeCell ref="D8:D9"/>
    <mergeCell ref="E8:E9"/>
    <mergeCell ref="G8:G9"/>
    <mergeCell ref="F8:F9"/>
    <mergeCell ref="H8:H9"/>
  </mergeCells>
  <printOptions horizontalCentered="1" verticalCentered="1"/>
  <pageMargins left="0.1968503937007874" right="0.2" top="0.2755905511811024" bottom="0.2362204724409449" header="0" footer="0"/>
  <pageSetup horizontalDpi="600" verticalDpi="600" orientation="landscape" scale="60" r:id="rId3"/>
  <colBreaks count="1" manualBreakCount="1">
    <brk id="27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70"/>
  <sheetViews>
    <sheetView view="pageBreakPreview" zoomScale="60" zoomScaleNormal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53" sqref="D53"/>
    </sheetView>
  </sheetViews>
  <sheetFormatPr defaultColWidth="11.421875" defaultRowHeight="12.75" outlineLevelRow="2" outlineLevelCol="2"/>
  <cols>
    <col min="1" max="1" width="36.57421875" style="257" customWidth="1"/>
    <col min="2" max="2" width="20.140625" style="257" customWidth="1"/>
    <col min="3" max="7" width="17.00390625" style="257" hidden="1" customWidth="1" outlineLevel="1"/>
    <col min="8" max="8" width="23.8515625" style="257" hidden="1" customWidth="1" outlineLevel="1"/>
    <col min="9" max="9" width="19.140625" style="257" bestFit="1" customWidth="1" collapsed="1"/>
    <col min="10" max="11" width="17.8515625" style="257" hidden="1" customWidth="1" outlineLevel="2"/>
    <col min="12" max="12" width="18.57421875" style="257" hidden="1" customWidth="1" outlineLevel="2"/>
    <col min="13" max="13" width="15.00390625" style="257" hidden="1" customWidth="1" outlineLevel="1" collapsed="1"/>
    <col min="14" max="14" width="18.28125" style="257" hidden="1" customWidth="1" outlineLevel="2"/>
    <col min="15" max="15" width="15.421875" style="257" hidden="1" customWidth="1" outlineLevel="2"/>
    <col min="16" max="16" width="19.140625" style="257" hidden="1" customWidth="1" outlineLevel="2"/>
    <col min="17" max="17" width="14.421875" style="257" hidden="1" customWidth="1" outlineLevel="1" collapsed="1"/>
    <col min="18" max="18" width="20.140625" style="257" hidden="1" customWidth="1" outlineLevel="2"/>
    <col min="19" max="19" width="24.57421875" style="257" hidden="1" customWidth="1" outlineLevel="2"/>
    <col min="20" max="20" width="18.8515625" style="257" hidden="1" customWidth="1" outlineLevel="2"/>
    <col min="21" max="21" width="20.28125" style="257" hidden="1" customWidth="1" outlineLevel="2"/>
    <col min="22" max="22" width="16.8515625" style="257" hidden="1" customWidth="1" outlineLevel="1" collapsed="1"/>
    <col min="23" max="23" width="20.8515625" style="257" hidden="1" customWidth="1" outlineLevel="2"/>
    <col min="24" max="24" width="17.57421875" style="257" hidden="1" customWidth="1" outlineLevel="2"/>
    <col min="25" max="25" width="16.7109375" style="257" hidden="1" customWidth="1" outlineLevel="2"/>
    <col min="26" max="26" width="16.421875" style="257" hidden="1" customWidth="1" outlineLevel="1" collapsed="1"/>
    <col min="27" max="27" width="19.7109375" style="257" hidden="1" customWidth="1" collapsed="1"/>
    <col min="28" max="28" width="16.57421875" style="257" customWidth="1" outlineLevel="1"/>
    <col min="29" max="29" width="16.8515625" style="257" customWidth="1" outlineLevel="1"/>
    <col min="30" max="31" width="17.00390625" style="257" customWidth="1" outlineLevel="1"/>
    <col min="32" max="32" width="19.7109375" style="257" customWidth="1"/>
    <col min="33" max="33" width="15.8515625" style="257" hidden="1" customWidth="1" outlineLevel="1"/>
    <col min="34" max="34" width="14.57421875" style="257" hidden="1" customWidth="1" outlineLevel="1"/>
    <col min="35" max="35" width="15.7109375" style="257" hidden="1" customWidth="1" outlineLevel="1"/>
    <col min="36" max="36" width="17.57421875" style="257" hidden="1" customWidth="1" outlineLevel="1"/>
    <col min="37" max="37" width="20.140625" style="257" hidden="1" customWidth="1" outlineLevel="1"/>
    <col min="38" max="38" width="16.7109375" style="257" hidden="1" customWidth="1" collapsed="1"/>
    <col min="39" max="39" width="18.421875" style="257" hidden="1" customWidth="1"/>
    <col min="40" max="40" width="16.57421875" style="257" customWidth="1"/>
    <col min="41" max="41" width="15.00390625" style="257" hidden="1" customWidth="1"/>
    <col min="42" max="43" width="14.421875" style="257" hidden="1" customWidth="1"/>
    <col min="44" max="44" width="15.421875" style="257" hidden="1" customWidth="1"/>
    <col min="45" max="45" width="13.28125" style="257" customWidth="1"/>
    <col min="46" max="46" width="14.00390625" style="257" customWidth="1"/>
    <col min="47" max="47" width="12.28125" style="257" customWidth="1"/>
    <col min="48" max="50" width="11.421875" style="257" customWidth="1"/>
    <col min="51" max="16384" width="11.421875" style="258" customWidth="1"/>
  </cols>
  <sheetData>
    <row r="1" spans="1:15" ht="17.25" thickBo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O1" s="256"/>
    </row>
    <row r="2" spans="1:39" ht="16.5">
      <c r="A2" s="256" t="s">
        <v>133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O2" s="256"/>
      <c r="AM2" s="259"/>
    </row>
    <row r="3" spans="1:39" ht="17.25" thickBot="1">
      <c r="A3" s="256" t="s">
        <v>134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O3" s="256"/>
      <c r="AM3" s="260"/>
    </row>
    <row r="4" spans="1:15" ht="16.5">
      <c r="A4" s="256" t="s">
        <v>182</v>
      </c>
      <c r="B4" s="256"/>
      <c r="C4" s="256"/>
      <c r="D4" s="256"/>
      <c r="E4" s="256"/>
      <c r="F4" s="256"/>
      <c r="G4" s="256"/>
      <c r="H4" s="256"/>
      <c r="M4" s="256"/>
      <c r="O4" s="256"/>
    </row>
    <row r="5" spans="1:15" ht="16.5">
      <c r="A5" s="256" t="s">
        <v>354</v>
      </c>
      <c r="B5" s="256"/>
      <c r="C5" s="256"/>
      <c r="D5" s="256"/>
      <c r="E5" s="256"/>
      <c r="F5" s="256"/>
      <c r="G5" s="256"/>
      <c r="H5" s="256"/>
      <c r="M5" s="256"/>
      <c r="O5" s="256"/>
    </row>
    <row r="6" spans="1:50" s="263" customFormat="1" ht="17.25" thickBot="1">
      <c r="A6" s="261"/>
      <c r="B6" s="262" t="s">
        <v>126</v>
      </c>
      <c r="C6" s="262"/>
      <c r="D6" s="262"/>
      <c r="E6" s="262"/>
      <c r="F6" s="262"/>
      <c r="G6" s="262"/>
      <c r="H6" s="262"/>
      <c r="I6" s="257"/>
      <c r="J6" s="257"/>
      <c r="K6" s="257"/>
      <c r="L6" s="257"/>
      <c r="M6" s="256"/>
      <c r="N6" s="257"/>
      <c r="O6" s="256"/>
      <c r="P6" s="257"/>
      <c r="Q6" s="257"/>
      <c r="R6" s="257"/>
      <c r="S6" s="257"/>
      <c r="T6" s="257"/>
      <c r="U6" s="262"/>
      <c r="V6" s="262"/>
      <c r="W6" s="262"/>
      <c r="X6" s="262"/>
      <c r="Y6" s="262"/>
      <c r="Z6" s="262"/>
      <c r="AA6" s="262" t="s">
        <v>127</v>
      </c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 t="s">
        <v>128</v>
      </c>
      <c r="AM6" s="262"/>
      <c r="AN6" s="262"/>
      <c r="AO6" s="262"/>
      <c r="AP6" s="262"/>
      <c r="AQ6" s="262"/>
      <c r="AR6" s="262"/>
      <c r="AS6" s="262"/>
      <c r="AT6" s="262"/>
      <c r="AU6" s="262"/>
      <c r="AV6" s="262"/>
      <c r="AW6" s="262"/>
      <c r="AX6" s="262"/>
    </row>
    <row r="7" spans="1:45" s="352" customFormat="1" ht="18" customHeight="1" thickBot="1">
      <c r="A7" s="807" t="s">
        <v>2</v>
      </c>
      <c r="B7" s="403" t="s">
        <v>353</v>
      </c>
      <c r="C7" s="807" t="s">
        <v>232</v>
      </c>
      <c r="D7" s="807" t="s">
        <v>227</v>
      </c>
      <c r="E7" s="807" t="s">
        <v>269</v>
      </c>
      <c r="F7" s="807" t="s">
        <v>274</v>
      </c>
      <c r="G7" s="807" t="s">
        <v>290</v>
      </c>
      <c r="H7" s="365" t="s">
        <v>295</v>
      </c>
      <c r="I7" s="344" t="s">
        <v>3</v>
      </c>
      <c r="J7" s="806" t="s">
        <v>124</v>
      </c>
      <c r="K7" s="806"/>
      <c r="L7" s="806"/>
      <c r="M7" s="806"/>
      <c r="N7" s="803" t="s">
        <v>123</v>
      </c>
      <c r="O7" s="804"/>
      <c r="P7" s="804"/>
      <c r="Q7" s="805"/>
      <c r="R7" s="806" t="s">
        <v>129</v>
      </c>
      <c r="S7" s="806"/>
      <c r="T7" s="806"/>
      <c r="U7" s="806"/>
      <c r="V7" s="806"/>
      <c r="W7" s="806" t="s">
        <v>132</v>
      </c>
      <c r="X7" s="806"/>
      <c r="Y7" s="806"/>
      <c r="Z7" s="806"/>
      <c r="AA7" s="344" t="s">
        <v>77</v>
      </c>
      <c r="AB7" s="344" t="s">
        <v>6</v>
      </c>
      <c r="AC7" s="344" t="s">
        <v>6</v>
      </c>
      <c r="AD7" s="344" t="s">
        <v>6</v>
      </c>
      <c r="AE7" s="344" t="s">
        <v>6</v>
      </c>
      <c r="AF7" s="344" t="s">
        <v>7</v>
      </c>
      <c r="AG7" s="344" t="s">
        <v>10</v>
      </c>
      <c r="AH7" s="344" t="s">
        <v>10</v>
      </c>
      <c r="AI7" s="344" t="s">
        <v>10</v>
      </c>
      <c r="AJ7" s="344" t="s">
        <v>10</v>
      </c>
      <c r="AK7" s="344" t="s">
        <v>155</v>
      </c>
      <c r="AL7" s="344" t="s">
        <v>156</v>
      </c>
      <c r="AM7" s="344" t="s">
        <v>157</v>
      </c>
      <c r="AN7" s="344" t="s">
        <v>80</v>
      </c>
      <c r="AO7" s="351" t="s">
        <v>81</v>
      </c>
      <c r="AP7" s="351" t="s">
        <v>81</v>
      </c>
      <c r="AQ7" s="351" t="s">
        <v>81</v>
      </c>
      <c r="AR7" s="351" t="s">
        <v>81</v>
      </c>
      <c r="AS7" s="352" t="s">
        <v>130</v>
      </c>
    </row>
    <row r="8" spans="1:44" s="352" customFormat="1" ht="17.25" thickBot="1">
      <c r="A8" s="808"/>
      <c r="B8" s="345" t="s">
        <v>82</v>
      </c>
      <c r="C8" s="808"/>
      <c r="D8" s="808"/>
      <c r="E8" s="808"/>
      <c r="F8" s="808"/>
      <c r="G8" s="808"/>
      <c r="H8" s="366" t="s">
        <v>296</v>
      </c>
      <c r="I8" s="345" t="s">
        <v>83</v>
      </c>
      <c r="J8" s="346" t="s">
        <v>217</v>
      </c>
      <c r="K8" s="346" t="s">
        <v>229</v>
      </c>
      <c r="L8" s="346" t="s">
        <v>223</v>
      </c>
      <c r="M8" s="346" t="s">
        <v>83</v>
      </c>
      <c r="N8" s="345" t="s">
        <v>224</v>
      </c>
      <c r="O8" s="345" t="s">
        <v>271</v>
      </c>
      <c r="P8" s="345" t="s">
        <v>270</v>
      </c>
      <c r="Q8" s="345" t="s">
        <v>83</v>
      </c>
      <c r="R8" s="345" t="s">
        <v>272</v>
      </c>
      <c r="S8" s="345" t="s">
        <v>277</v>
      </c>
      <c r="T8" s="345" t="s">
        <v>287</v>
      </c>
      <c r="U8" s="345" t="s">
        <v>281</v>
      </c>
      <c r="V8" s="345" t="s">
        <v>83</v>
      </c>
      <c r="W8" s="345" t="s">
        <v>282</v>
      </c>
      <c r="X8" s="345" t="s">
        <v>290</v>
      </c>
      <c r="Y8" s="345"/>
      <c r="Z8" s="345" t="s">
        <v>83</v>
      </c>
      <c r="AA8" s="345" t="s">
        <v>5</v>
      </c>
      <c r="AB8" s="345" t="s">
        <v>12</v>
      </c>
      <c r="AC8" s="345" t="s">
        <v>13</v>
      </c>
      <c r="AD8" s="345" t="s">
        <v>14</v>
      </c>
      <c r="AE8" s="345" t="s">
        <v>15</v>
      </c>
      <c r="AF8" s="345" t="s">
        <v>6</v>
      </c>
      <c r="AG8" s="345" t="s">
        <v>12</v>
      </c>
      <c r="AH8" s="345" t="s">
        <v>13</v>
      </c>
      <c r="AI8" s="345" t="s">
        <v>14</v>
      </c>
      <c r="AJ8" s="345" t="s">
        <v>15</v>
      </c>
      <c r="AK8" s="345"/>
      <c r="AL8" s="345"/>
      <c r="AM8" s="345"/>
      <c r="AN8" s="345" t="s">
        <v>85</v>
      </c>
      <c r="AO8" s="353" t="s">
        <v>12</v>
      </c>
      <c r="AP8" s="353" t="s">
        <v>13</v>
      </c>
      <c r="AQ8" s="353" t="s">
        <v>14</v>
      </c>
      <c r="AR8" s="353" t="s">
        <v>15</v>
      </c>
    </row>
    <row r="9" spans="1:44" ht="15" customHeight="1">
      <c r="A9" s="264" t="s">
        <v>22</v>
      </c>
      <c r="B9" s="265"/>
      <c r="C9" s="266"/>
      <c r="D9" s="266"/>
      <c r="E9" s="266"/>
      <c r="F9" s="266"/>
      <c r="G9" s="266"/>
      <c r="H9" s="266"/>
      <c r="I9" s="267"/>
      <c r="J9" s="267"/>
      <c r="K9" s="267"/>
      <c r="L9" s="267"/>
      <c r="M9" s="267"/>
      <c r="N9" s="267"/>
      <c r="O9" s="266"/>
      <c r="P9" s="267"/>
      <c r="Q9" s="267"/>
      <c r="R9" s="266"/>
      <c r="S9" s="266"/>
      <c r="T9" s="266"/>
      <c r="U9" s="266"/>
      <c r="V9" s="267"/>
      <c r="W9" s="267"/>
      <c r="X9" s="267"/>
      <c r="Y9" s="268"/>
      <c r="Z9" s="268"/>
      <c r="AA9" s="267"/>
      <c r="AB9" s="267"/>
      <c r="AC9" s="267"/>
      <c r="AD9" s="267"/>
      <c r="AE9" s="268"/>
      <c r="AF9" s="267"/>
      <c r="AG9" s="267"/>
      <c r="AH9" s="265"/>
      <c r="AI9" s="265"/>
      <c r="AJ9" s="265"/>
      <c r="AK9" s="265"/>
      <c r="AL9" s="269"/>
      <c r="AM9" s="269"/>
      <c r="AN9" s="270"/>
      <c r="AO9" s="270"/>
      <c r="AP9" s="270"/>
      <c r="AQ9" s="270"/>
      <c r="AR9" s="270"/>
    </row>
    <row r="10" spans="1:44" ht="15" customHeight="1">
      <c r="A10" s="271" t="s">
        <v>23</v>
      </c>
      <c r="B10" s="272"/>
      <c r="C10" s="273"/>
      <c r="D10" s="273"/>
      <c r="E10" s="273"/>
      <c r="F10" s="273"/>
      <c r="G10" s="273"/>
      <c r="H10" s="273"/>
      <c r="I10" s="274"/>
      <c r="J10" s="274"/>
      <c r="K10" s="274"/>
      <c r="L10" s="274"/>
      <c r="M10" s="274"/>
      <c r="N10" s="274"/>
      <c r="O10" s="273"/>
      <c r="P10" s="274"/>
      <c r="Q10" s="274"/>
      <c r="R10" s="273"/>
      <c r="S10" s="273"/>
      <c r="T10" s="273"/>
      <c r="U10" s="273"/>
      <c r="V10" s="274"/>
      <c r="W10" s="274"/>
      <c r="X10" s="274"/>
      <c r="Y10" s="275"/>
      <c r="Z10" s="275"/>
      <c r="AA10" s="274"/>
      <c r="AB10" s="274"/>
      <c r="AC10" s="274"/>
      <c r="AD10" s="274"/>
      <c r="AE10" s="275"/>
      <c r="AF10" s="274"/>
      <c r="AG10" s="274"/>
      <c r="AH10" s="276"/>
      <c r="AI10" s="276"/>
      <c r="AJ10" s="276"/>
      <c r="AK10" s="276"/>
      <c r="AL10" s="276"/>
      <c r="AM10" s="276"/>
      <c r="AN10" s="277"/>
      <c r="AO10" s="277"/>
      <c r="AP10" s="277"/>
      <c r="AQ10" s="277"/>
      <c r="AR10" s="277"/>
    </row>
    <row r="11" spans="1:44" ht="15" customHeight="1">
      <c r="A11" s="271" t="s">
        <v>24</v>
      </c>
      <c r="B11" s="274">
        <v>591477600</v>
      </c>
      <c r="C11" s="273"/>
      <c r="D11" s="273"/>
      <c r="E11" s="273"/>
      <c r="F11" s="273">
        <v>-35145088</v>
      </c>
      <c r="G11" s="273"/>
      <c r="H11" s="273"/>
      <c r="I11" s="274">
        <f aca="true" t="shared" si="0" ref="I11:I21">SUM(B11:H11)</f>
        <v>556332512</v>
      </c>
      <c r="J11" s="274">
        <v>130759916</v>
      </c>
      <c r="K11" s="274"/>
      <c r="L11" s="274">
        <v>-10056888</v>
      </c>
      <c r="M11" s="274">
        <f aca="true" t="shared" si="1" ref="M11:M21">SUM(J11:L11)</f>
        <v>120703028</v>
      </c>
      <c r="N11" s="274">
        <v>138697856</v>
      </c>
      <c r="O11" s="274">
        <v>-951351</v>
      </c>
      <c r="P11" s="274">
        <f aca="true" t="shared" si="2" ref="P11:P21">+AC11-N11-O11</f>
        <v>0</v>
      </c>
      <c r="Q11" s="274">
        <f aca="true" t="shared" si="3" ref="Q11:Q21">+SUM(N11:P11)</f>
        <v>137746505</v>
      </c>
      <c r="R11" s="273">
        <v>138697856.21190003</v>
      </c>
      <c r="S11" s="273"/>
      <c r="T11" s="273">
        <v>-1982317</v>
      </c>
      <c r="U11" s="273">
        <v>-1135991</v>
      </c>
      <c r="V11" s="274">
        <f aca="true" t="shared" si="4" ref="V11:V21">+SUM(R11:U11)</f>
        <v>135579548.21190003</v>
      </c>
      <c r="W11" s="274">
        <v>162303430.78809997</v>
      </c>
      <c r="X11" s="274"/>
      <c r="Y11" s="275"/>
      <c r="Z11" s="275">
        <f>+SUM(W11:Y11)</f>
        <v>162303430.78809997</v>
      </c>
      <c r="AA11" s="274">
        <f aca="true" t="shared" si="5" ref="AA11:AA21">+M11+Q11+V11+Z11</f>
        <v>556332512</v>
      </c>
      <c r="AB11" s="388">
        <f>+'[4]ECO ENE-MAR-11'!$G$9</f>
        <v>120703028</v>
      </c>
      <c r="AC11" s="388">
        <f>+'[4]ECO ABR-JUN-11'!$G$9</f>
        <v>137746505</v>
      </c>
      <c r="AD11" s="388">
        <f>+'[4]ECO JUL-SEP-11'!$G$9</f>
        <v>135579548</v>
      </c>
      <c r="AE11" s="388">
        <f>+'[4]ECO OCT-DIC-11'!$G$9</f>
        <v>133385336</v>
      </c>
      <c r="AF11" s="388">
        <f aca="true" t="shared" si="6" ref="AF11:AF21">SUM(AB11:AE11)</f>
        <v>527414417</v>
      </c>
      <c r="AG11" s="274">
        <f aca="true" t="shared" si="7" ref="AG11:AG21">+M11-AB11</f>
        <v>0</v>
      </c>
      <c r="AH11" s="274">
        <f aca="true" t="shared" si="8" ref="AH11:AH21">+Q11-AC11</f>
        <v>0</v>
      </c>
      <c r="AI11" s="274">
        <f aca="true" t="shared" si="9" ref="AI11:AI21">+V11-AD11</f>
        <v>0.2119000256061554</v>
      </c>
      <c r="AJ11" s="274">
        <f aca="true" t="shared" si="10" ref="AJ11:AJ21">+Z11-AE11</f>
        <v>28918094.788099974</v>
      </c>
      <c r="AK11" s="276">
        <f>+AA11</f>
        <v>556332512</v>
      </c>
      <c r="AL11" s="276">
        <f aca="true" t="shared" si="11" ref="AL11:AL21">+I11-AK11</f>
        <v>0</v>
      </c>
      <c r="AM11" s="276">
        <f aca="true" t="shared" si="12" ref="AM11:AM21">+AK11-AF11</f>
        <v>28918095</v>
      </c>
      <c r="AN11" s="278">
        <f>+AF11/I11</f>
        <v>0.9480201239793802</v>
      </c>
      <c r="AO11" s="278">
        <f>+AB11/M11</f>
        <v>1</v>
      </c>
      <c r="AP11" s="278">
        <f>+AC11/Q11</f>
        <v>1</v>
      </c>
      <c r="AQ11" s="278">
        <f>+AD11/V11</f>
        <v>0.9999999984370798</v>
      </c>
      <c r="AR11" s="278">
        <f>+AE11/Z11</f>
        <v>0.8218269654086682</v>
      </c>
    </row>
    <row r="12" spans="1:44" ht="15" customHeight="1">
      <c r="A12" s="271" t="s">
        <v>25</v>
      </c>
      <c r="B12" s="274">
        <v>43644726</v>
      </c>
      <c r="C12" s="273"/>
      <c r="D12" s="273"/>
      <c r="E12" s="273"/>
      <c r="F12" s="273">
        <v>-4374907</v>
      </c>
      <c r="G12" s="273"/>
      <c r="H12" s="273"/>
      <c r="I12" s="274">
        <f t="shared" si="0"/>
        <v>39269819</v>
      </c>
      <c r="J12" s="274">
        <v>9132964.1</v>
      </c>
      <c r="K12" s="274"/>
      <c r="L12" s="274">
        <v>-723580.1</v>
      </c>
      <c r="M12" s="274">
        <f t="shared" si="1"/>
        <v>8409384</v>
      </c>
      <c r="N12" s="274">
        <v>9813528</v>
      </c>
      <c r="O12" s="274">
        <v>733758</v>
      </c>
      <c r="P12" s="274">
        <f t="shared" si="2"/>
        <v>0</v>
      </c>
      <c r="Q12" s="274">
        <f t="shared" si="3"/>
        <v>10547286</v>
      </c>
      <c r="R12" s="273">
        <v>9813527.70245127</v>
      </c>
      <c r="S12" s="273"/>
      <c r="T12" s="273">
        <v>3917</v>
      </c>
      <c r="U12" s="273">
        <v>0</v>
      </c>
      <c r="V12" s="274">
        <f t="shared" si="4"/>
        <v>9817444.70245127</v>
      </c>
      <c r="W12" s="274">
        <v>10495704.29754873</v>
      </c>
      <c r="X12" s="274"/>
      <c r="Y12" s="275"/>
      <c r="Z12" s="275">
        <f aca="true" t="shared" si="13" ref="Z12:Z21">+SUM(W12:Y12)</f>
        <v>10495704.29754873</v>
      </c>
      <c r="AA12" s="274">
        <f t="shared" si="5"/>
        <v>39269819</v>
      </c>
      <c r="AB12" s="388">
        <f>+'[4]ECO ENE-MAR-11'!$G$19</f>
        <v>8409384</v>
      </c>
      <c r="AC12" s="388">
        <f>+'[4]ECO ABR-JUN-11'!$G$23</f>
        <v>10547286</v>
      </c>
      <c r="AD12" s="388">
        <f>+'[4]ECO JUL-SEP-11'!$G$25</f>
        <v>9817445</v>
      </c>
      <c r="AE12" s="388">
        <f>+'[4]ECO OCT-DIC-11'!$G$26</f>
        <v>9787202</v>
      </c>
      <c r="AF12" s="388">
        <f t="shared" si="6"/>
        <v>38561317</v>
      </c>
      <c r="AG12" s="274">
        <f t="shared" si="7"/>
        <v>0</v>
      </c>
      <c r="AH12" s="274">
        <f t="shared" si="8"/>
        <v>0</v>
      </c>
      <c r="AI12" s="274">
        <f t="shared" si="9"/>
        <v>-0.29754872992634773</v>
      </c>
      <c r="AJ12" s="274">
        <f t="shared" si="10"/>
        <v>708502.2975487299</v>
      </c>
      <c r="AK12" s="276">
        <f aca="true" t="shared" si="14" ref="AK12:AK21">+AA12</f>
        <v>39269819</v>
      </c>
      <c r="AL12" s="276">
        <f t="shared" si="11"/>
        <v>0</v>
      </c>
      <c r="AM12" s="276">
        <f t="shared" si="12"/>
        <v>708502</v>
      </c>
      <c r="AN12" s="278">
        <f>+AF12/I12</f>
        <v>0.9819581037539287</v>
      </c>
      <c r="AO12" s="278">
        <f>+AB12/M12</f>
        <v>1</v>
      </c>
      <c r="AP12" s="278">
        <f>+AC12/Q12</f>
        <v>1</v>
      </c>
      <c r="AQ12" s="278">
        <f>+AD12/V12</f>
        <v>1.0000000303081646</v>
      </c>
      <c r="AR12" s="278">
        <f>+AE12/Z12</f>
        <v>0.9324959738324373</v>
      </c>
    </row>
    <row r="13" spans="1:44" ht="15" customHeight="1">
      <c r="A13" s="271" t="s">
        <v>26</v>
      </c>
      <c r="B13" s="274">
        <v>5237366.5</v>
      </c>
      <c r="C13" s="273"/>
      <c r="D13" s="273"/>
      <c r="E13" s="273"/>
      <c r="F13" s="273">
        <v>-524989</v>
      </c>
      <c r="G13" s="273"/>
      <c r="H13" s="273"/>
      <c r="I13" s="274">
        <f t="shared" si="0"/>
        <v>4712377.5</v>
      </c>
      <c r="J13" s="274">
        <v>1095956.4</v>
      </c>
      <c r="K13" s="274"/>
      <c r="L13" s="274">
        <v>-86830.3999999999</v>
      </c>
      <c r="M13" s="274">
        <f t="shared" si="1"/>
        <v>1009126</v>
      </c>
      <c r="N13" s="274">
        <v>1177623</v>
      </c>
      <c r="O13" s="274">
        <v>-516165</v>
      </c>
      <c r="P13" s="274">
        <f t="shared" si="2"/>
        <v>-561352</v>
      </c>
      <c r="Q13" s="274">
        <f t="shared" si="3"/>
        <v>100106</v>
      </c>
      <c r="R13" s="273">
        <v>1177623.3242941524</v>
      </c>
      <c r="S13" s="273"/>
      <c r="T13" s="273">
        <v>254300</v>
      </c>
      <c r="U13" s="273">
        <v>0</v>
      </c>
      <c r="V13" s="274">
        <f t="shared" si="4"/>
        <v>1431923.3242941524</v>
      </c>
      <c r="W13" s="274">
        <v>2171222.1757058473</v>
      </c>
      <c r="X13" s="274"/>
      <c r="Y13" s="275"/>
      <c r="Z13" s="275">
        <f t="shared" si="13"/>
        <v>2171222.1757058473</v>
      </c>
      <c r="AA13" s="274">
        <f t="shared" si="5"/>
        <v>4712377.5</v>
      </c>
      <c r="AB13" s="388">
        <f>+'[4]ECO ENE-MAR-11'!$G$26</f>
        <v>1009126</v>
      </c>
      <c r="AC13" s="388">
        <f>+'[4]ECO ABR-JUN-11'!$G$31</f>
        <v>100106</v>
      </c>
      <c r="AD13" s="388">
        <f>+'[4]ECO JUL-SEP-11'!$G$32</f>
        <v>1431923</v>
      </c>
      <c r="AE13" s="388">
        <f>+'[4]ECO OCT-DIC-11'!$G$33</f>
        <v>2015091</v>
      </c>
      <c r="AF13" s="388">
        <f t="shared" si="6"/>
        <v>4556246</v>
      </c>
      <c r="AG13" s="274">
        <f t="shared" si="7"/>
        <v>0</v>
      </c>
      <c r="AH13" s="274">
        <f t="shared" si="8"/>
        <v>0</v>
      </c>
      <c r="AI13" s="274">
        <f t="shared" si="9"/>
        <v>0.32429415243677795</v>
      </c>
      <c r="AJ13" s="274">
        <f t="shared" si="10"/>
        <v>156131.17570584733</v>
      </c>
      <c r="AK13" s="276">
        <f t="shared" si="14"/>
        <v>4712377.5</v>
      </c>
      <c r="AL13" s="276">
        <f t="shared" si="11"/>
        <v>0</v>
      </c>
      <c r="AM13" s="276">
        <f t="shared" si="12"/>
        <v>156131.5</v>
      </c>
      <c r="AN13" s="278">
        <f>+AF13/I13</f>
        <v>0.9668677859530566</v>
      </c>
      <c r="AO13" s="278">
        <f>+AB13/M13</f>
        <v>1</v>
      </c>
      <c r="AP13" s="278">
        <f>+AC13/Q13</f>
        <v>1</v>
      </c>
      <c r="AQ13" s="278">
        <f>+AD13/V13</f>
        <v>0.9999997735254765</v>
      </c>
      <c r="AR13" s="278">
        <f>+AE13/Z13</f>
        <v>0.9280906498409863</v>
      </c>
    </row>
    <row r="14" spans="1:44" ht="15" customHeight="1">
      <c r="A14" s="271" t="s">
        <v>27</v>
      </c>
      <c r="B14" s="274">
        <v>43644726</v>
      </c>
      <c r="C14" s="273"/>
      <c r="D14" s="273"/>
      <c r="E14" s="273"/>
      <c r="F14" s="273">
        <v>-4374907</v>
      </c>
      <c r="G14" s="273"/>
      <c r="H14" s="273"/>
      <c r="I14" s="274">
        <f t="shared" si="0"/>
        <v>39269819</v>
      </c>
      <c r="J14" s="274">
        <v>9132964.1</v>
      </c>
      <c r="K14" s="274"/>
      <c r="L14" s="274">
        <v>-723580.1</v>
      </c>
      <c r="M14" s="274">
        <f t="shared" si="1"/>
        <v>8409384</v>
      </c>
      <c r="N14" s="274">
        <v>9813528</v>
      </c>
      <c r="O14" s="274">
        <v>733758</v>
      </c>
      <c r="P14" s="274">
        <f t="shared" si="2"/>
        <v>0</v>
      </c>
      <c r="Q14" s="274">
        <f t="shared" si="3"/>
        <v>10547286</v>
      </c>
      <c r="R14" s="273">
        <v>9813527.70245127</v>
      </c>
      <c r="S14" s="273"/>
      <c r="T14" s="273">
        <v>3917</v>
      </c>
      <c r="U14" s="273">
        <v>0</v>
      </c>
      <c r="V14" s="274">
        <f t="shared" si="4"/>
        <v>9817444.70245127</v>
      </c>
      <c r="W14" s="274">
        <v>10495704.29754873</v>
      </c>
      <c r="X14" s="274"/>
      <c r="Y14" s="275"/>
      <c r="Z14" s="275">
        <f t="shared" si="13"/>
        <v>10495704.29754873</v>
      </c>
      <c r="AA14" s="274">
        <f t="shared" si="5"/>
        <v>39269819</v>
      </c>
      <c r="AB14" s="388">
        <f>+'[4]ECO ENE-MAR-11'!$G$33</f>
        <v>8409384</v>
      </c>
      <c r="AC14" s="388">
        <f>+'[4]ECO ABR-JUN-11'!$G$39</f>
        <v>10547286</v>
      </c>
      <c r="AD14" s="388">
        <f>+'[4]ECO JUL-SEP-11'!$G$39</f>
        <v>9817445</v>
      </c>
      <c r="AE14" s="388">
        <f>+'[4]ECO OCT-DIC-11'!$G$40</f>
        <v>9787202</v>
      </c>
      <c r="AF14" s="388">
        <f t="shared" si="6"/>
        <v>38561317</v>
      </c>
      <c r="AG14" s="274">
        <f t="shared" si="7"/>
        <v>0</v>
      </c>
      <c r="AH14" s="274">
        <f t="shared" si="8"/>
        <v>0</v>
      </c>
      <c r="AI14" s="274">
        <f t="shared" si="9"/>
        <v>-0.29754872992634773</v>
      </c>
      <c r="AJ14" s="274">
        <f t="shared" si="10"/>
        <v>708502.2975487299</v>
      </c>
      <c r="AK14" s="276">
        <f t="shared" si="14"/>
        <v>39269819</v>
      </c>
      <c r="AL14" s="276">
        <f t="shared" si="11"/>
        <v>0</v>
      </c>
      <c r="AM14" s="276">
        <f t="shared" si="12"/>
        <v>708502</v>
      </c>
      <c r="AN14" s="278">
        <f>+AF14/I14</f>
        <v>0.9819581037539287</v>
      </c>
      <c r="AO14" s="278">
        <f>+AB14/M14</f>
        <v>1</v>
      </c>
      <c r="AP14" s="278">
        <f>+AC14/Q14</f>
        <v>1</v>
      </c>
      <c r="AQ14" s="278">
        <f>+AD14/V14</f>
        <v>1.0000000303081646</v>
      </c>
      <c r="AR14" s="278">
        <f>+AE14/Z14</f>
        <v>0.9324959738324373</v>
      </c>
    </row>
    <row r="15" spans="1:44" ht="15" customHeight="1">
      <c r="A15" s="271" t="s">
        <v>28</v>
      </c>
      <c r="B15" s="274">
        <v>25303763</v>
      </c>
      <c r="C15" s="273"/>
      <c r="D15" s="273"/>
      <c r="E15" s="273"/>
      <c r="F15" s="273">
        <v>-2187454</v>
      </c>
      <c r="G15" s="273"/>
      <c r="H15" s="273"/>
      <c r="I15" s="274">
        <f t="shared" si="0"/>
        <v>23116309</v>
      </c>
      <c r="J15" s="274">
        <v>5775744</v>
      </c>
      <c r="K15" s="274"/>
      <c r="L15" s="274">
        <v>-746450</v>
      </c>
      <c r="M15" s="274">
        <f t="shared" si="1"/>
        <v>5029294</v>
      </c>
      <c r="N15" s="274">
        <v>5775744</v>
      </c>
      <c r="O15" s="274"/>
      <c r="P15" s="274">
        <f t="shared" si="2"/>
        <v>-1326705</v>
      </c>
      <c r="Q15" s="274">
        <f t="shared" si="3"/>
        <v>4449039</v>
      </c>
      <c r="R15" s="273">
        <v>5775744.244036229</v>
      </c>
      <c r="S15" s="273"/>
      <c r="T15" s="273">
        <v>1720183</v>
      </c>
      <c r="U15" s="273">
        <v>0</v>
      </c>
      <c r="V15" s="274">
        <f t="shared" si="4"/>
        <v>7495927.244036229</v>
      </c>
      <c r="W15" s="274">
        <v>6142048.755963771</v>
      </c>
      <c r="X15" s="274"/>
      <c r="Y15" s="275"/>
      <c r="Z15" s="275">
        <f t="shared" si="13"/>
        <v>6142048.755963771</v>
      </c>
      <c r="AA15" s="274">
        <f t="shared" si="5"/>
        <v>23116309</v>
      </c>
      <c r="AB15" s="388">
        <f>+'[4]ECO ENE-MAR-11'!$G$40</f>
        <v>5029294</v>
      </c>
      <c r="AC15" s="388">
        <f>+'[4]ECO ABR-JUN-11'!$G$47</f>
        <v>4449039</v>
      </c>
      <c r="AD15" s="388">
        <f>+'[4]ECO JUL-SEP-11'!$G$46</f>
        <v>7495927</v>
      </c>
      <c r="AE15" s="388">
        <f>+'[4]ECO OCT-DIC-11'!$G$47</f>
        <v>5140080</v>
      </c>
      <c r="AF15" s="388">
        <f t="shared" si="6"/>
        <v>22114340</v>
      </c>
      <c r="AG15" s="274">
        <f t="shared" si="7"/>
        <v>0</v>
      </c>
      <c r="AH15" s="274">
        <f t="shared" si="8"/>
        <v>0</v>
      </c>
      <c r="AI15" s="274">
        <f t="shared" si="9"/>
        <v>0.24403622932732105</v>
      </c>
      <c r="AJ15" s="274">
        <f t="shared" si="10"/>
        <v>1001968.7559637707</v>
      </c>
      <c r="AK15" s="276">
        <f t="shared" si="14"/>
        <v>23116309</v>
      </c>
      <c r="AL15" s="276">
        <f t="shared" si="11"/>
        <v>0</v>
      </c>
      <c r="AM15" s="276">
        <f t="shared" si="12"/>
        <v>1001969</v>
      </c>
      <c r="AN15" s="278">
        <f>+AF15/I15</f>
        <v>0.9566553207088554</v>
      </c>
      <c r="AO15" s="278">
        <f>+AB15/M15</f>
        <v>1</v>
      </c>
      <c r="AP15" s="278">
        <f>+AC15/Q15</f>
        <v>1</v>
      </c>
      <c r="AQ15" s="278">
        <f>+AD15/V15</f>
        <v>0.9999999674441572</v>
      </c>
      <c r="AR15" s="278">
        <f>+AE15/Z15</f>
        <v>0.8368673392586008</v>
      </c>
    </row>
    <row r="16" spans="1:44" ht="15" customHeight="1">
      <c r="A16" s="271" t="s">
        <v>29</v>
      </c>
      <c r="B16" s="274"/>
      <c r="C16" s="273"/>
      <c r="D16" s="273"/>
      <c r="E16" s="273"/>
      <c r="F16" s="273"/>
      <c r="G16" s="273"/>
      <c r="H16" s="273"/>
      <c r="I16" s="274">
        <f t="shared" si="0"/>
        <v>0</v>
      </c>
      <c r="J16" s="274"/>
      <c r="K16" s="274"/>
      <c r="L16" s="274">
        <v>0</v>
      </c>
      <c r="M16" s="274">
        <f t="shared" si="1"/>
        <v>0</v>
      </c>
      <c r="N16" s="274">
        <v>0</v>
      </c>
      <c r="O16" s="274"/>
      <c r="P16" s="274">
        <f t="shared" si="2"/>
        <v>0</v>
      </c>
      <c r="Q16" s="274">
        <f t="shared" si="3"/>
        <v>0</v>
      </c>
      <c r="R16" s="273">
        <v>0</v>
      </c>
      <c r="S16" s="273"/>
      <c r="T16" s="273"/>
      <c r="U16" s="273"/>
      <c r="V16" s="274">
        <f t="shared" si="4"/>
        <v>0</v>
      </c>
      <c r="W16" s="274">
        <v>0</v>
      </c>
      <c r="X16" s="274"/>
      <c r="Y16" s="275"/>
      <c r="Z16" s="275">
        <f t="shared" si="13"/>
        <v>0</v>
      </c>
      <c r="AA16" s="274">
        <f t="shared" si="5"/>
        <v>0</v>
      </c>
      <c r="AB16" s="388"/>
      <c r="AC16" s="388"/>
      <c r="AD16" s="388"/>
      <c r="AE16" s="388"/>
      <c r="AF16" s="388">
        <f t="shared" si="6"/>
        <v>0</v>
      </c>
      <c r="AG16" s="274">
        <f t="shared" si="7"/>
        <v>0</v>
      </c>
      <c r="AH16" s="274">
        <f t="shared" si="8"/>
        <v>0</v>
      </c>
      <c r="AI16" s="274">
        <f t="shared" si="9"/>
        <v>0</v>
      </c>
      <c r="AJ16" s="274">
        <f t="shared" si="10"/>
        <v>0</v>
      </c>
      <c r="AK16" s="276">
        <f t="shared" si="14"/>
        <v>0</v>
      </c>
      <c r="AL16" s="276">
        <f t="shared" si="11"/>
        <v>0</v>
      </c>
      <c r="AM16" s="276">
        <f t="shared" si="12"/>
        <v>0</v>
      </c>
      <c r="AN16" s="278">
        <v>0</v>
      </c>
      <c r="AO16" s="278">
        <v>0</v>
      </c>
      <c r="AP16" s="278">
        <v>0</v>
      </c>
      <c r="AQ16" s="278">
        <v>0</v>
      </c>
      <c r="AR16" s="278">
        <v>0</v>
      </c>
    </row>
    <row r="17" spans="1:44" ht="15" customHeight="1">
      <c r="A17" s="271" t="s">
        <v>30</v>
      </c>
      <c r="B17" s="274">
        <v>120044534.09204145</v>
      </c>
      <c r="C17" s="273"/>
      <c r="D17" s="273"/>
      <c r="E17" s="273"/>
      <c r="F17" s="273">
        <v>-7280795</v>
      </c>
      <c r="G17" s="273"/>
      <c r="H17" s="273"/>
      <c r="I17" s="274">
        <f t="shared" si="0"/>
        <v>112763739.09204145</v>
      </c>
      <c r="J17" s="274">
        <v>26397723</v>
      </c>
      <c r="K17" s="274"/>
      <c r="L17" s="274">
        <v>-111300</v>
      </c>
      <c r="M17" s="274">
        <f t="shared" si="1"/>
        <v>26286423</v>
      </c>
      <c r="N17" s="274">
        <v>28112844</v>
      </c>
      <c r="O17" s="274"/>
      <c r="P17" s="274">
        <f t="shared" si="2"/>
        <v>-127420</v>
      </c>
      <c r="Q17" s="274">
        <f t="shared" si="3"/>
        <v>27985424</v>
      </c>
      <c r="R17" s="273">
        <v>28112843.614861254</v>
      </c>
      <c r="S17" s="273"/>
      <c r="T17" s="273"/>
      <c r="U17" s="273">
        <v>-98018</v>
      </c>
      <c r="V17" s="274">
        <f t="shared" si="4"/>
        <v>28014825.614861254</v>
      </c>
      <c r="W17" s="274">
        <v>30477066.477180194</v>
      </c>
      <c r="X17" s="274"/>
      <c r="Y17" s="275"/>
      <c r="Z17" s="275">
        <f t="shared" si="13"/>
        <v>30477066.477180194</v>
      </c>
      <c r="AA17" s="274">
        <f t="shared" si="5"/>
        <v>112763739.09204145</v>
      </c>
      <c r="AB17" s="388">
        <f>+'[4]ECO ENE-MAR-11'!$G$47</f>
        <v>26286423</v>
      </c>
      <c r="AC17" s="388">
        <f>+'[4]ECO ABR-JUN-11'!$G$56</f>
        <v>27985424</v>
      </c>
      <c r="AD17" s="388">
        <f>+'[4]ECO JUL-SEP-11'!$G$53</f>
        <v>28014826</v>
      </c>
      <c r="AE17" s="388">
        <f>+'[4]ECO OCT-DIC-11'!$G$55</f>
        <v>27930532</v>
      </c>
      <c r="AF17" s="388">
        <f t="shared" si="6"/>
        <v>110217205</v>
      </c>
      <c r="AG17" s="274">
        <f t="shared" si="7"/>
        <v>0</v>
      </c>
      <c r="AH17" s="274">
        <f t="shared" si="8"/>
        <v>0</v>
      </c>
      <c r="AI17" s="274">
        <f t="shared" si="9"/>
        <v>-0.38513874635100365</v>
      </c>
      <c r="AJ17" s="274">
        <f t="shared" si="10"/>
        <v>2546534.477180194</v>
      </c>
      <c r="AK17" s="276">
        <f t="shared" si="14"/>
        <v>112763739.09204145</v>
      </c>
      <c r="AL17" s="276">
        <f t="shared" si="11"/>
        <v>0</v>
      </c>
      <c r="AM17" s="276">
        <f t="shared" si="12"/>
        <v>2546534.0920414478</v>
      </c>
      <c r="AN17" s="278">
        <f aca="true" t="shared" si="15" ref="AN17:AN22">+AF17/I17</f>
        <v>0.9774170836073209</v>
      </c>
      <c r="AO17" s="278">
        <f>+AB17/M17</f>
        <v>1</v>
      </c>
      <c r="AP17" s="278">
        <f>+AC17/Q17</f>
        <v>1</v>
      </c>
      <c r="AQ17" s="278">
        <f>+AD17/V17</f>
        <v>1.000000013747676</v>
      </c>
      <c r="AR17" s="278">
        <f>+AE17/Z17</f>
        <v>0.9164442391761386</v>
      </c>
    </row>
    <row r="18" spans="1:44" ht="15" customHeight="1">
      <c r="A18" s="271" t="s">
        <v>31</v>
      </c>
      <c r="B18" s="274">
        <v>22602626.067778535</v>
      </c>
      <c r="C18" s="273"/>
      <c r="D18" s="273"/>
      <c r="E18" s="273"/>
      <c r="F18" s="273">
        <v>-1385367</v>
      </c>
      <c r="G18" s="273"/>
      <c r="H18" s="273"/>
      <c r="I18" s="274">
        <f t="shared" si="0"/>
        <v>21217259.067778535</v>
      </c>
      <c r="J18" s="274">
        <v>4969234</v>
      </c>
      <c r="K18" s="274"/>
      <c r="L18" s="274">
        <v>-5434</v>
      </c>
      <c r="M18" s="274">
        <f t="shared" si="1"/>
        <v>4963800</v>
      </c>
      <c r="N18" s="274">
        <v>5289621</v>
      </c>
      <c r="O18" s="274"/>
      <c r="P18" s="274">
        <f t="shared" si="2"/>
        <v>-124721</v>
      </c>
      <c r="Q18" s="274">
        <f t="shared" si="3"/>
        <v>5164900</v>
      </c>
      <c r="R18" s="273">
        <v>5289621.448476002</v>
      </c>
      <c r="S18" s="273"/>
      <c r="T18" s="273"/>
      <c r="U18" s="273">
        <v>-123021</v>
      </c>
      <c r="V18" s="274">
        <f t="shared" si="4"/>
        <v>5166600.448476002</v>
      </c>
      <c r="W18" s="274">
        <v>5921958.619302534</v>
      </c>
      <c r="X18" s="274"/>
      <c r="Y18" s="275"/>
      <c r="Z18" s="275">
        <f t="shared" si="13"/>
        <v>5921958.619302534</v>
      </c>
      <c r="AA18" s="274">
        <f t="shared" si="5"/>
        <v>21217259.067778535</v>
      </c>
      <c r="AB18" s="388">
        <f>+'[4]ECO ENE-MAR-11'!$G$54</f>
        <v>4963800</v>
      </c>
      <c r="AC18" s="388">
        <f>+'[4]ECO ABR-JUN-11'!$G$65</f>
        <v>5164900</v>
      </c>
      <c r="AD18" s="388">
        <f>+'[4]ECO JUL-SEP-11'!$G$60</f>
        <v>5166600</v>
      </c>
      <c r="AE18" s="388">
        <f>+'[4]ECO OCT-DIC-11'!$G$64</f>
        <v>5219300</v>
      </c>
      <c r="AF18" s="388">
        <f t="shared" si="6"/>
        <v>20514600</v>
      </c>
      <c r="AG18" s="274">
        <f t="shared" si="7"/>
        <v>0</v>
      </c>
      <c r="AH18" s="274">
        <f t="shared" si="8"/>
        <v>0</v>
      </c>
      <c r="AI18" s="274">
        <f t="shared" si="9"/>
        <v>0.44847600162029266</v>
      </c>
      <c r="AJ18" s="274">
        <f t="shared" si="10"/>
        <v>702658.6193025336</v>
      </c>
      <c r="AK18" s="276">
        <f t="shared" si="14"/>
        <v>21217259.067778535</v>
      </c>
      <c r="AL18" s="276">
        <f t="shared" si="11"/>
        <v>0</v>
      </c>
      <c r="AM18" s="276">
        <f t="shared" si="12"/>
        <v>702659.0677785352</v>
      </c>
      <c r="AN18" s="278">
        <f t="shared" si="15"/>
        <v>0.966882665403015</v>
      </c>
      <c r="AO18" s="278">
        <f>+AB18/M18</f>
        <v>1</v>
      </c>
      <c r="AP18" s="278">
        <f>+AC18/Q18</f>
        <v>1</v>
      </c>
      <c r="AQ18" s="278">
        <f>+AD18/V18</f>
        <v>0.9999999131970807</v>
      </c>
      <c r="AR18" s="278">
        <f>+AE18/Z18</f>
        <v>0.8813469217747945</v>
      </c>
    </row>
    <row r="19" spans="1:44" ht="15" customHeight="1">
      <c r="A19" s="275" t="s">
        <v>32</v>
      </c>
      <c r="B19" s="274">
        <v>28253282.584723167</v>
      </c>
      <c r="C19" s="273"/>
      <c r="D19" s="273"/>
      <c r="E19" s="273"/>
      <c r="F19" s="273">
        <v>-1731708</v>
      </c>
      <c r="G19" s="273"/>
      <c r="H19" s="273"/>
      <c r="I19" s="274">
        <f t="shared" si="0"/>
        <v>26521574.584723167</v>
      </c>
      <c r="J19" s="274">
        <v>6211542</v>
      </c>
      <c r="K19" s="274"/>
      <c r="L19" s="274">
        <v>-5442</v>
      </c>
      <c r="M19" s="274">
        <f t="shared" si="1"/>
        <v>6206100</v>
      </c>
      <c r="N19" s="274">
        <v>6612027</v>
      </c>
      <c r="O19" s="274"/>
      <c r="P19" s="274">
        <f t="shared" si="2"/>
        <v>-154427</v>
      </c>
      <c r="Q19" s="274">
        <f t="shared" si="3"/>
        <v>6457600</v>
      </c>
      <c r="R19" s="273">
        <v>6612026.810595001</v>
      </c>
      <c r="S19" s="273"/>
      <c r="T19" s="273"/>
      <c r="U19" s="273">
        <v>-152327</v>
      </c>
      <c r="V19" s="274">
        <f t="shared" si="4"/>
        <v>6459699.810595001</v>
      </c>
      <c r="W19" s="274">
        <v>7398174.774128166</v>
      </c>
      <c r="X19" s="274"/>
      <c r="Y19" s="275"/>
      <c r="Z19" s="275">
        <f t="shared" si="13"/>
        <v>7398174.774128166</v>
      </c>
      <c r="AA19" s="274">
        <f t="shared" si="5"/>
        <v>26521574.584723167</v>
      </c>
      <c r="AB19" s="388">
        <f>+'[4]ECO ENE-MAR-11'!$G$61</f>
        <v>6206100</v>
      </c>
      <c r="AC19" s="388">
        <f>+'[4]ECO ABR-JUN-11'!$G$72</f>
        <v>6457600</v>
      </c>
      <c r="AD19" s="388">
        <f>+'[4]ECO JUL-SEP-11'!$G$67</f>
        <v>6459700</v>
      </c>
      <c r="AE19" s="388">
        <f>+'[4]ECO OCT-DIC-11'!$G$71</f>
        <v>6525800</v>
      </c>
      <c r="AF19" s="388">
        <f t="shared" si="6"/>
        <v>25649200</v>
      </c>
      <c r="AG19" s="274">
        <f t="shared" si="7"/>
        <v>0</v>
      </c>
      <c r="AH19" s="274">
        <f t="shared" si="8"/>
        <v>0</v>
      </c>
      <c r="AI19" s="274">
        <f t="shared" si="9"/>
        <v>-0.18940499890595675</v>
      </c>
      <c r="AJ19" s="274">
        <f t="shared" si="10"/>
        <v>872374.774128166</v>
      </c>
      <c r="AK19" s="276">
        <f t="shared" si="14"/>
        <v>26521574.584723167</v>
      </c>
      <c r="AL19" s="276">
        <f t="shared" si="11"/>
        <v>0</v>
      </c>
      <c r="AM19" s="276">
        <f t="shared" si="12"/>
        <v>872374.5847231671</v>
      </c>
      <c r="AN19" s="278">
        <f t="shared" si="15"/>
        <v>0.9671069837148482</v>
      </c>
      <c r="AO19" s="278">
        <f>+AB19/M19</f>
        <v>1</v>
      </c>
      <c r="AP19" s="278">
        <f>+AC19/Q19</f>
        <v>1</v>
      </c>
      <c r="AQ19" s="278">
        <f>+AD19/V19</f>
        <v>1.0000000293210218</v>
      </c>
      <c r="AR19" s="278">
        <f>+AE19/Z19</f>
        <v>0.8820824323887414</v>
      </c>
    </row>
    <row r="20" spans="1:44" ht="15" customHeight="1">
      <c r="A20" s="275" t="s">
        <v>33</v>
      </c>
      <c r="B20" s="274">
        <v>600000</v>
      </c>
      <c r="C20" s="273"/>
      <c r="D20" s="273"/>
      <c r="E20" s="273"/>
      <c r="F20" s="273"/>
      <c r="G20" s="273"/>
      <c r="H20" s="273"/>
      <c r="I20" s="274">
        <f t="shared" si="0"/>
        <v>600000</v>
      </c>
      <c r="J20" s="274">
        <v>0</v>
      </c>
      <c r="K20" s="274"/>
      <c r="L20" s="274">
        <v>0</v>
      </c>
      <c r="M20" s="274">
        <f t="shared" si="1"/>
        <v>0</v>
      </c>
      <c r="N20" s="274">
        <v>300000</v>
      </c>
      <c r="O20" s="274"/>
      <c r="P20" s="274">
        <f t="shared" si="2"/>
        <v>0</v>
      </c>
      <c r="Q20" s="274">
        <f t="shared" si="3"/>
        <v>300000</v>
      </c>
      <c r="R20" s="279">
        <v>0</v>
      </c>
      <c r="S20" s="279"/>
      <c r="T20" s="273"/>
      <c r="U20" s="273">
        <v>0</v>
      </c>
      <c r="V20" s="274">
        <f t="shared" si="4"/>
        <v>0</v>
      </c>
      <c r="W20" s="274"/>
      <c r="X20" s="280"/>
      <c r="Y20" s="281"/>
      <c r="Z20" s="275">
        <v>0</v>
      </c>
      <c r="AA20" s="274">
        <f t="shared" si="5"/>
        <v>300000</v>
      </c>
      <c r="AB20" s="388">
        <f>+'[4]ECO ENE-MAR-11'!$G$68</f>
        <v>0</v>
      </c>
      <c r="AC20" s="388">
        <f>+'[4]ECO ABR-JUN-11'!$G$79</f>
        <v>300000</v>
      </c>
      <c r="AD20" s="388">
        <f>+'[4]ECO JUL-SEP-11'!$G$74</f>
        <v>0</v>
      </c>
      <c r="AE20" s="388">
        <f>+'[4]ECO OCT-DIC-11'!$G$78</f>
        <v>0</v>
      </c>
      <c r="AF20" s="388">
        <f t="shared" si="6"/>
        <v>300000</v>
      </c>
      <c r="AG20" s="274">
        <f t="shared" si="7"/>
        <v>0</v>
      </c>
      <c r="AH20" s="274">
        <f t="shared" si="8"/>
        <v>0</v>
      </c>
      <c r="AI20" s="274">
        <f t="shared" si="9"/>
        <v>0</v>
      </c>
      <c r="AJ20" s="274">
        <f t="shared" si="10"/>
        <v>0</v>
      </c>
      <c r="AK20" s="276">
        <f t="shared" si="14"/>
        <v>300000</v>
      </c>
      <c r="AL20" s="276">
        <f t="shared" si="11"/>
        <v>300000</v>
      </c>
      <c r="AM20" s="276">
        <f t="shared" si="12"/>
        <v>0</v>
      </c>
      <c r="AN20" s="278">
        <f t="shared" si="15"/>
        <v>0.5</v>
      </c>
      <c r="AO20" s="278">
        <v>0</v>
      </c>
      <c r="AP20" s="278">
        <v>0</v>
      </c>
      <c r="AQ20" s="278">
        <v>0</v>
      </c>
      <c r="AR20" s="278">
        <v>0</v>
      </c>
    </row>
    <row r="21" spans="1:44" ht="15" customHeight="1" thickBot="1">
      <c r="A21" s="281" t="s">
        <v>34</v>
      </c>
      <c r="B21" s="274">
        <v>48166976</v>
      </c>
      <c r="C21" s="279"/>
      <c r="D21" s="279"/>
      <c r="E21" s="279"/>
      <c r="F21" s="279">
        <v>4700000</v>
      </c>
      <c r="G21" s="279"/>
      <c r="H21" s="279"/>
      <c r="I21" s="274">
        <f t="shared" si="0"/>
        <v>52866976</v>
      </c>
      <c r="J21" s="280">
        <v>8703594</v>
      </c>
      <c r="K21" s="280"/>
      <c r="L21" s="274">
        <v>-1027567</v>
      </c>
      <c r="M21" s="282">
        <f t="shared" si="1"/>
        <v>7676027</v>
      </c>
      <c r="N21" s="282">
        <v>12405391</v>
      </c>
      <c r="O21" s="274"/>
      <c r="P21" s="274">
        <f t="shared" si="2"/>
        <v>-1071351</v>
      </c>
      <c r="Q21" s="274">
        <f t="shared" si="3"/>
        <v>11334040</v>
      </c>
      <c r="R21" s="279">
        <v>12405391</v>
      </c>
      <c r="S21" s="279"/>
      <c r="T21" s="273"/>
      <c r="U21" s="273">
        <v>-1191351</v>
      </c>
      <c r="V21" s="282">
        <f t="shared" si="4"/>
        <v>11214040</v>
      </c>
      <c r="W21" s="282">
        <v>22642869</v>
      </c>
      <c r="X21" s="280"/>
      <c r="Y21" s="281"/>
      <c r="Z21" s="275">
        <f t="shared" si="13"/>
        <v>22642869</v>
      </c>
      <c r="AA21" s="282">
        <f t="shared" si="5"/>
        <v>52866976</v>
      </c>
      <c r="AB21" s="388">
        <f>+'[4]ECO ENE-MAR-11'!$G$72</f>
        <v>7676027</v>
      </c>
      <c r="AC21" s="388">
        <f>+'[4]ECO ABR-JUN-11'!$G$84</f>
        <v>11334040</v>
      </c>
      <c r="AD21" s="388">
        <f>+'[4]ECO JUL-SEP-11'!$G$79</f>
        <v>11214040</v>
      </c>
      <c r="AE21" s="388">
        <f>+'[4]ECO OCT-DIC-11'!$G$83</f>
        <v>11616380</v>
      </c>
      <c r="AF21" s="388">
        <f t="shared" si="6"/>
        <v>41840487</v>
      </c>
      <c r="AG21" s="282">
        <f t="shared" si="7"/>
        <v>0</v>
      </c>
      <c r="AH21" s="282">
        <f t="shared" si="8"/>
        <v>0</v>
      </c>
      <c r="AI21" s="282">
        <f t="shared" si="9"/>
        <v>0</v>
      </c>
      <c r="AJ21" s="282">
        <f t="shared" si="10"/>
        <v>11026489</v>
      </c>
      <c r="AK21" s="283">
        <f t="shared" si="14"/>
        <v>52866976</v>
      </c>
      <c r="AL21" s="276">
        <f t="shared" si="11"/>
        <v>0</v>
      </c>
      <c r="AM21" s="283">
        <f t="shared" si="12"/>
        <v>11026489</v>
      </c>
      <c r="AN21" s="284">
        <f t="shared" si="15"/>
        <v>0.7914295495168856</v>
      </c>
      <c r="AO21" s="285">
        <v>0</v>
      </c>
      <c r="AP21" s="285">
        <f>+AC21/Q21</f>
        <v>1</v>
      </c>
      <c r="AQ21" s="285">
        <f>+AD21/V21</f>
        <v>1</v>
      </c>
      <c r="AR21" s="285">
        <f>+AE21/Z21</f>
        <v>0.513025977405955</v>
      </c>
    </row>
    <row r="22" spans="1:44" ht="15" customHeight="1" thickBot="1">
      <c r="A22" s="286" t="s">
        <v>35</v>
      </c>
      <c r="B22" s="287">
        <f aca="true" t="shared" si="16" ref="B22:J22">SUM(B11:B21)</f>
        <v>928975600.2445432</v>
      </c>
      <c r="C22" s="287">
        <f t="shared" si="16"/>
        <v>0</v>
      </c>
      <c r="D22" s="287">
        <f t="shared" si="16"/>
        <v>0</v>
      </c>
      <c r="E22" s="287">
        <f t="shared" si="16"/>
        <v>0</v>
      </c>
      <c r="F22" s="287">
        <f t="shared" si="16"/>
        <v>-52305215</v>
      </c>
      <c r="G22" s="287">
        <f>SUM(G11:G21)</f>
        <v>0</v>
      </c>
      <c r="H22" s="287">
        <f t="shared" si="16"/>
        <v>0</v>
      </c>
      <c r="I22" s="287">
        <f t="shared" si="16"/>
        <v>876670385.2445432</v>
      </c>
      <c r="J22" s="287">
        <f t="shared" si="16"/>
        <v>202179637.6</v>
      </c>
      <c r="K22" s="287"/>
      <c r="L22" s="287">
        <f aca="true" t="shared" si="17" ref="L22:W22">SUM(L11:L21)</f>
        <v>-13487071.6</v>
      </c>
      <c r="M22" s="287">
        <f t="shared" si="17"/>
        <v>188692566</v>
      </c>
      <c r="N22" s="287">
        <f t="shared" si="17"/>
        <v>217998162</v>
      </c>
      <c r="O22" s="287">
        <f t="shared" si="17"/>
        <v>0</v>
      </c>
      <c r="P22" s="287">
        <f t="shared" si="17"/>
        <v>-3365976</v>
      </c>
      <c r="Q22" s="287">
        <f t="shared" si="17"/>
        <v>214632186</v>
      </c>
      <c r="R22" s="287">
        <f t="shared" si="17"/>
        <v>217698162.0590652</v>
      </c>
      <c r="S22" s="287">
        <f t="shared" si="17"/>
        <v>0</v>
      </c>
      <c r="T22" s="287">
        <f t="shared" si="17"/>
        <v>0</v>
      </c>
      <c r="U22" s="287">
        <f t="shared" si="17"/>
        <v>-2700708</v>
      </c>
      <c r="V22" s="287">
        <f t="shared" si="17"/>
        <v>214997454.0590652</v>
      </c>
      <c r="W22" s="287">
        <f t="shared" si="17"/>
        <v>258048179.18547797</v>
      </c>
      <c r="X22" s="287"/>
      <c r="Y22" s="287"/>
      <c r="Z22" s="287">
        <f aca="true" t="shared" si="18" ref="Z22:AM22">SUM(Z11:Z21)</f>
        <v>258048179.18547797</v>
      </c>
      <c r="AA22" s="287">
        <f t="shared" si="18"/>
        <v>876370385.2445432</v>
      </c>
      <c r="AB22" s="287">
        <f t="shared" si="18"/>
        <v>188692566</v>
      </c>
      <c r="AC22" s="287">
        <f t="shared" si="18"/>
        <v>214632186</v>
      </c>
      <c r="AD22" s="287">
        <f t="shared" si="18"/>
        <v>214997454</v>
      </c>
      <c r="AE22" s="287">
        <f t="shared" si="18"/>
        <v>211406923</v>
      </c>
      <c r="AF22" s="287">
        <f t="shared" si="18"/>
        <v>829729129</v>
      </c>
      <c r="AG22" s="287">
        <f t="shared" si="18"/>
        <v>0</v>
      </c>
      <c r="AH22" s="287">
        <f t="shared" si="18"/>
        <v>0</v>
      </c>
      <c r="AI22" s="287">
        <f t="shared" si="18"/>
        <v>0.059065203880891204</v>
      </c>
      <c r="AJ22" s="287">
        <f>SUM(AJ11:AJ21)</f>
        <v>46641256.18547795</v>
      </c>
      <c r="AK22" s="287">
        <f t="shared" si="18"/>
        <v>876370385.2445432</v>
      </c>
      <c r="AL22" s="287">
        <f t="shared" si="18"/>
        <v>300000</v>
      </c>
      <c r="AM22" s="287">
        <f t="shared" si="18"/>
        <v>46641256.24454315</v>
      </c>
      <c r="AN22" s="288">
        <f t="shared" si="15"/>
        <v>0.9464550679085058</v>
      </c>
      <c r="AO22" s="288">
        <f>+AB22/M22</f>
        <v>1</v>
      </c>
      <c r="AP22" s="288">
        <f>+AC22/Q22</f>
        <v>1</v>
      </c>
      <c r="AQ22" s="288">
        <f>+AD22/V22</f>
        <v>0.9999999997252749</v>
      </c>
      <c r="AR22" s="288">
        <f>+AE22/Z22</f>
        <v>0.8192536900175005</v>
      </c>
    </row>
    <row r="23" spans="1:44" ht="15" customHeight="1">
      <c r="A23" s="264"/>
      <c r="B23" s="289"/>
      <c r="C23" s="290"/>
      <c r="D23" s="290"/>
      <c r="E23" s="290"/>
      <c r="F23" s="290"/>
      <c r="G23" s="290"/>
      <c r="H23" s="290"/>
      <c r="I23" s="265"/>
      <c r="J23" s="265"/>
      <c r="K23" s="265"/>
      <c r="L23" s="265"/>
      <c r="M23" s="265"/>
      <c r="N23" s="265"/>
      <c r="O23" s="290"/>
      <c r="P23" s="265"/>
      <c r="Q23" s="265"/>
      <c r="R23" s="290"/>
      <c r="S23" s="290"/>
      <c r="T23" s="290"/>
      <c r="U23" s="290"/>
      <c r="V23" s="265"/>
      <c r="W23" s="265"/>
      <c r="X23" s="265"/>
      <c r="Y23" s="291"/>
      <c r="Z23" s="291"/>
      <c r="AA23" s="265"/>
      <c r="AB23" s="265"/>
      <c r="AC23" s="265"/>
      <c r="AD23" s="265"/>
      <c r="AE23" s="291"/>
      <c r="AF23" s="265"/>
      <c r="AG23" s="265"/>
      <c r="AH23" s="269"/>
      <c r="AI23" s="269"/>
      <c r="AJ23" s="269"/>
      <c r="AK23" s="269"/>
      <c r="AL23" s="269"/>
      <c r="AM23" s="269"/>
      <c r="AN23" s="270"/>
      <c r="AO23" s="270"/>
      <c r="AP23" s="270"/>
      <c r="AQ23" s="270"/>
      <c r="AR23" s="270"/>
    </row>
    <row r="24" spans="1:44" ht="15" customHeight="1">
      <c r="A24" s="292" t="s">
        <v>36</v>
      </c>
      <c r="B24" s="265"/>
      <c r="C24" s="293"/>
      <c r="D24" s="293"/>
      <c r="E24" s="293"/>
      <c r="F24" s="293"/>
      <c r="G24" s="293"/>
      <c r="H24" s="293"/>
      <c r="I24" s="272"/>
      <c r="J24" s="272"/>
      <c r="K24" s="272"/>
      <c r="L24" s="272"/>
      <c r="M24" s="274"/>
      <c r="N24" s="272"/>
      <c r="O24" s="293"/>
      <c r="P24" s="272"/>
      <c r="Q24" s="272"/>
      <c r="R24" s="293"/>
      <c r="S24" s="293"/>
      <c r="T24" s="293"/>
      <c r="U24" s="293"/>
      <c r="V24" s="272"/>
      <c r="W24" s="272"/>
      <c r="X24" s="272"/>
      <c r="Y24" s="292"/>
      <c r="Z24" s="292"/>
      <c r="AA24" s="272"/>
      <c r="AB24" s="274"/>
      <c r="AC24" s="274"/>
      <c r="AD24" s="274"/>
      <c r="AE24" s="275"/>
      <c r="AF24" s="272"/>
      <c r="AG24" s="272"/>
      <c r="AH24" s="276"/>
      <c r="AI24" s="276"/>
      <c r="AJ24" s="276"/>
      <c r="AK24" s="276"/>
      <c r="AL24" s="276"/>
      <c r="AM24" s="276"/>
      <c r="AN24" s="277"/>
      <c r="AO24" s="277"/>
      <c r="AP24" s="277"/>
      <c r="AQ24" s="277"/>
      <c r="AR24" s="277"/>
    </row>
    <row r="25" spans="1:44" ht="15" customHeight="1">
      <c r="A25" s="275" t="s">
        <v>37</v>
      </c>
      <c r="B25" s="274">
        <v>14260000</v>
      </c>
      <c r="C25" s="273"/>
      <c r="D25" s="273"/>
      <c r="E25" s="273"/>
      <c r="F25" s="273"/>
      <c r="G25" s="273"/>
      <c r="H25" s="273"/>
      <c r="I25" s="274">
        <f aca="true" t="shared" si="19" ref="I25:I32">SUM(B25:H25)</f>
        <v>14260000</v>
      </c>
      <c r="J25" s="274">
        <v>14260000</v>
      </c>
      <c r="K25" s="274"/>
      <c r="L25" s="274">
        <v>-663148</v>
      </c>
      <c r="M25" s="274">
        <f aca="true" t="shared" si="20" ref="M25:M32">SUM(J25:L25)</f>
        <v>13596852</v>
      </c>
      <c r="N25" s="274">
        <v>0</v>
      </c>
      <c r="O25" s="273"/>
      <c r="P25" s="274">
        <f aca="true" t="shared" si="21" ref="P25:P32">+AC25-N25-O25</f>
        <v>0</v>
      </c>
      <c r="Q25" s="274">
        <f>+SUM(N25:P25)</f>
        <v>0</v>
      </c>
      <c r="R25" s="273"/>
      <c r="S25" s="273"/>
      <c r="T25" s="273"/>
      <c r="U25" s="273"/>
      <c r="V25" s="274">
        <f aca="true" t="shared" si="22" ref="V25:V32">+SUM(R25:U25)</f>
        <v>0</v>
      </c>
      <c r="W25" s="274">
        <v>663148</v>
      </c>
      <c r="X25" s="274"/>
      <c r="Y25" s="275"/>
      <c r="Z25" s="275">
        <f aca="true" t="shared" si="23" ref="Z25:Z32">+SUM(W25:Y25)</f>
        <v>663148</v>
      </c>
      <c r="AA25" s="274">
        <f aca="true" t="shared" si="24" ref="AA25:AA32">+M25+Q25+V25+Z25</f>
        <v>14260000</v>
      </c>
      <c r="AB25" s="388">
        <f>+'[4]ECO ENE-MAR-11'!$G$85</f>
        <v>13596852</v>
      </c>
      <c r="AC25" s="388">
        <f>+'[4]ECO ABR-JUN-11'!$G$102</f>
        <v>0</v>
      </c>
      <c r="AD25" s="388">
        <f>+'[4]ECO JUL-SEP-11'!$G$94</f>
        <v>0</v>
      </c>
      <c r="AE25" s="388">
        <f>+'[4]ECO OCT-DIC-11'!$G$97</f>
        <v>0</v>
      </c>
      <c r="AF25" s="388">
        <f aca="true" t="shared" si="25" ref="AF25:AF32">SUM(AB25:AE25)</f>
        <v>13596852</v>
      </c>
      <c r="AG25" s="274">
        <f aca="true" t="shared" si="26" ref="AG25:AG32">+M25-AB25</f>
        <v>0</v>
      </c>
      <c r="AH25" s="274">
        <f aca="true" t="shared" si="27" ref="AH25:AH32">+Q25-AC25</f>
        <v>0</v>
      </c>
      <c r="AI25" s="274">
        <f aca="true" t="shared" si="28" ref="AI25:AI32">+V25-AD25</f>
        <v>0</v>
      </c>
      <c r="AJ25" s="274">
        <f aca="true" t="shared" si="29" ref="AJ25:AJ32">+Z25-AE25</f>
        <v>663148</v>
      </c>
      <c r="AK25" s="276">
        <f aca="true" t="shared" si="30" ref="AK25:AK32">+AA25</f>
        <v>14260000</v>
      </c>
      <c r="AL25" s="276">
        <f aca="true" t="shared" si="31" ref="AL25:AL32">+I25-AK25</f>
        <v>0</v>
      </c>
      <c r="AM25" s="276">
        <f aca="true" t="shared" si="32" ref="AM25:AM32">+AK25-AF25</f>
        <v>663148</v>
      </c>
      <c r="AN25" s="278">
        <v>0</v>
      </c>
      <c r="AO25" s="278">
        <v>0</v>
      </c>
      <c r="AP25" s="278">
        <v>0</v>
      </c>
      <c r="AQ25" s="278">
        <v>0</v>
      </c>
      <c r="AR25" s="278">
        <v>0</v>
      </c>
    </row>
    <row r="26" spans="1:44" ht="15" customHeight="1">
      <c r="A26" s="275" t="s">
        <v>40</v>
      </c>
      <c r="B26" s="274">
        <v>6190200</v>
      </c>
      <c r="C26" s="273"/>
      <c r="D26" s="273"/>
      <c r="E26" s="273"/>
      <c r="F26" s="273"/>
      <c r="G26" s="273"/>
      <c r="H26" s="273"/>
      <c r="I26" s="274">
        <f t="shared" si="19"/>
        <v>6190200</v>
      </c>
      <c r="J26" s="274">
        <v>1545000</v>
      </c>
      <c r="K26" s="274"/>
      <c r="L26" s="274">
        <v>0</v>
      </c>
      <c r="M26" s="274">
        <f t="shared" si="20"/>
        <v>1545000</v>
      </c>
      <c r="N26" s="274">
        <v>1545000</v>
      </c>
      <c r="O26" s="273"/>
      <c r="P26" s="274">
        <f t="shared" si="21"/>
        <v>0</v>
      </c>
      <c r="Q26" s="274">
        <f>+SUM(N26:P26)</f>
        <v>1545000</v>
      </c>
      <c r="R26" s="274">
        <v>1545000</v>
      </c>
      <c r="S26" s="274"/>
      <c r="T26" s="274"/>
      <c r="U26" s="274"/>
      <c r="V26" s="274">
        <f t="shared" si="22"/>
        <v>1545000</v>
      </c>
      <c r="W26" s="274">
        <v>1555200</v>
      </c>
      <c r="X26" s="274"/>
      <c r="Y26" s="292"/>
      <c r="Z26" s="275">
        <f t="shared" si="23"/>
        <v>1555200</v>
      </c>
      <c r="AA26" s="274">
        <f t="shared" si="24"/>
        <v>6190200</v>
      </c>
      <c r="AB26" s="388">
        <f>+'[4]ECO ENE-MAR-11'!$G$91</f>
        <v>1545000</v>
      </c>
      <c r="AC26" s="388">
        <f>+'[4]ECO ABR-JUN-11'!$G$110</f>
        <v>1545000</v>
      </c>
      <c r="AD26" s="388">
        <f>+'[4]ECO JUL-SEP-11'!$G$102</f>
        <v>1545000</v>
      </c>
      <c r="AE26" s="388">
        <f>+'[4]ECO OCT-DIC-11'!$G$105</f>
        <v>1545000</v>
      </c>
      <c r="AF26" s="388">
        <f t="shared" si="25"/>
        <v>6180000</v>
      </c>
      <c r="AG26" s="274">
        <f t="shared" si="26"/>
        <v>0</v>
      </c>
      <c r="AH26" s="274">
        <f t="shared" si="27"/>
        <v>0</v>
      </c>
      <c r="AI26" s="274">
        <f t="shared" si="28"/>
        <v>0</v>
      </c>
      <c r="AJ26" s="274">
        <f t="shared" si="29"/>
        <v>10200</v>
      </c>
      <c r="AK26" s="276">
        <f t="shared" si="30"/>
        <v>6190200</v>
      </c>
      <c r="AL26" s="276">
        <f t="shared" si="31"/>
        <v>0</v>
      </c>
      <c r="AM26" s="276">
        <f t="shared" si="32"/>
        <v>10200</v>
      </c>
      <c r="AN26" s="278">
        <f aca="true" t="shared" si="33" ref="AN26:AN33">+AF26/I26</f>
        <v>0.9983522341766017</v>
      </c>
      <c r="AO26" s="278">
        <f aca="true" t="shared" si="34" ref="AO26:AO31">+AB26/M26</f>
        <v>1</v>
      </c>
      <c r="AP26" s="278">
        <f>+AC26/Q26</f>
        <v>1</v>
      </c>
      <c r="AQ26" s="278">
        <f>+AD26/V26</f>
        <v>1</v>
      </c>
      <c r="AR26" s="278">
        <f aca="true" t="shared" si="35" ref="AR26:AR31">+AE26/Z26</f>
        <v>0.9934413580246914</v>
      </c>
    </row>
    <row r="27" spans="1:44" ht="15" customHeight="1">
      <c r="A27" s="275" t="s">
        <v>41</v>
      </c>
      <c r="B27" s="274">
        <v>8986533.0921</v>
      </c>
      <c r="C27" s="273"/>
      <c r="D27" s="273"/>
      <c r="E27" s="273"/>
      <c r="F27" s="273"/>
      <c r="G27" s="273"/>
      <c r="H27" s="273"/>
      <c r="I27" s="274">
        <f t="shared" si="19"/>
        <v>8986533.0921</v>
      </c>
      <c r="J27" s="274">
        <v>2242931.3475</v>
      </c>
      <c r="K27" s="274"/>
      <c r="L27" s="274">
        <v>-491363.34750000015</v>
      </c>
      <c r="M27" s="274">
        <f t="shared" si="20"/>
        <v>1751568</v>
      </c>
      <c r="N27" s="274">
        <v>2246633</v>
      </c>
      <c r="O27" s="273"/>
      <c r="P27" s="274">
        <f t="shared" si="21"/>
        <v>-472730</v>
      </c>
      <c r="Q27" s="274">
        <f>+SUM(N27:P27)</f>
        <v>1773903</v>
      </c>
      <c r="R27" s="273">
        <v>2246633.273025</v>
      </c>
      <c r="S27" s="273"/>
      <c r="T27" s="273"/>
      <c r="U27" s="273">
        <v>-275956</v>
      </c>
      <c r="V27" s="274">
        <f t="shared" si="22"/>
        <v>1970677.273025</v>
      </c>
      <c r="W27" s="274">
        <v>3490384.819075</v>
      </c>
      <c r="X27" s="274"/>
      <c r="Y27" s="275"/>
      <c r="Z27" s="275">
        <f t="shared" si="23"/>
        <v>3490384.819075</v>
      </c>
      <c r="AA27" s="274">
        <f t="shared" si="24"/>
        <v>8986533.0921</v>
      </c>
      <c r="AB27" s="388">
        <f>+'[4]ECO ENE-MAR-11'!$G$99</f>
        <v>1751568</v>
      </c>
      <c r="AC27" s="388">
        <f>+'[4]ECO ABR-JUN-11'!$G$118</f>
        <v>1773903</v>
      </c>
      <c r="AD27" s="388">
        <f>+'[4]ECO JUL-SEP-11'!$G$109</f>
        <v>1970676.6800000002</v>
      </c>
      <c r="AE27" s="388">
        <f>+'[4]ECO OCT-DIC-11'!$G$113</f>
        <v>3211433</v>
      </c>
      <c r="AF27" s="388">
        <f t="shared" si="25"/>
        <v>8707580.68</v>
      </c>
      <c r="AG27" s="274">
        <f t="shared" si="26"/>
        <v>0</v>
      </c>
      <c r="AH27" s="274">
        <f t="shared" si="27"/>
        <v>0</v>
      </c>
      <c r="AI27" s="274">
        <f t="shared" si="28"/>
        <v>0.5930249998345971</v>
      </c>
      <c r="AJ27" s="274">
        <f t="shared" si="29"/>
        <v>278951.819075</v>
      </c>
      <c r="AK27" s="276">
        <f t="shared" si="30"/>
        <v>8986533.0921</v>
      </c>
      <c r="AL27" s="276">
        <f t="shared" si="31"/>
        <v>0</v>
      </c>
      <c r="AM27" s="276">
        <f t="shared" si="32"/>
        <v>278952.4121000003</v>
      </c>
      <c r="AN27" s="278">
        <f t="shared" si="33"/>
        <v>0.9689588399395952</v>
      </c>
      <c r="AO27" s="278">
        <f t="shared" si="34"/>
        <v>1</v>
      </c>
      <c r="AP27" s="278">
        <f>+AC27/Q27</f>
        <v>1</v>
      </c>
      <c r="AQ27" s="278">
        <f>+AD27/V27</f>
        <v>0.9999996990755371</v>
      </c>
      <c r="AR27" s="278">
        <f t="shared" si="35"/>
        <v>0.9200799242677986</v>
      </c>
    </row>
    <row r="28" spans="1:44" ht="15" customHeight="1">
      <c r="A28" s="275" t="s">
        <v>42</v>
      </c>
      <c r="B28" s="274">
        <v>2500000</v>
      </c>
      <c r="C28" s="273"/>
      <c r="D28" s="273"/>
      <c r="E28" s="273"/>
      <c r="F28" s="273"/>
      <c r="G28" s="273"/>
      <c r="H28" s="273"/>
      <c r="I28" s="274">
        <f t="shared" si="19"/>
        <v>2500000</v>
      </c>
      <c r="J28" s="274">
        <v>2500000</v>
      </c>
      <c r="K28" s="274"/>
      <c r="L28" s="274">
        <v>-1091</v>
      </c>
      <c r="M28" s="274">
        <f t="shared" si="20"/>
        <v>2498909</v>
      </c>
      <c r="N28" s="274">
        <v>0</v>
      </c>
      <c r="O28" s="273"/>
      <c r="P28" s="274">
        <f t="shared" si="21"/>
        <v>0</v>
      </c>
      <c r="Q28" s="294"/>
      <c r="R28" s="273"/>
      <c r="S28" s="273"/>
      <c r="T28" s="273"/>
      <c r="U28" s="273"/>
      <c r="V28" s="274">
        <f t="shared" si="22"/>
        <v>0</v>
      </c>
      <c r="W28" s="274">
        <v>0</v>
      </c>
      <c r="X28" s="274"/>
      <c r="Y28" s="275"/>
      <c r="Z28" s="275">
        <f t="shared" si="23"/>
        <v>0</v>
      </c>
      <c r="AA28" s="276">
        <f t="shared" si="24"/>
        <v>2498909</v>
      </c>
      <c r="AB28" s="388">
        <f>+'[4]ECO ENE-MAR-11'!$G$109</f>
        <v>2498909</v>
      </c>
      <c r="AC28" s="388">
        <f>+'[4]ECO ABR-JUN-11'!$G$129</f>
        <v>0</v>
      </c>
      <c r="AD28" s="388">
        <f>+'[4]ECO JUL-SEP-11'!$G$120</f>
        <v>0</v>
      </c>
      <c r="AE28" s="388">
        <f>+'[4]ECO OCT-DIC-11'!$G$130</f>
        <v>0</v>
      </c>
      <c r="AF28" s="388">
        <f t="shared" si="25"/>
        <v>2498909</v>
      </c>
      <c r="AG28" s="274">
        <f t="shared" si="26"/>
        <v>0</v>
      </c>
      <c r="AH28" s="274">
        <f t="shared" si="27"/>
        <v>0</v>
      </c>
      <c r="AI28" s="274">
        <f t="shared" si="28"/>
        <v>0</v>
      </c>
      <c r="AJ28" s="274">
        <f t="shared" si="29"/>
        <v>0</v>
      </c>
      <c r="AK28" s="276">
        <f t="shared" si="30"/>
        <v>2498909</v>
      </c>
      <c r="AL28" s="276">
        <f t="shared" si="31"/>
        <v>1091</v>
      </c>
      <c r="AM28" s="276">
        <f t="shared" si="32"/>
        <v>0</v>
      </c>
      <c r="AN28" s="278">
        <f t="shared" si="33"/>
        <v>0.9995636</v>
      </c>
      <c r="AO28" s="278">
        <f t="shared" si="34"/>
        <v>1</v>
      </c>
      <c r="AP28" s="278">
        <v>0</v>
      </c>
      <c r="AQ28" s="278">
        <v>0</v>
      </c>
      <c r="AR28" s="278">
        <v>0</v>
      </c>
    </row>
    <row r="29" spans="1:44" ht="15" customHeight="1">
      <c r="A29" s="275" t="s">
        <v>43</v>
      </c>
      <c r="B29" s="274">
        <v>11000000</v>
      </c>
      <c r="C29" s="273"/>
      <c r="D29" s="273"/>
      <c r="E29" s="273"/>
      <c r="F29" s="273"/>
      <c r="G29" s="273"/>
      <c r="H29" s="273"/>
      <c r="I29" s="274">
        <f t="shared" si="19"/>
        <v>11000000</v>
      </c>
      <c r="J29" s="274">
        <v>2500000</v>
      </c>
      <c r="K29" s="274"/>
      <c r="L29" s="274">
        <v>-107905</v>
      </c>
      <c r="M29" s="274">
        <f t="shared" si="20"/>
        <v>2392095</v>
      </c>
      <c r="N29" s="274">
        <v>3000000</v>
      </c>
      <c r="O29" s="273"/>
      <c r="P29" s="274">
        <f t="shared" si="21"/>
        <v>0</v>
      </c>
      <c r="Q29" s="274">
        <f>+SUM(N29:P29)</f>
        <v>3000000</v>
      </c>
      <c r="R29" s="273">
        <v>3000000</v>
      </c>
      <c r="S29" s="273"/>
      <c r="T29" s="273"/>
      <c r="U29" s="273">
        <v>-79775</v>
      </c>
      <c r="V29" s="274">
        <f t="shared" si="22"/>
        <v>2920225</v>
      </c>
      <c r="W29" s="274">
        <v>2687680</v>
      </c>
      <c r="X29" s="274"/>
      <c r="Y29" s="275"/>
      <c r="Z29" s="275">
        <f t="shared" si="23"/>
        <v>2687680</v>
      </c>
      <c r="AA29" s="274">
        <f t="shared" si="24"/>
        <v>11000000</v>
      </c>
      <c r="AB29" s="388">
        <f>+'[4]ECO ENE-MAR-11'!$G$114</f>
        <v>2392095</v>
      </c>
      <c r="AC29" s="388">
        <f>+'[4]ECO ABR-JUN-11'!$G$133</f>
        <v>3000000</v>
      </c>
      <c r="AD29" s="388">
        <f>+'[4]ECO JUL-SEP-11'!$G$124</f>
        <v>2920225</v>
      </c>
      <c r="AE29" s="388">
        <f>+'[4]ECO OCT-DIC-11'!$G$134</f>
        <v>2687680</v>
      </c>
      <c r="AF29" s="388">
        <f t="shared" si="25"/>
        <v>11000000</v>
      </c>
      <c r="AG29" s="274">
        <f t="shared" si="26"/>
        <v>0</v>
      </c>
      <c r="AH29" s="274">
        <f t="shared" si="27"/>
        <v>0</v>
      </c>
      <c r="AI29" s="274">
        <f t="shared" si="28"/>
        <v>0</v>
      </c>
      <c r="AJ29" s="274">
        <f t="shared" si="29"/>
        <v>0</v>
      </c>
      <c r="AK29" s="276">
        <f t="shared" si="30"/>
        <v>11000000</v>
      </c>
      <c r="AL29" s="276">
        <f t="shared" si="31"/>
        <v>0</v>
      </c>
      <c r="AM29" s="276">
        <f t="shared" si="32"/>
        <v>0</v>
      </c>
      <c r="AN29" s="278">
        <f t="shared" si="33"/>
        <v>1</v>
      </c>
      <c r="AO29" s="278">
        <f t="shared" si="34"/>
        <v>1</v>
      </c>
      <c r="AP29" s="278">
        <f>+AC29/Q29</f>
        <v>1</v>
      </c>
      <c r="AQ29" s="278">
        <f>+AD29/V29</f>
        <v>1</v>
      </c>
      <c r="AR29" s="278">
        <f t="shared" si="35"/>
        <v>1</v>
      </c>
    </row>
    <row r="30" spans="1:44" ht="15" customHeight="1">
      <c r="A30" s="275" t="s">
        <v>44</v>
      </c>
      <c r="B30" s="274">
        <v>24308078.204192</v>
      </c>
      <c r="C30" s="273"/>
      <c r="D30" s="273"/>
      <c r="E30" s="273"/>
      <c r="F30" s="273"/>
      <c r="G30" s="273"/>
      <c r="H30" s="273"/>
      <c r="I30" s="274">
        <f t="shared" si="19"/>
        <v>24308078.204192</v>
      </c>
      <c r="J30" s="274">
        <v>6385336</v>
      </c>
      <c r="K30" s="274"/>
      <c r="L30" s="274">
        <v>-4025896</v>
      </c>
      <c r="M30" s="274">
        <f t="shared" si="20"/>
        <v>2359440</v>
      </c>
      <c r="N30" s="274">
        <v>0</v>
      </c>
      <c r="O30" s="273"/>
      <c r="P30" s="274">
        <f t="shared" si="21"/>
        <v>0</v>
      </c>
      <c r="Q30" s="274">
        <f>+SUM(N30:P30)</f>
        <v>0</v>
      </c>
      <c r="R30" s="273">
        <v>9667294</v>
      </c>
      <c r="S30" s="273"/>
      <c r="T30" s="273"/>
      <c r="U30" s="273">
        <v>-1575326</v>
      </c>
      <c r="V30" s="274">
        <f t="shared" si="22"/>
        <v>8091968</v>
      </c>
      <c r="W30" s="274">
        <v>13856670.204192001</v>
      </c>
      <c r="X30" s="274"/>
      <c r="Y30" s="292"/>
      <c r="Z30" s="275">
        <f t="shared" si="23"/>
        <v>13856670.204192001</v>
      </c>
      <c r="AA30" s="274">
        <f t="shared" si="24"/>
        <v>24308078.204192</v>
      </c>
      <c r="AB30" s="388">
        <f>+'[4]ECO ENE-MAR-11'!$G$124</f>
        <v>2359440</v>
      </c>
      <c r="AC30" s="388">
        <f>+'[4]ECO ABR-JUN-11'!$G$146</f>
        <v>0</v>
      </c>
      <c r="AD30" s="388">
        <f>+'[4]ECO JUL-SEP-11'!$G$136</f>
        <v>8091968</v>
      </c>
      <c r="AE30" s="388">
        <f>+'[4]ECO OCT-DIC-11'!$G$146</f>
        <v>13435139</v>
      </c>
      <c r="AF30" s="388">
        <f t="shared" si="25"/>
        <v>23886547</v>
      </c>
      <c r="AG30" s="274">
        <f t="shared" si="26"/>
        <v>0</v>
      </c>
      <c r="AH30" s="274">
        <f t="shared" si="27"/>
        <v>0</v>
      </c>
      <c r="AI30" s="274">
        <f t="shared" si="28"/>
        <v>0</v>
      </c>
      <c r="AJ30" s="274">
        <f t="shared" si="29"/>
        <v>421531.2041920014</v>
      </c>
      <c r="AK30" s="276">
        <f t="shared" si="30"/>
        <v>24308078.204192</v>
      </c>
      <c r="AL30" s="276">
        <f t="shared" si="31"/>
        <v>0</v>
      </c>
      <c r="AM30" s="276">
        <f t="shared" si="32"/>
        <v>421531.2041920014</v>
      </c>
      <c r="AN30" s="278">
        <f t="shared" si="33"/>
        <v>0.9826588017098239</v>
      </c>
      <c r="AO30" s="278">
        <f t="shared" si="34"/>
        <v>1</v>
      </c>
      <c r="AP30" s="278">
        <v>0</v>
      </c>
      <c r="AQ30" s="278">
        <v>0</v>
      </c>
      <c r="AR30" s="278">
        <f t="shared" si="35"/>
        <v>0.9695791847550448</v>
      </c>
    </row>
    <row r="31" spans="1:44" ht="15" customHeight="1">
      <c r="A31" s="275" t="s">
        <v>45</v>
      </c>
      <c r="B31" s="274">
        <v>45687645.59616</v>
      </c>
      <c r="C31" s="295"/>
      <c r="D31" s="295"/>
      <c r="E31" s="295"/>
      <c r="F31" s="295"/>
      <c r="G31" s="295"/>
      <c r="H31" s="295"/>
      <c r="I31" s="274">
        <f t="shared" si="19"/>
        <v>45687645.59616</v>
      </c>
      <c r="J31" s="274">
        <v>12902530</v>
      </c>
      <c r="K31" s="274"/>
      <c r="L31" s="274">
        <v>-2160240</v>
      </c>
      <c r="M31" s="274">
        <f t="shared" si="20"/>
        <v>10742290</v>
      </c>
      <c r="N31" s="274">
        <v>11985956</v>
      </c>
      <c r="O31" s="295"/>
      <c r="P31" s="274">
        <f t="shared" si="21"/>
        <v>-1356806</v>
      </c>
      <c r="Q31" s="274">
        <f>+SUM(N31:P31)</f>
        <v>10629150</v>
      </c>
      <c r="R31" s="273">
        <v>10000000</v>
      </c>
      <c r="S31" s="273"/>
      <c r="T31" s="273"/>
      <c r="U31" s="273">
        <v>-3236683</v>
      </c>
      <c r="V31" s="274">
        <f t="shared" si="22"/>
        <v>6763317</v>
      </c>
      <c r="W31" s="274">
        <v>17552888.596160002</v>
      </c>
      <c r="X31" s="274"/>
      <c r="Y31" s="292"/>
      <c r="Z31" s="275">
        <f t="shared" si="23"/>
        <v>17552888.596160002</v>
      </c>
      <c r="AA31" s="274">
        <f t="shared" si="24"/>
        <v>45687645.59616</v>
      </c>
      <c r="AB31" s="388">
        <f>+'[4]ECO ENE-MAR-11'!$G$130</f>
        <v>10742290</v>
      </c>
      <c r="AC31" s="388">
        <f>+'[4]ECO ABR-JUN-11'!$G$150</f>
        <v>10629150</v>
      </c>
      <c r="AD31" s="388">
        <f>+'[4]ECO JUL-SEP-11'!$G$144</f>
        <v>6763317</v>
      </c>
      <c r="AE31" s="388">
        <f>+'[4]ECO OCT-DIC-11'!$G$160</f>
        <v>6232330</v>
      </c>
      <c r="AF31" s="388">
        <f t="shared" si="25"/>
        <v>34367087</v>
      </c>
      <c r="AG31" s="274">
        <f t="shared" si="26"/>
        <v>0</v>
      </c>
      <c r="AH31" s="274">
        <f t="shared" si="27"/>
        <v>0</v>
      </c>
      <c r="AI31" s="274">
        <f t="shared" si="28"/>
        <v>0</v>
      </c>
      <c r="AJ31" s="274">
        <f t="shared" si="29"/>
        <v>11320558.596160002</v>
      </c>
      <c r="AK31" s="276">
        <f t="shared" si="30"/>
        <v>45687645.59616</v>
      </c>
      <c r="AL31" s="276">
        <f t="shared" si="31"/>
        <v>0</v>
      </c>
      <c r="AM31" s="276">
        <f t="shared" si="32"/>
        <v>11320558.596160002</v>
      </c>
      <c r="AN31" s="278">
        <f t="shared" si="33"/>
        <v>0.752218385332785</v>
      </c>
      <c r="AO31" s="278">
        <f t="shared" si="34"/>
        <v>1</v>
      </c>
      <c r="AP31" s="278">
        <f>+AC31/Q31</f>
        <v>1</v>
      </c>
      <c r="AQ31" s="278">
        <f>+AD31/V31</f>
        <v>1</v>
      </c>
      <c r="AR31" s="278">
        <f t="shared" si="35"/>
        <v>0.3550600783373872</v>
      </c>
    </row>
    <row r="32" spans="1:44" ht="15" customHeight="1" thickBot="1">
      <c r="A32" s="281" t="s">
        <v>47</v>
      </c>
      <c r="B32" s="274">
        <v>15000000</v>
      </c>
      <c r="C32" s="295"/>
      <c r="D32" s="295"/>
      <c r="E32" s="295"/>
      <c r="F32" s="295"/>
      <c r="G32" s="295"/>
      <c r="H32" s="295"/>
      <c r="I32" s="274">
        <f t="shared" si="19"/>
        <v>15000000</v>
      </c>
      <c r="J32" s="279">
        <v>600000</v>
      </c>
      <c r="K32" s="279"/>
      <c r="L32" s="274">
        <v>-528800</v>
      </c>
      <c r="M32" s="282">
        <f t="shared" si="20"/>
        <v>71200</v>
      </c>
      <c r="N32" s="279">
        <v>600000</v>
      </c>
      <c r="O32" s="295"/>
      <c r="P32" s="274">
        <f t="shared" si="21"/>
        <v>0</v>
      </c>
      <c r="Q32" s="274">
        <f>+SUM(N32:P32)</f>
        <v>600000</v>
      </c>
      <c r="R32" s="279">
        <v>1200000</v>
      </c>
      <c r="S32" s="279"/>
      <c r="T32" s="279"/>
      <c r="U32" s="279">
        <v>-1200000</v>
      </c>
      <c r="V32" s="282">
        <f t="shared" si="22"/>
        <v>0</v>
      </c>
      <c r="W32" s="282">
        <v>14328800</v>
      </c>
      <c r="X32" s="279"/>
      <c r="Y32" s="297"/>
      <c r="Z32" s="275">
        <f t="shared" si="23"/>
        <v>14328800</v>
      </c>
      <c r="AA32" s="282">
        <f t="shared" si="24"/>
        <v>15000000</v>
      </c>
      <c r="AB32" s="388">
        <f>+'[4]ECO ENE-MAR-11'!$G$142</f>
        <v>71200</v>
      </c>
      <c r="AC32" s="388">
        <f>+'[4]ECO ABR-JUN-11'!$G$167</f>
        <v>600000</v>
      </c>
      <c r="AD32" s="388">
        <f>+'[4]ECO JUL-SEP-11'!$G$155</f>
        <v>0</v>
      </c>
      <c r="AE32" s="388">
        <f>+'[4]ECO OCT-DIC-11'!$G$183</f>
        <v>61950</v>
      </c>
      <c r="AF32" s="388">
        <f t="shared" si="25"/>
        <v>733150</v>
      </c>
      <c r="AG32" s="282">
        <f t="shared" si="26"/>
        <v>0</v>
      </c>
      <c r="AH32" s="282">
        <f t="shared" si="27"/>
        <v>0</v>
      </c>
      <c r="AI32" s="282">
        <f t="shared" si="28"/>
        <v>0</v>
      </c>
      <c r="AJ32" s="282">
        <f t="shared" si="29"/>
        <v>14266850</v>
      </c>
      <c r="AK32" s="283">
        <f t="shared" si="30"/>
        <v>15000000</v>
      </c>
      <c r="AL32" s="276">
        <f t="shared" si="31"/>
        <v>0</v>
      </c>
      <c r="AM32" s="283">
        <f t="shared" si="32"/>
        <v>14266850</v>
      </c>
      <c r="AN32" s="284">
        <f t="shared" si="33"/>
        <v>0.048876666666666665</v>
      </c>
      <c r="AO32" s="285">
        <v>0</v>
      </c>
      <c r="AP32" s="285">
        <f>+AC32/Q32</f>
        <v>1</v>
      </c>
      <c r="AQ32" s="285">
        <v>0</v>
      </c>
      <c r="AR32" s="285">
        <v>0</v>
      </c>
    </row>
    <row r="33" spans="1:44" ht="15" customHeight="1" thickBot="1">
      <c r="A33" s="286" t="s">
        <v>51</v>
      </c>
      <c r="B33" s="287">
        <f aca="true" t="shared" si="36" ref="B33:J33">SUM(B25:B32)</f>
        <v>127932456.892452</v>
      </c>
      <c r="C33" s="287">
        <f t="shared" si="36"/>
        <v>0</v>
      </c>
      <c r="D33" s="287">
        <f t="shared" si="36"/>
        <v>0</v>
      </c>
      <c r="E33" s="287">
        <f t="shared" si="36"/>
        <v>0</v>
      </c>
      <c r="F33" s="287">
        <f t="shared" si="36"/>
        <v>0</v>
      </c>
      <c r="G33" s="287">
        <f>SUM(G25:G32)</f>
        <v>0</v>
      </c>
      <c r="H33" s="287">
        <f t="shared" si="36"/>
        <v>0</v>
      </c>
      <c r="I33" s="287">
        <f t="shared" si="36"/>
        <v>127932456.892452</v>
      </c>
      <c r="J33" s="287">
        <f t="shared" si="36"/>
        <v>42935797.3475</v>
      </c>
      <c r="K33" s="287"/>
      <c r="L33" s="287">
        <f aca="true" t="shared" si="37" ref="L33:X33">SUM(L25:L32)</f>
        <v>-7978443.3475</v>
      </c>
      <c r="M33" s="287">
        <f t="shared" si="37"/>
        <v>34957354</v>
      </c>
      <c r="N33" s="287">
        <f t="shared" si="37"/>
        <v>19377589</v>
      </c>
      <c r="O33" s="287">
        <f t="shared" si="37"/>
        <v>0</v>
      </c>
      <c r="P33" s="287">
        <f t="shared" si="37"/>
        <v>-1829536</v>
      </c>
      <c r="Q33" s="287">
        <f t="shared" si="37"/>
        <v>17548053</v>
      </c>
      <c r="R33" s="287">
        <f t="shared" si="37"/>
        <v>27658927.273025</v>
      </c>
      <c r="S33" s="287">
        <f t="shared" si="37"/>
        <v>0</v>
      </c>
      <c r="T33" s="287"/>
      <c r="U33" s="287">
        <f t="shared" si="37"/>
        <v>-6367740</v>
      </c>
      <c r="V33" s="287">
        <f t="shared" si="37"/>
        <v>21291187.273025</v>
      </c>
      <c r="W33" s="287">
        <f t="shared" si="37"/>
        <v>54134771.619427</v>
      </c>
      <c r="X33" s="287">
        <f t="shared" si="37"/>
        <v>0</v>
      </c>
      <c r="Y33" s="287"/>
      <c r="Z33" s="287">
        <f aca="true" t="shared" si="38" ref="Z33:AM33">SUM(Z25:Z32)</f>
        <v>54134771.619427</v>
      </c>
      <c r="AA33" s="287">
        <f t="shared" si="38"/>
        <v>127931365.892452</v>
      </c>
      <c r="AB33" s="287">
        <f t="shared" si="38"/>
        <v>34957354</v>
      </c>
      <c r="AC33" s="287">
        <f t="shared" si="38"/>
        <v>17548053</v>
      </c>
      <c r="AD33" s="287">
        <f t="shared" si="38"/>
        <v>21291186.68</v>
      </c>
      <c r="AE33" s="287">
        <f t="shared" si="38"/>
        <v>27173532</v>
      </c>
      <c r="AF33" s="287">
        <f t="shared" si="38"/>
        <v>100970125.68</v>
      </c>
      <c r="AG33" s="287">
        <f t="shared" si="38"/>
        <v>0</v>
      </c>
      <c r="AH33" s="287">
        <f t="shared" si="38"/>
        <v>0</v>
      </c>
      <c r="AI33" s="287">
        <f t="shared" si="38"/>
        <v>0.5930249998345971</v>
      </c>
      <c r="AJ33" s="287">
        <f>SUM(AJ25:AJ32)</f>
        <v>26961239.619427003</v>
      </c>
      <c r="AK33" s="287">
        <f t="shared" si="38"/>
        <v>127931365.892452</v>
      </c>
      <c r="AL33" s="287">
        <f t="shared" si="38"/>
        <v>1091</v>
      </c>
      <c r="AM33" s="287">
        <f t="shared" si="38"/>
        <v>26961240.212452002</v>
      </c>
      <c r="AN33" s="288">
        <f t="shared" si="33"/>
        <v>0.789245576397253</v>
      </c>
      <c r="AO33" s="288">
        <f>+AB33/M33</f>
        <v>1</v>
      </c>
      <c r="AP33" s="288">
        <f>+AC33/Q33</f>
        <v>1</v>
      </c>
      <c r="AQ33" s="288">
        <f>+AD33/V33</f>
        <v>0.9999999721469267</v>
      </c>
      <c r="AR33" s="288">
        <f>+AE33/Z33</f>
        <v>0.5019607765417894</v>
      </c>
    </row>
    <row r="34" spans="1:44" ht="15" customHeight="1">
      <c r="A34" s="268"/>
      <c r="B34" s="267"/>
      <c r="C34" s="298"/>
      <c r="D34" s="298"/>
      <c r="E34" s="298"/>
      <c r="F34" s="298"/>
      <c r="G34" s="298"/>
      <c r="H34" s="298"/>
      <c r="I34" s="267"/>
      <c r="J34" s="267"/>
      <c r="K34" s="267"/>
      <c r="L34" s="267"/>
      <c r="M34" s="267"/>
      <c r="N34" s="267"/>
      <c r="O34" s="298"/>
      <c r="P34" s="267"/>
      <c r="Q34" s="267"/>
      <c r="R34" s="266"/>
      <c r="S34" s="266"/>
      <c r="T34" s="266"/>
      <c r="U34" s="266"/>
      <c r="V34" s="267"/>
      <c r="W34" s="267"/>
      <c r="X34" s="267"/>
      <c r="Y34" s="268"/>
      <c r="Z34" s="268"/>
      <c r="AA34" s="267"/>
      <c r="AB34" s="267"/>
      <c r="AC34" s="267"/>
      <c r="AD34" s="267"/>
      <c r="AE34" s="268"/>
      <c r="AF34" s="267"/>
      <c r="AG34" s="267"/>
      <c r="AH34" s="267"/>
      <c r="AI34" s="267"/>
      <c r="AJ34" s="267"/>
      <c r="AK34" s="267"/>
      <c r="AL34" s="269"/>
      <c r="AM34" s="269"/>
      <c r="AN34" s="299"/>
      <c r="AO34" s="270"/>
      <c r="AP34" s="270"/>
      <c r="AQ34" s="270"/>
      <c r="AR34" s="270"/>
    </row>
    <row r="35" spans="1:44" ht="15" customHeight="1" thickBot="1">
      <c r="A35" s="300" t="s">
        <v>52</v>
      </c>
      <c r="B35" s="301"/>
      <c r="C35" s="302"/>
      <c r="D35" s="302"/>
      <c r="E35" s="302"/>
      <c r="F35" s="302"/>
      <c r="G35" s="302"/>
      <c r="H35" s="302"/>
      <c r="I35" s="301"/>
      <c r="J35" s="301"/>
      <c r="K35" s="301"/>
      <c r="L35" s="282"/>
      <c r="M35" s="282"/>
      <c r="N35" s="282"/>
      <c r="O35" s="302"/>
      <c r="P35" s="282"/>
      <c r="Q35" s="282"/>
      <c r="R35" s="295"/>
      <c r="S35" s="333"/>
      <c r="T35" s="295"/>
      <c r="U35" s="295"/>
      <c r="V35" s="282"/>
      <c r="W35" s="282"/>
      <c r="X35" s="282"/>
      <c r="Y35" s="271"/>
      <c r="Z35" s="271"/>
      <c r="AA35" s="282"/>
      <c r="AB35" s="282"/>
      <c r="AC35" s="282"/>
      <c r="AD35" s="282"/>
      <c r="AE35" s="271"/>
      <c r="AF35" s="282"/>
      <c r="AG35" s="282"/>
      <c r="AH35" s="282"/>
      <c r="AI35" s="282"/>
      <c r="AJ35" s="282"/>
      <c r="AK35" s="282"/>
      <c r="AL35" s="283"/>
      <c r="AM35" s="283"/>
      <c r="AN35" s="303"/>
      <c r="AO35" s="304"/>
      <c r="AP35" s="304"/>
      <c r="AQ35" s="304"/>
      <c r="AR35" s="304"/>
    </row>
    <row r="36" spans="1:44" ht="15" customHeight="1" thickBot="1">
      <c r="A36" s="287" t="s">
        <v>86</v>
      </c>
      <c r="B36" s="287">
        <f aca="true" t="shared" si="39" ref="B36:J36">+B38+B48+B53+B58</f>
        <v>2260118760.375</v>
      </c>
      <c r="C36" s="287">
        <f t="shared" si="39"/>
        <v>0</v>
      </c>
      <c r="D36" s="287">
        <f t="shared" si="39"/>
        <v>0</v>
      </c>
      <c r="E36" s="287">
        <f t="shared" si="39"/>
        <v>0</v>
      </c>
      <c r="F36" s="287">
        <f t="shared" si="39"/>
        <v>-382411608</v>
      </c>
      <c r="G36" s="287">
        <f>+G38+G48+G53+G58</f>
        <v>-2450000</v>
      </c>
      <c r="H36" s="287">
        <f t="shared" si="39"/>
        <v>0</v>
      </c>
      <c r="I36" s="287">
        <f t="shared" si="39"/>
        <v>1875257152.375</v>
      </c>
      <c r="J36" s="287">
        <f t="shared" si="39"/>
        <v>368382008</v>
      </c>
      <c r="K36" s="287"/>
      <c r="L36" s="287">
        <f aca="true" t="shared" si="40" ref="L36:X36">+L38+L48+L53+L58</f>
        <v>-30063718.00000021</v>
      </c>
      <c r="M36" s="287">
        <f t="shared" si="40"/>
        <v>338318289.99999976</v>
      </c>
      <c r="N36" s="287">
        <f t="shared" si="40"/>
        <v>504579769</v>
      </c>
      <c r="O36" s="287">
        <f t="shared" si="40"/>
        <v>0</v>
      </c>
      <c r="P36" s="287">
        <f t="shared" si="40"/>
        <v>-12927301</v>
      </c>
      <c r="Q36" s="287">
        <f t="shared" si="40"/>
        <v>415186710</v>
      </c>
      <c r="R36" s="287">
        <f t="shared" si="40"/>
        <v>505221319</v>
      </c>
      <c r="S36" s="287">
        <f t="shared" si="40"/>
        <v>0</v>
      </c>
      <c r="T36" s="287"/>
      <c r="U36" s="287">
        <f t="shared" si="40"/>
        <v>-51217484.99999985</v>
      </c>
      <c r="V36" s="287">
        <f t="shared" si="40"/>
        <v>454003834.0000001</v>
      </c>
      <c r="W36" s="287">
        <f t="shared" si="40"/>
        <v>670181255.3750002</v>
      </c>
      <c r="X36" s="287">
        <f t="shared" si="40"/>
        <v>-2450000</v>
      </c>
      <c r="Y36" s="287"/>
      <c r="Z36" s="287">
        <f aca="true" t="shared" si="41" ref="Z36:AM36">+Z38+Z48+Z53+Z58</f>
        <v>667731255.3750002</v>
      </c>
      <c r="AA36" s="287">
        <f t="shared" si="41"/>
        <v>1875240089.3750005</v>
      </c>
      <c r="AB36" s="287">
        <f t="shared" si="41"/>
        <v>338318289.99999976</v>
      </c>
      <c r="AC36" s="287">
        <f t="shared" si="41"/>
        <v>415186710</v>
      </c>
      <c r="AD36" s="287">
        <f t="shared" si="41"/>
        <v>454003834.0000001</v>
      </c>
      <c r="AE36" s="287">
        <f t="shared" si="41"/>
        <v>537738434.9500002</v>
      </c>
      <c r="AF36" s="287">
        <f t="shared" si="41"/>
        <v>1745247268.95</v>
      </c>
      <c r="AG36" s="287">
        <f t="shared" si="41"/>
        <v>0</v>
      </c>
      <c r="AH36" s="287">
        <f t="shared" si="41"/>
        <v>0</v>
      </c>
      <c r="AI36" s="287">
        <f t="shared" si="41"/>
        <v>0</v>
      </c>
      <c r="AJ36" s="287">
        <f>+AJ38+AJ48+AJ53+AJ58</f>
        <v>129992820.42500006</v>
      </c>
      <c r="AK36" s="287">
        <f t="shared" si="41"/>
        <v>1875240089.3750005</v>
      </c>
      <c r="AL36" s="287">
        <f t="shared" si="41"/>
        <v>17063</v>
      </c>
      <c r="AM36" s="287">
        <f t="shared" si="41"/>
        <v>121992820.42500013</v>
      </c>
      <c r="AN36" s="288">
        <f>+AF36/I36</f>
        <v>0.9306709038489237</v>
      </c>
      <c r="AO36" s="288">
        <f>+AB36/M36</f>
        <v>1</v>
      </c>
      <c r="AP36" s="288">
        <f>+AC36/Q36</f>
        <v>1</v>
      </c>
      <c r="AQ36" s="288">
        <f>+AD36/V36</f>
        <v>1</v>
      </c>
      <c r="AR36" s="288">
        <f>+AE36/W36</f>
        <v>0.8023776114852815</v>
      </c>
    </row>
    <row r="37" spans="1:44" ht="15" customHeight="1">
      <c r="A37" s="305"/>
      <c r="B37" s="265"/>
      <c r="C37" s="296"/>
      <c r="D37" s="296"/>
      <c r="E37" s="296"/>
      <c r="F37" s="296"/>
      <c r="G37" s="296"/>
      <c r="H37" s="296"/>
      <c r="I37" s="306"/>
      <c r="J37" s="306"/>
      <c r="K37" s="306"/>
      <c r="L37" s="306"/>
      <c r="M37" s="306"/>
      <c r="N37" s="306"/>
      <c r="O37" s="296"/>
      <c r="P37" s="296"/>
      <c r="Q37" s="306"/>
      <c r="R37" s="306"/>
      <c r="S37" s="306"/>
      <c r="T37" s="306"/>
      <c r="U37" s="306"/>
      <c r="V37" s="306"/>
      <c r="W37" s="306"/>
      <c r="X37" s="306"/>
      <c r="Y37" s="306"/>
      <c r="Z37" s="306"/>
      <c r="AA37" s="306"/>
      <c r="AB37" s="306"/>
      <c r="AC37" s="306"/>
      <c r="AD37" s="306"/>
      <c r="AE37" s="306"/>
      <c r="AF37" s="306"/>
      <c r="AG37" s="306"/>
      <c r="AH37" s="306"/>
      <c r="AI37" s="306"/>
      <c r="AJ37" s="306"/>
      <c r="AK37" s="306"/>
      <c r="AL37" s="306"/>
      <c r="AM37" s="306"/>
      <c r="AN37" s="307"/>
      <c r="AO37" s="308"/>
      <c r="AP37" s="308"/>
      <c r="AQ37" s="308"/>
      <c r="AR37" s="270"/>
    </row>
    <row r="38" spans="1:45" ht="15" customHeight="1">
      <c r="A38" s="309" t="s">
        <v>87</v>
      </c>
      <c r="B38" s="272">
        <f aca="true" t="shared" si="42" ref="B38:J38">+B39+B42+SUM(B45:B47)</f>
        <v>1738258330.845</v>
      </c>
      <c r="C38" s="272">
        <f t="shared" si="42"/>
        <v>0</v>
      </c>
      <c r="D38" s="272">
        <f t="shared" si="42"/>
        <v>0</v>
      </c>
      <c r="E38" s="272">
        <f t="shared" si="42"/>
        <v>-12380000</v>
      </c>
      <c r="F38" s="272">
        <f t="shared" si="42"/>
        <v>-403411608</v>
      </c>
      <c r="G38" s="272">
        <f t="shared" si="42"/>
        <v>-2450000</v>
      </c>
      <c r="H38" s="272">
        <f t="shared" si="42"/>
        <v>0</v>
      </c>
      <c r="I38" s="272">
        <f t="shared" si="42"/>
        <v>1320016722.845</v>
      </c>
      <c r="J38" s="272">
        <f t="shared" si="42"/>
        <v>198351204</v>
      </c>
      <c r="K38" s="272"/>
      <c r="L38" s="272">
        <f aca="true" t="shared" si="43" ref="L38:X38">+L39+L42+SUM(L45:L47)</f>
        <v>-6103838.000000209</v>
      </c>
      <c r="M38" s="272">
        <f t="shared" si="43"/>
        <v>192247365.9999998</v>
      </c>
      <c r="N38" s="272">
        <f t="shared" si="43"/>
        <v>359259908</v>
      </c>
      <c r="O38" s="272">
        <f t="shared" si="43"/>
        <v>0</v>
      </c>
      <c r="P38" s="272">
        <f t="shared" si="43"/>
        <v>-11117228</v>
      </c>
      <c r="Q38" s="272">
        <f t="shared" si="43"/>
        <v>271676922</v>
      </c>
      <c r="R38" s="272">
        <f t="shared" si="43"/>
        <v>369579281</v>
      </c>
      <c r="S38" s="272">
        <f t="shared" si="43"/>
        <v>0</v>
      </c>
      <c r="T38" s="272"/>
      <c r="U38" s="272">
        <f t="shared" si="43"/>
        <v>-29531912.99999985</v>
      </c>
      <c r="V38" s="272">
        <f t="shared" si="43"/>
        <v>340047368.0000001</v>
      </c>
      <c r="W38" s="272">
        <f t="shared" si="43"/>
        <v>518495066.84500027</v>
      </c>
      <c r="X38" s="272">
        <f t="shared" si="43"/>
        <v>-2450000</v>
      </c>
      <c r="Y38" s="272"/>
      <c r="Z38" s="272">
        <f aca="true" t="shared" si="44" ref="Z38:AM38">+Z39+Z42+SUM(Z45:Z47)</f>
        <v>516045066.84500027</v>
      </c>
      <c r="AA38" s="272">
        <f t="shared" si="44"/>
        <v>1320016722.8450003</v>
      </c>
      <c r="AB38" s="389">
        <f t="shared" si="44"/>
        <v>192247365.9999998</v>
      </c>
      <c r="AC38" s="389">
        <f t="shared" si="44"/>
        <v>271676922</v>
      </c>
      <c r="AD38" s="389">
        <f t="shared" si="44"/>
        <v>340047368.0000001</v>
      </c>
      <c r="AE38" s="389">
        <f t="shared" si="44"/>
        <v>395213563.0000002</v>
      </c>
      <c r="AF38" s="389">
        <f>+AF39+AF42+SUM(AF45:AF47)</f>
        <v>1199185219</v>
      </c>
      <c r="AG38" s="292">
        <f t="shared" si="44"/>
        <v>0</v>
      </c>
      <c r="AH38" s="272">
        <f t="shared" si="44"/>
        <v>0</v>
      </c>
      <c r="AI38" s="272">
        <f t="shared" si="44"/>
        <v>0</v>
      </c>
      <c r="AJ38" s="272">
        <f>+AJ39+AJ42+SUM(AJ45:AJ47)</f>
        <v>120831503.84500006</v>
      </c>
      <c r="AK38" s="272">
        <f t="shared" si="44"/>
        <v>1320016722.8450003</v>
      </c>
      <c r="AL38" s="272">
        <f t="shared" si="44"/>
        <v>0</v>
      </c>
      <c r="AM38" s="272">
        <f t="shared" si="44"/>
        <v>120831503.84500012</v>
      </c>
      <c r="AN38" s="310">
        <f aca="true" t="shared" si="45" ref="AN38:AN44">+AF38/I38</f>
        <v>0.9084621416124374</v>
      </c>
      <c r="AO38" s="310">
        <f>+AB38/M38</f>
        <v>1</v>
      </c>
      <c r="AP38" s="310">
        <f>+AC38/Q38</f>
        <v>1</v>
      </c>
      <c r="AQ38" s="310">
        <f>+AD38/V38</f>
        <v>1</v>
      </c>
      <c r="AR38" s="310">
        <f aca="true" t="shared" si="46" ref="AR38:AR44">+AE38/Z38</f>
        <v>0.7658508692201235</v>
      </c>
      <c r="AS38" s="311"/>
    </row>
    <row r="39" spans="1:44" ht="15" customHeight="1" hidden="1" outlineLevel="1">
      <c r="A39" s="312" t="s">
        <v>137</v>
      </c>
      <c r="B39" s="274">
        <f aca="true" t="shared" si="47" ref="B39:G39">+SUM(B40:B41)</f>
        <v>1027674434</v>
      </c>
      <c r="C39" s="274">
        <f t="shared" si="47"/>
        <v>0</v>
      </c>
      <c r="D39" s="274">
        <f t="shared" si="47"/>
        <v>0</v>
      </c>
      <c r="E39" s="274">
        <f t="shared" si="47"/>
        <v>0</v>
      </c>
      <c r="F39" s="274">
        <f t="shared" si="47"/>
        <v>15167532</v>
      </c>
      <c r="G39" s="274">
        <f t="shared" si="47"/>
        <v>-2450000</v>
      </c>
      <c r="H39" s="274"/>
      <c r="I39" s="274">
        <f aca="true" t="shared" si="48" ref="I39:I47">SUM(B39:H39)</f>
        <v>1040391966</v>
      </c>
      <c r="J39" s="283">
        <f>+SUM(J40:J41)</f>
        <v>174705904</v>
      </c>
      <c r="K39" s="283"/>
      <c r="L39" s="283">
        <f>+SUM(L40:L41)</f>
        <v>-4462413.000000209</v>
      </c>
      <c r="M39" s="274">
        <f>+SUM(M40:M41)</f>
        <v>170243490.9999998</v>
      </c>
      <c r="N39" s="274">
        <f>+SUM(N40:N41)</f>
        <v>302804377</v>
      </c>
      <c r="O39" s="274"/>
      <c r="P39" s="274"/>
      <c r="Q39" s="274">
        <f aca="true" t="shared" si="49" ref="Q39:W39">+SUM(Q40:Q41)</f>
        <v>226338619.00000003</v>
      </c>
      <c r="R39" s="274">
        <f t="shared" si="49"/>
        <v>317079281</v>
      </c>
      <c r="S39" s="274">
        <f t="shared" si="49"/>
        <v>0</v>
      </c>
      <c r="T39" s="274"/>
      <c r="U39" s="274">
        <f t="shared" si="49"/>
        <v>-27717282.99999985</v>
      </c>
      <c r="V39" s="274">
        <f t="shared" si="49"/>
        <v>289361998.0000001</v>
      </c>
      <c r="W39" s="274">
        <f t="shared" si="49"/>
        <v>356897858.00000024</v>
      </c>
      <c r="X39" s="274">
        <f>+SUM(X40:X41)</f>
        <v>-2450000</v>
      </c>
      <c r="Y39" s="283"/>
      <c r="Z39" s="283">
        <f aca="true" t="shared" si="50" ref="Z39:AM39">+SUM(Z40:Z41)</f>
        <v>354447858.00000024</v>
      </c>
      <c r="AA39" s="274">
        <f t="shared" si="50"/>
        <v>1040391966.0000002</v>
      </c>
      <c r="AB39" s="390">
        <f t="shared" si="50"/>
        <v>170243490.9999998</v>
      </c>
      <c r="AC39" s="390">
        <f t="shared" si="50"/>
        <v>226338619.00000003</v>
      </c>
      <c r="AD39" s="390">
        <f t="shared" si="50"/>
        <v>289361998.0000001</v>
      </c>
      <c r="AE39" s="390">
        <f t="shared" si="50"/>
        <v>334049992.0000002</v>
      </c>
      <c r="AF39" s="390">
        <f>+SUM(AF40:AF41)</f>
        <v>1019994100.0000001</v>
      </c>
      <c r="AG39" s="274">
        <f t="shared" si="50"/>
        <v>0</v>
      </c>
      <c r="AH39" s="274">
        <f t="shared" si="50"/>
        <v>0</v>
      </c>
      <c r="AI39" s="274">
        <f t="shared" si="50"/>
        <v>0</v>
      </c>
      <c r="AJ39" s="274">
        <f>+SUM(AJ40:AJ41)</f>
        <v>20397866.00000006</v>
      </c>
      <c r="AK39" s="276">
        <f t="shared" si="50"/>
        <v>1040391966.0000002</v>
      </c>
      <c r="AL39" s="276">
        <f t="shared" si="50"/>
        <v>0</v>
      </c>
      <c r="AM39" s="276">
        <f t="shared" si="50"/>
        <v>20397866.00000012</v>
      </c>
      <c r="AN39" s="278">
        <f t="shared" si="45"/>
        <v>0.9803940565992415</v>
      </c>
      <c r="AO39" s="278">
        <v>0</v>
      </c>
      <c r="AP39" s="278">
        <f>+AC39/Q39</f>
        <v>1</v>
      </c>
      <c r="AQ39" s="278">
        <f>+AD39/V39</f>
        <v>1</v>
      </c>
      <c r="AR39" s="278">
        <f t="shared" si="46"/>
        <v>0.9424517159869533</v>
      </c>
    </row>
    <row r="40" spans="1:44" ht="15" customHeight="1" hidden="1" outlineLevel="2">
      <c r="A40" s="312" t="s">
        <v>121</v>
      </c>
      <c r="B40" s="274">
        <f>659415239+16342126</f>
        <v>675757365</v>
      </c>
      <c r="C40" s="295"/>
      <c r="D40" s="295"/>
      <c r="E40" s="274"/>
      <c r="F40" s="274"/>
      <c r="G40" s="274"/>
      <c r="H40" s="274"/>
      <c r="I40" s="274">
        <f t="shared" si="48"/>
        <v>675757365</v>
      </c>
      <c r="J40" s="283">
        <v>139764723</v>
      </c>
      <c r="K40" s="283"/>
      <c r="L40" s="274">
        <v>-3569930.200000167</v>
      </c>
      <c r="M40" s="274">
        <f>SUM(J40:L40)</f>
        <v>136194792.79999983</v>
      </c>
      <c r="N40" s="283">
        <v>191681680</v>
      </c>
      <c r="O40" s="295"/>
      <c r="P40" s="274">
        <f>+AC40-N40-O40</f>
        <v>-32068034.800000012</v>
      </c>
      <c r="Q40" s="274">
        <f>+SUM(N40:P40)</f>
        <v>159613645.2</v>
      </c>
      <c r="R40" s="283">
        <v>186274980</v>
      </c>
      <c r="S40" s="283"/>
      <c r="T40" s="283"/>
      <c r="U40" s="283">
        <f aca="true" t="shared" si="51" ref="U40:U47">-R40+AD40</f>
        <v>-23946331.600000054</v>
      </c>
      <c r="V40" s="283">
        <f>+SUM(R40:U40)</f>
        <v>162328648.39999995</v>
      </c>
      <c r="W40" s="283">
        <v>217620278.60000023</v>
      </c>
      <c r="X40" s="274"/>
      <c r="Y40" s="313"/>
      <c r="Z40" s="275">
        <f>+SUM(W40:Y40)</f>
        <v>217620278.60000023</v>
      </c>
      <c r="AA40" s="274">
        <f>+M40+Q40+V40+Z40</f>
        <v>675757365</v>
      </c>
      <c r="AB40" s="388">
        <f>+'[4]ECO ENE-MAR-11'!$G$154</f>
        <v>136194792.79999983</v>
      </c>
      <c r="AC40" s="388">
        <f>+'[4]ECO ABR-JUN-11'!$G$180</f>
        <v>159613645.2</v>
      </c>
      <c r="AD40" s="388">
        <f>+'[4]ECO JUL-SEP-11'!$G$168</f>
        <v>162328648.39999995</v>
      </c>
      <c r="AE40" s="388">
        <f>+'[4]ECO OCT-DIC-11'!$G$194</f>
        <v>214885774.40000007</v>
      </c>
      <c r="AF40" s="388">
        <f>SUM(AB40:AE40)</f>
        <v>673022860.7999998</v>
      </c>
      <c r="AG40" s="274">
        <f>+M40-AB40</f>
        <v>0</v>
      </c>
      <c r="AH40" s="274">
        <f>+Q40-AC40</f>
        <v>0</v>
      </c>
      <c r="AI40" s="274">
        <f>+V40-AD40</f>
        <v>0</v>
      </c>
      <c r="AJ40" s="274">
        <f>+Z40-AE40</f>
        <v>2734504.200000167</v>
      </c>
      <c r="AK40" s="276">
        <f>+AA40</f>
        <v>675757365</v>
      </c>
      <c r="AL40" s="276">
        <f>+I40-AK40</f>
        <v>0</v>
      </c>
      <c r="AM40" s="276">
        <f aca="true" t="shared" si="52" ref="AM40:AM47">+AK40-AF40</f>
        <v>2734504.200000167</v>
      </c>
      <c r="AN40" s="278">
        <f t="shared" si="45"/>
        <v>0.9959534230159665</v>
      </c>
      <c r="AO40" s="278">
        <v>0</v>
      </c>
      <c r="AP40" s="278">
        <f>+AC40/Q40</f>
        <v>1</v>
      </c>
      <c r="AQ40" s="278">
        <f>+AD40/V40</f>
        <v>1</v>
      </c>
      <c r="AR40" s="278">
        <f t="shared" si="46"/>
        <v>0.9874345156729334</v>
      </c>
    </row>
    <row r="41" spans="1:44" ht="15" customHeight="1" hidden="1" outlineLevel="2">
      <c r="A41" s="312" t="s">
        <v>125</v>
      </c>
      <c r="B41" s="274">
        <f>340370162+11546907</f>
        <v>351917069</v>
      </c>
      <c r="C41" s="295"/>
      <c r="D41" s="295"/>
      <c r="E41" s="274"/>
      <c r="F41" s="274">
        <v>15167532</v>
      </c>
      <c r="G41" s="274">
        <v>-2450000</v>
      </c>
      <c r="H41" s="274"/>
      <c r="I41" s="274">
        <f t="shared" si="48"/>
        <v>364634601</v>
      </c>
      <c r="J41" s="283">
        <v>34941181</v>
      </c>
      <c r="K41" s="283"/>
      <c r="L41" s="274">
        <v>-892482.8000000417</v>
      </c>
      <c r="M41" s="274">
        <f>SUM(J41:L41)</f>
        <v>34048698.19999996</v>
      </c>
      <c r="N41" s="283">
        <v>111122697</v>
      </c>
      <c r="O41" s="295"/>
      <c r="P41" s="274">
        <f>+AC41-N41-O41</f>
        <v>-44397723.19999996</v>
      </c>
      <c r="Q41" s="274">
        <f>+SUM(N41:P41)</f>
        <v>66724973.80000004</v>
      </c>
      <c r="R41" s="283">
        <v>130804301</v>
      </c>
      <c r="S41" s="283"/>
      <c r="T41" s="283"/>
      <c r="U41" s="283">
        <f t="shared" si="51"/>
        <v>-3770951.3999997973</v>
      </c>
      <c r="V41" s="283">
        <f>+SUM(R41:U41)</f>
        <v>127033349.6000002</v>
      </c>
      <c r="W41" s="283">
        <f>139277579.4</f>
        <v>139277579.4</v>
      </c>
      <c r="X41" s="274">
        <v>-2450000</v>
      </c>
      <c r="Y41" s="313"/>
      <c r="Z41" s="275">
        <f>+SUM(W41:Y41)</f>
        <v>136827579.4</v>
      </c>
      <c r="AA41" s="274">
        <f>+M41+Q41+V41+Z41</f>
        <v>364634601.00000024</v>
      </c>
      <c r="AB41" s="388">
        <f>+'[4]ECO ENE-MAR-11'!$G$302</f>
        <v>34048698.19999996</v>
      </c>
      <c r="AC41" s="388">
        <f>+'[4]ECO ABR-JUN-11'!$G$332</f>
        <v>66724973.80000004</v>
      </c>
      <c r="AD41" s="388">
        <f>+'[4]ECO JUL-SEP-11'!$G$300</f>
        <v>127033349.6000002</v>
      </c>
      <c r="AE41" s="388">
        <f>+'[4]ECO OCT-DIC-11'!$G$377</f>
        <v>119164217.60000011</v>
      </c>
      <c r="AF41" s="388">
        <f>SUM(AB41:AE41)</f>
        <v>346971239.2000003</v>
      </c>
      <c r="AG41" s="274">
        <f>+M41-AB41</f>
        <v>0</v>
      </c>
      <c r="AH41" s="274">
        <f>+Q41-AC41</f>
        <v>0</v>
      </c>
      <c r="AI41" s="274">
        <f>+V41-AD41</f>
        <v>0</v>
      </c>
      <c r="AJ41" s="274">
        <f>+Z41-AE41</f>
        <v>17663361.799999893</v>
      </c>
      <c r="AK41" s="276">
        <f>+AA41</f>
        <v>364634601.00000024</v>
      </c>
      <c r="AL41" s="276">
        <f>+I41-AK41</f>
        <v>0</v>
      </c>
      <c r="AM41" s="276">
        <f t="shared" si="52"/>
        <v>17663361.799999952</v>
      </c>
      <c r="AN41" s="278">
        <f t="shared" si="45"/>
        <v>0.9515587337253282</v>
      </c>
      <c r="AO41" s="278">
        <v>0</v>
      </c>
      <c r="AP41" s="278">
        <f>+AC41/Q41</f>
        <v>1</v>
      </c>
      <c r="AQ41" s="278">
        <f>+AD41/V41</f>
        <v>1</v>
      </c>
      <c r="AR41" s="278">
        <f t="shared" si="46"/>
        <v>0.8709078836484928</v>
      </c>
    </row>
    <row r="42" spans="1:44" ht="15" customHeight="1" hidden="1" outlineLevel="2">
      <c r="A42" s="312" t="s">
        <v>138</v>
      </c>
      <c r="B42" s="274">
        <f>+SUM(B43:B44)</f>
        <v>527079140</v>
      </c>
      <c r="C42" s="274">
        <f>+SUM(C43:C44)</f>
        <v>0</v>
      </c>
      <c r="D42" s="274">
        <f>+SUM(D43:D44)</f>
        <v>0</v>
      </c>
      <c r="E42" s="274">
        <f>+SUM(E43:E44)</f>
        <v>0</v>
      </c>
      <c r="F42" s="274">
        <f>+SUM(F43:F44)</f>
        <v>-427079140</v>
      </c>
      <c r="G42" s="274"/>
      <c r="H42" s="274"/>
      <c r="I42" s="274">
        <f t="shared" si="48"/>
        <v>100000000</v>
      </c>
      <c r="J42" s="274">
        <f>+SUM(J43:J44)</f>
        <v>0</v>
      </c>
      <c r="K42" s="274"/>
      <c r="L42" s="274"/>
      <c r="M42" s="274">
        <f>+SUM(M43:M44)</f>
        <v>0</v>
      </c>
      <c r="N42" s="274">
        <f>+SUM(N43:N44)</f>
        <v>0</v>
      </c>
      <c r="O42" s="274"/>
      <c r="P42" s="274"/>
      <c r="Q42" s="274">
        <f>+SUM(Q43:Q44)</f>
        <v>0</v>
      </c>
      <c r="R42" s="274">
        <f>+SUM(R43:R44)</f>
        <v>0</v>
      </c>
      <c r="S42" s="274"/>
      <c r="T42" s="274"/>
      <c r="U42" s="283">
        <f t="shared" si="51"/>
        <v>0</v>
      </c>
      <c r="V42" s="274">
        <f>+SUM(V43:V44)</f>
        <v>0</v>
      </c>
      <c r="W42" s="274">
        <f>+SUM(W43:W44)</f>
        <v>100000000</v>
      </c>
      <c r="X42" s="274">
        <f>+SUM(X43:X44)</f>
        <v>0</v>
      </c>
      <c r="Y42" s="274"/>
      <c r="Z42" s="274">
        <f aca="true" t="shared" si="53" ref="Z42:AL42">+SUM(Z43:Z44)</f>
        <v>100000000</v>
      </c>
      <c r="AA42" s="274">
        <f t="shared" si="53"/>
        <v>100000000</v>
      </c>
      <c r="AB42" s="388">
        <f t="shared" si="53"/>
        <v>0</v>
      </c>
      <c r="AC42" s="388">
        <f t="shared" si="53"/>
        <v>0</v>
      </c>
      <c r="AD42" s="388">
        <f t="shared" si="53"/>
        <v>0</v>
      </c>
      <c r="AE42" s="388">
        <f t="shared" si="53"/>
        <v>0</v>
      </c>
      <c r="AF42" s="388">
        <f t="shared" si="53"/>
        <v>0</v>
      </c>
      <c r="AG42" s="274">
        <f t="shared" si="53"/>
        <v>0</v>
      </c>
      <c r="AH42" s="274">
        <f t="shared" si="53"/>
        <v>0</v>
      </c>
      <c r="AI42" s="274">
        <f t="shared" si="53"/>
        <v>0</v>
      </c>
      <c r="AJ42" s="274">
        <f>+SUM(AJ43:AJ44)</f>
        <v>100000000</v>
      </c>
      <c r="AK42" s="276">
        <f t="shared" si="53"/>
        <v>100000000</v>
      </c>
      <c r="AL42" s="276">
        <f t="shared" si="53"/>
        <v>0</v>
      </c>
      <c r="AM42" s="276">
        <f t="shared" si="52"/>
        <v>100000000</v>
      </c>
      <c r="AN42" s="278">
        <f t="shared" si="45"/>
        <v>0</v>
      </c>
      <c r="AO42" s="278">
        <v>0</v>
      </c>
      <c r="AP42" s="374">
        <v>1</v>
      </c>
      <c r="AQ42" s="374">
        <v>1</v>
      </c>
      <c r="AR42" s="278">
        <f t="shared" si="46"/>
        <v>0</v>
      </c>
    </row>
    <row r="43" spans="1:44" ht="15" customHeight="1" hidden="1" outlineLevel="2">
      <c r="A43" s="312" t="s">
        <v>121</v>
      </c>
      <c r="B43" s="274">
        <f>443974538-3108168</f>
        <v>440866370</v>
      </c>
      <c r="C43" s="295"/>
      <c r="D43" s="295"/>
      <c r="E43" s="274"/>
      <c r="F43" s="274">
        <v>-400866370</v>
      </c>
      <c r="G43" s="274"/>
      <c r="H43" s="274"/>
      <c r="I43" s="274">
        <f t="shared" si="48"/>
        <v>40000000</v>
      </c>
      <c r="J43" s="283">
        <v>0</v>
      </c>
      <c r="K43" s="283"/>
      <c r="L43" s="283"/>
      <c r="M43" s="274">
        <f>SUM(J43:L43)</f>
        <v>0</v>
      </c>
      <c r="N43" s="283">
        <v>0</v>
      </c>
      <c r="O43" s="295"/>
      <c r="P43" s="274">
        <f>+AC43-N43-O43</f>
        <v>0</v>
      </c>
      <c r="Q43" s="274">
        <f>+SUM(N43:P43)</f>
        <v>0</v>
      </c>
      <c r="R43" s="283"/>
      <c r="S43" s="283"/>
      <c r="T43" s="283"/>
      <c r="U43" s="283">
        <f t="shared" si="51"/>
        <v>0</v>
      </c>
      <c r="V43" s="283">
        <f>+'[2]ECO JUL-SEP10'!$G$445</f>
        <v>0</v>
      </c>
      <c r="W43" s="283">
        <v>40000000</v>
      </c>
      <c r="X43" s="283"/>
      <c r="Y43" s="313"/>
      <c r="Z43" s="275">
        <f aca="true" t="shared" si="54" ref="Z43:Z51">+SUM(W43:Y43)</f>
        <v>40000000</v>
      </c>
      <c r="AA43" s="274">
        <f>+M43+Q43+V43+Z43</f>
        <v>40000000</v>
      </c>
      <c r="AB43" s="388">
        <f>+'[4]ECO ENE-MAR-11'!$G$451</f>
        <v>0</v>
      </c>
      <c r="AC43" s="388"/>
      <c r="AD43" s="388">
        <f>+'[4]ECO JUL-SEP-11'!$G$433</f>
        <v>0</v>
      </c>
      <c r="AE43" s="388">
        <f>+'[4]ECO OCT-DIC-11'!$G$561</f>
        <v>0</v>
      </c>
      <c r="AF43" s="388">
        <f>SUM(AB43:AE43)</f>
        <v>0</v>
      </c>
      <c r="AG43" s="274">
        <f>+M43-AB43</f>
        <v>0</v>
      </c>
      <c r="AH43" s="274">
        <f>+Q43-AC43</f>
        <v>0</v>
      </c>
      <c r="AI43" s="274">
        <f>+V43-AD43</f>
        <v>0</v>
      </c>
      <c r="AJ43" s="274">
        <f>+Z43-AE43</f>
        <v>40000000</v>
      </c>
      <c r="AK43" s="276">
        <f>+AA43</f>
        <v>40000000</v>
      </c>
      <c r="AL43" s="276">
        <f>+I43-AK43</f>
        <v>0</v>
      </c>
      <c r="AM43" s="276">
        <f t="shared" si="52"/>
        <v>40000000</v>
      </c>
      <c r="AN43" s="278">
        <f t="shared" si="45"/>
        <v>0</v>
      </c>
      <c r="AO43" s="278">
        <v>0</v>
      </c>
      <c r="AP43" s="374">
        <v>1</v>
      </c>
      <c r="AQ43" s="374">
        <v>1</v>
      </c>
      <c r="AR43" s="278">
        <f t="shared" si="46"/>
        <v>0</v>
      </c>
    </row>
    <row r="44" spans="1:44" ht="15" customHeight="1" hidden="1" outlineLevel="2">
      <c r="A44" s="312" t="s">
        <v>125</v>
      </c>
      <c r="B44" s="274">
        <f>110993635-27889033+3108168</f>
        <v>86212770</v>
      </c>
      <c r="C44" s="295"/>
      <c r="D44" s="295"/>
      <c r="E44" s="274"/>
      <c r="F44" s="274">
        <v>-26212770</v>
      </c>
      <c r="G44" s="274"/>
      <c r="H44" s="388"/>
      <c r="I44" s="274">
        <f t="shared" si="48"/>
        <v>60000000</v>
      </c>
      <c r="J44" s="283">
        <v>0</v>
      </c>
      <c r="K44" s="283"/>
      <c r="L44" s="283"/>
      <c r="M44" s="274">
        <f>SUM(J44:L44)</f>
        <v>0</v>
      </c>
      <c r="N44" s="283">
        <v>0</v>
      </c>
      <c r="O44" s="295"/>
      <c r="P44" s="274">
        <f>+AC44-N44-O44</f>
        <v>0</v>
      </c>
      <c r="Q44" s="274">
        <f>+SUM(N44:P44)</f>
        <v>0</v>
      </c>
      <c r="R44" s="283"/>
      <c r="S44" s="283"/>
      <c r="T44" s="283"/>
      <c r="U44" s="283">
        <f t="shared" si="51"/>
        <v>0</v>
      </c>
      <c r="V44" s="283">
        <f>+'[2]ECO JUL-SEP10'!$G$449</f>
        <v>0</v>
      </c>
      <c r="W44" s="283">
        <v>60000000</v>
      </c>
      <c r="X44" s="283"/>
      <c r="Y44" s="313"/>
      <c r="Z44" s="275">
        <f t="shared" si="54"/>
        <v>60000000</v>
      </c>
      <c r="AA44" s="274">
        <f>+M44+Q44+V44+Z44</f>
        <v>60000000</v>
      </c>
      <c r="AB44" s="388">
        <f>+'[4]ECO ENE-MAR-11'!$G$455</f>
        <v>0</v>
      </c>
      <c r="AC44" s="388"/>
      <c r="AD44" s="388">
        <f>+'[4]ECO JUL-SEP-11'!$G$437</f>
        <v>0</v>
      </c>
      <c r="AE44" s="388">
        <f>+'[4]ECO OCT-DIC-11'!$G$565</f>
        <v>0</v>
      </c>
      <c r="AF44" s="388">
        <f>SUM(AB44:AE44)</f>
        <v>0</v>
      </c>
      <c r="AG44" s="274">
        <f>+M44-AB44</f>
        <v>0</v>
      </c>
      <c r="AH44" s="274">
        <f>+Q44-AC44</f>
        <v>0</v>
      </c>
      <c r="AI44" s="274">
        <f>+V44-AD44</f>
        <v>0</v>
      </c>
      <c r="AJ44" s="274">
        <f>+Z44-AE44</f>
        <v>60000000</v>
      </c>
      <c r="AK44" s="276">
        <f>+AA44</f>
        <v>60000000</v>
      </c>
      <c r="AL44" s="276">
        <f>+I44-AK44</f>
        <v>0</v>
      </c>
      <c r="AM44" s="276">
        <f t="shared" si="52"/>
        <v>60000000</v>
      </c>
      <c r="AN44" s="278">
        <f t="shared" si="45"/>
        <v>0</v>
      </c>
      <c r="AO44" s="278">
        <v>0</v>
      </c>
      <c r="AP44" s="374">
        <v>1</v>
      </c>
      <c r="AQ44" s="374">
        <v>1</v>
      </c>
      <c r="AR44" s="278">
        <f t="shared" si="46"/>
        <v>0</v>
      </c>
    </row>
    <row r="45" spans="1:44" ht="15" customHeight="1" hidden="1" outlineLevel="1">
      <c r="A45" s="312" t="s">
        <v>114</v>
      </c>
      <c r="B45" s="274">
        <v>20314190</v>
      </c>
      <c r="C45" s="295"/>
      <c r="D45" s="295"/>
      <c r="E45" s="295">
        <v>-2900000</v>
      </c>
      <c r="F45" s="295">
        <v>8500000</v>
      </c>
      <c r="G45" s="295"/>
      <c r="H45" s="424">
        <v>4000000</v>
      </c>
      <c r="I45" s="274">
        <f t="shared" si="48"/>
        <v>29914190</v>
      </c>
      <c r="J45" s="283">
        <v>3197440</v>
      </c>
      <c r="K45" s="283"/>
      <c r="L45" s="274">
        <v>-1435040</v>
      </c>
      <c r="M45" s="274">
        <f>SUM(J45:L45)</f>
        <v>1762400</v>
      </c>
      <c r="N45" s="283">
        <v>8111950</v>
      </c>
      <c r="O45" s="295"/>
      <c r="P45" s="274">
        <f>+AC45-N45-O45</f>
        <v>-2114700</v>
      </c>
      <c r="Q45" s="274">
        <f>+SUM(N45:P45)</f>
        <v>5997250</v>
      </c>
      <c r="R45" s="283">
        <v>2500000</v>
      </c>
      <c r="S45" s="283"/>
      <c r="T45" s="283"/>
      <c r="U45" s="283">
        <f t="shared" si="51"/>
        <v>-163588</v>
      </c>
      <c r="V45" s="283">
        <f>+SUM(R45:U45)</f>
        <v>2336412</v>
      </c>
      <c r="W45" s="283">
        <f>15818128+4000000</f>
        <v>19818128</v>
      </c>
      <c r="X45" s="283"/>
      <c r="Y45" s="313"/>
      <c r="Z45" s="275">
        <f t="shared" si="54"/>
        <v>19818128</v>
      </c>
      <c r="AA45" s="274">
        <f>+M45+Q45+V45+Z45</f>
        <v>29914190</v>
      </c>
      <c r="AB45" s="388">
        <f>+'[4]ECO ENE-MAR-11'!$G$459</f>
        <v>1762400</v>
      </c>
      <c r="AC45" s="388">
        <f>+'[4]ECO ABR-JUN-11'!$G$494</f>
        <v>5997250</v>
      </c>
      <c r="AD45" s="388">
        <f>+'[4]ECO JUL-SEP-11'!$G$441</f>
        <v>2336412</v>
      </c>
      <c r="AE45" s="388">
        <f>+'[4]ECO OCT-DIC-11'!$G$569</f>
        <v>19563408</v>
      </c>
      <c r="AF45" s="388">
        <f>SUM(AB45:AE45)</f>
        <v>29659470</v>
      </c>
      <c r="AG45" s="274">
        <f>+M45-AB45</f>
        <v>0</v>
      </c>
      <c r="AH45" s="274">
        <f>+Q45-AC45</f>
        <v>0</v>
      </c>
      <c r="AI45" s="274">
        <f>+V45-AD45</f>
        <v>0</v>
      </c>
      <c r="AJ45" s="274">
        <f>+Z45-AE45</f>
        <v>254720</v>
      </c>
      <c r="AK45" s="276">
        <f>+AA45</f>
        <v>29914190</v>
      </c>
      <c r="AL45" s="276">
        <f>+I45-AK45</f>
        <v>0</v>
      </c>
      <c r="AM45" s="276">
        <f t="shared" si="52"/>
        <v>254720</v>
      </c>
      <c r="AN45" s="278">
        <f aca="true" t="shared" si="55" ref="AN45:AN51">+AF45/I45</f>
        <v>0.9914849775307304</v>
      </c>
      <c r="AO45" s="278">
        <f>+AB45/M45</f>
        <v>1</v>
      </c>
      <c r="AP45" s="278">
        <f aca="true" t="shared" si="56" ref="AP45:AP51">+AC45/Q45</f>
        <v>1</v>
      </c>
      <c r="AQ45" s="278">
        <f aca="true" t="shared" si="57" ref="AQ45:AQ51">+AD45/V45</f>
        <v>1</v>
      </c>
      <c r="AR45" s="278">
        <f aca="true" t="shared" si="58" ref="AR45:AR51">+AE45/Z45</f>
        <v>0.9871471210600719</v>
      </c>
    </row>
    <row r="46" spans="1:44" ht="15" customHeight="1" hidden="1" outlineLevel="1">
      <c r="A46" s="312" t="s">
        <v>115</v>
      </c>
      <c r="B46" s="274">
        <v>121690566.845</v>
      </c>
      <c r="C46" s="295"/>
      <c r="D46" s="295"/>
      <c r="E46" s="295">
        <v>-9480000</v>
      </c>
      <c r="F46" s="295"/>
      <c r="G46" s="295"/>
      <c r="H46" s="424">
        <f>-4000000+240000</f>
        <v>-3760000</v>
      </c>
      <c r="I46" s="274">
        <f t="shared" si="48"/>
        <v>108450566.845</v>
      </c>
      <c r="J46" s="283">
        <v>13947860</v>
      </c>
      <c r="K46" s="283"/>
      <c r="L46" s="274">
        <v>-82</v>
      </c>
      <c r="M46" s="274">
        <f>SUM(J46:L46)</f>
        <v>13947778</v>
      </c>
      <c r="N46" s="283">
        <v>36343581</v>
      </c>
      <c r="O46" s="295"/>
      <c r="P46" s="274">
        <f>+AC46-N46-O46</f>
        <v>-6505317</v>
      </c>
      <c r="Q46" s="274">
        <f>+SUM(N46:P46)</f>
        <v>29838264</v>
      </c>
      <c r="R46" s="283">
        <v>36000000</v>
      </c>
      <c r="S46" s="283"/>
      <c r="T46" s="283"/>
      <c r="U46" s="283">
        <f t="shared" si="51"/>
        <v>-1410643</v>
      </c>
      <c r="V46" s="283">
        <f>+SUM(R46:U46)</f>
        <v>34589357</v>
      </c>
      <c r="W46" s="283">
        <f>33835167.845-4000000+240000</f>
        <v>30075167.845</v>
      </c>
      <c r="X46" s="283">
        <v>0</v>
      </c>
      <c r="Y46" s="313"/>
      <c r="Z46" s="275">
        <f>+SUM(W46:Y46)</f>
        <v>30075167.845</v>
      </c>
      <c r="AA46" s="274">
        <f>+M46+Q46+V46+Z46</f>
        <v>108450566.845</v>
      </c>
      <c r="AB46" s="388">
        <f>+'[4]ECO ENE-MAR-11'!$G$465</f>
        <v>13947778</v>
      </c>
      <c r="AC46" s="388">
        <f>+'[4]ECO ABR-JUN-11'!$G$504</f>
        <v>29838264</v>
      </c>
      <c r="AD46" s="388">
        <f>+'[4]ECO JUL-SEP-11'!$G$450</f>
        <v>34589357</v>
      </c>
      <c r="AE46" s="388">
        <f>+'[4]ECO OCT-DIC-11'!$G$586</f>
        <v>29924278</v>
      </c>
      <c r="AF46" s="388">
        <f>SUM(AB46:AE46)</f>
        <v>108299677</v>
      </c>
      <c r="AG46" s="274">
        <f>+M46-AB46</f>
        <v>0</v>
      </c>
      <c r="AH46" s="274">
        <f>+Q46-AC46</f>
        <v>0</v>
      </c>
      <c r="AI46" s="274">
        <f>+V46-AD46</f>
        <v>0</v>
      </c>
      <c r="AJ46" s="274">
        <f>+Z46-AE46</f>
        <v>150889.8449999988</v>
      </c>
      <c r="AK46" s="276">
        <f>+AA46</f>
        <v>108450566.845</v>
      </c>
      <c r="AL46" s="276">
        <f>+I46-AK46</f>
        <v>0</v>
      </c>
      <c r="AM46" s="276">
        <f t="shared" si="52"/>
        <v>150889.8449999988</v>
      </c>
      <c r="AN46" s="278">
        <f t="shared" si="55"/>
        <v>0.9986086762901327</v>
      </c>
      <c r="AO46" s="278">
        <f>+AB46/M46</f>
        <v>1</v>
      </c>
      <c r="AP46" s="278">
        <f t="shared" si="56"/>
        <v>1</v>
      </c>
      <c r="AQ46" s="278">
        <f t="shared" si="57"/>
        <v>1</v>
      </c>
      <c r="AR46" s="278">
        <f t="shared" si="58"/>
        <v>0.994982909296545</v>
      </c>
    </row>
    <row r="47" spans="1:44" ht="15" customHeight="1" hidden="1" outlineLevel="1">
      <c r="A47" s="312" t="s">
        <v>116</v>
      </c>
      <c r="B47" s="274">
        <v>41500000</v>
      </c>
      <c r="C47" s="295"/>
      <c r="D47" s="295"/>
      <c r="E47" s="295"/>
      <c r="F47" s="295"/>
      <c r="G47" s="295"/>
      <c r="H47" s="424">
        <v>-240000</v>
      </c>
      <c r="I47" s="274">
        <f t="shared" si="48"/>
        <v>41260000</v>
      </c>
      <c r="J47" s="283">
        <v>6500000</v>
      </c>
      <c r="K47" s="283"/>
      <c r="L47" s="274">
        <v>-206303</v>
      </c>
      <c r="M47" s="274">
        <f>SUM(J47:L47)</f>
        <v>6293697</v>
      </c>
      <c r="N47" s="283">
        <v>12000000</v>
      </c>
      <c r="O47" s="295"/>
      <c r="P47" s="274">
        <f>+AC47-N47-O47</f>
        <v>-2497211</v>
      </c>
      <c r="Q47" s="274">
        <f>+SUM(N47:P47)</f>
        <v>9502789</v>
      </c>
      <c r="R47" s="283">
        <v>14000000</v>
      </c>
      <c r="S47" s="283"/>
      <c r="T47" s="283"/>
      <c r="U47" s="283">
        <f t="shared" si="51"/>
        <v>-240399</v>
      </c>
      <c r="V47" s="283">
        <f>+SUM(R47:U47)</f>
        <v>13759601</v>
      </c>
      <c r="W47" s="283">
        <f>11943913-240000</f>
        <v>11703913</v>
      </c>
      <c r="X47" s="283">
        <v>0</v>
      </c>
      <c r="Y47" s="313"/>
      <c r="Z47" s="275">
        <f t="shared" si="54"/>
        <v>11703913</v>
      </c>
      <c r="AA47" s="274">
        <f>+M47+Q47+V47+Z47</f>
        <v>41260000</v>
      </c>
      <c r="AB47" s="388">
        <f>+'[4]ECO ENE-MAR-11'!$G$486</f>
        <v>6293697</v>
      </c>
      <c r="AC47" s="388">
        <f>+'[4]ECO ABR-JUN-11'!$G$539</f>
        <v>9502789</v>
      </c>
      <c r="AD47" s="388">
        <f>+'[4]ECO JUL-SEP-11'!$G$495</f>
        <v>13759601</v>
      </c>
      <c r="AE47" s="388">
        <f>+'[4]ECO OCT-DIC-11'!$G$629</f>
        <v>11675885</v>
      </c>
      <c r="AF47" s="388">
        <f>SUM(AB47:AE47)</f>
        <v>41231972</v>
      </c>
      <c r="AG47" s="274">
        <f>+M47-AB47</f>
        <v>0</v>
      </c>
      <c r="AH47" s="274">
        <f>+Q47-AC47</f>
        <v>0</v>
      </c>
      <c r="AI47" s="274">
        <f>+V47-AD47</f>
        <v>0</v>
      </c>
      <c r="AJ47" s="274">
        <f>+Z47-AE47</f>
        <v>28028</v>
      </c>
      <c r="AK47" s="276">
        <f>+AA47</f>
        <v>41260000</v>
      </c>
      <c r="AL47" s="276">
        <f>+I47-AK47</f>
        <v>0</v>
      </c>
      <c r="AM47" s="276">
        <f t="shared" si="52"/>
        <v>28028</v>
      </c>
      <c r="AN47" s="278">
        <f t="shared" si="55"/>
        <v>0.999320698012603</v>
      </c>
      <c r="AO47" s="278">
        <f>+AB47/M47</f>
        <v>1</v>
      </c>
      <c r="AP47" s="278">
        <f t="shared" si="56"/>
        <v>1</v>
      </c>
      <c r="AQ47" s="278">
        <f t="shared" si="57"/>
        <v>1</v>
      </c>
      <c r="AR47" s="278">
        <f t="shared" si="58"/>
        <v>0.9976052453568307</v>
      </c>
    </row>
    <row r="48" spans="1:45" ht="15" customHeight="1" collapsed="1">
      <c r="A48" s="309" t="s">
        <v>88</v>
      </c>
      <c r="B48" s="272">
        <f>SUM(B49:B51)</f>
        <v>106635767.4</v>
      </c>
      <c r="C48" s="272">
        <f>SUM(C49:C51)</f>
        <v>0</v>
      </c>
      <c r="D48" s="272">
        <f>SUM(D49:D51)</f>
        <v>0</v>
      </c>
      <c r="E48" s="272">
        <f>SUM(E49:E51)</f>
        <v>0</v>
      </c>
      <c r="F48" s="272">
        <f>SUM(F49:F51)</f>
        <v>15000000</v>
      </c>
      <c r="G48" s="314"/>
      <c r="H48" s="314"/>
      <c r="I48" s="301">
        <f>SUM(I49:I51)</f>
        <v>121635767.4</v>
      </c>
      <c r="J48" s="301">
        <f>SUM(J49:J51)</f>
        <v>23432928</v>
      </c>
      <c r="K48" s="301"/>
      <c r="L48" s="301">
        <f>SUM(L49:L51)</f>
        <v>-5415096</v>
      </c>
      <c r="M48" s="301">
        <f>SUM(M49:M52)</f>
        <v>18017832</v>
      </c>
      <c r="N48" s="301">
        <f>SUM(N49:N52)</f>
        <v>34080319</v>
      </c>
      <c r="O48" s="314">
        <f>SUM(O49:O51)</f>
        <v>0</v>
      </c>
      <c r="P48" s="314">
        <f>SUM(P49:P51)</f>
        <v>-496164</v>
      </c>
      <c r="Q48" s="301">
        <f aca="true" t="shared" si="59" ref="Q48:X48">SUM(Q49:Q52)</f>
        <v>33584155</v>
      </c>
      <c r="R48" s="301">
        <f t="shared" si="59"/>
        <v>33916366</v>
      </c>
      <c r="S48" s="301">
        <f t="shared" si="59"/>
        <v>0</v>
      </c>
      <c r="T48" s="301"/>
      <c r="U48" s="301">
        <f t="shared" si="59"/>
        <v>-11493555</v>
      </c>
      <c r="V48" s="301">
        <f t="shared" si="59"/>
        <v>22422811</v>
      </c>
      <c r="W48" s="301">
        <f>SUM(W49:W52)</f>
        <v>47610969.400000006</v>
      </c>
      <c r="X48" s="301">
        <f t="shared" si="59"/>
        <v>0</v>
      </c>
      <c r="Y48" s="301"/>
      <c r="Z48" s="301">
        <f aca="true" t="shared" si="60" ref="Z48:AM48">SUM(Z49:Z52)</f>
        <v>47610969.400000006</v>
      </c>
      <c r="AA48" s="301">
        <f t="shared" si="60"/>
        <v>121635767.4</v>
      </c>
      <c r="AB48" s="391">
        <f t="shared" si="60"/>
        <v>18017832</v>
      </c>
      <c r="AC48" s="391">
        <f t="shared" si="60"/>
        <v>33584155</v>
      </c>
      <c r="AD48" s="391">
        <f t="shared" si="60"/>
        <v>22422811</v>
      </c>
      <c r="AE48" s="391">
        <f t="shared" si="60"/>
        <v>47610968.95</v>
      </c>
      <c r="AF48" s="391">
        <f>SUM(AF49:AF52)</f>
        <v>121635766.95</v>
      </c>
      <c r="AG48" s="301">
        <f t="shared" si="60"/>
        <v>0</v>
      </c>
      <c r="AH48" s="301">
        <f t="shared" si="60"/>
        <v>0</v>
      </c>
      <c r="AI48" s="301">
        <f t="shared" si="60"/>
        <v>0</v>
      </c>
      <c r="AJ48" s="301">
        <f>SUM(AJ49:AJ52)</f>
        <v>0.45000000670552254</v>
      </c>
      <c r="AK48" s="301">
        <f t="shared" si="60"/>
        <v>121635767.4</v>
      </c>
      <c r="AL48" s="301">
        <f t="shared" si="60"/>
        <v>0</v>
      </c>
      <c r="AM48" s="301">
        <f t="shared" si="60"/>
        <v>0.45000000670552254</v>
      </c>
      <c r="AN48" s="310">
        <f t="shared" si="55"/>
        <v>0.9999999963004302</v>
      </c>
      <c r="AO48" s="310">
        <f>+AB48/M48</f>
        <v>1</v>
      </c>
      <c r="AP48" s="310">
        <f t="shared" si="56"/>
        <v>1</v>
      </c>
      <c r="AQ48" s="310">
        <f t="shared" si="57"/>
        <v>1</v>
      </c>
      <c r="AR48" s="310">
        <f t="shared" si="58"/>
        <v>0.9999999905483965</v>
      </c>
      <c r="AS48" s="311"/>
    </row>
    <row r="49" spans="1:44" ht="15" customHeight="1" hidden="1" outlineLevel="1">
      <c r="A49" s="312" t="s">
        <v>89</v>
      </c>
      <c r="B49" s="274">
        <v>35349600</v>
      </c>
      <c r="C49" s="295"/>
      <c r="D49" s="295"/>
      <c r="E49" s="295"/>
      <c r="F49" s="295"/>
      <c r="G49" s="295"/>
      <c r="H49" s="295"/>
      <c r="I49" s="274">
        <f>SUM(B49:H49)</f>
        <v>35349600</v>
      </c>
      <c r="J49" s="283">
        <v>8837400</v>
      </c>
      <c r="K49" s="283"/>
      <c r="L49" s="274">
        <v>0</v>
      </c>
      <c r="M49" s="274">
        <f>SUM(J49:L49)</f>
        <v>8837400</v>
      </c>
      <c r="N49" s="283">
        <v>8837400</v>
      </c>
      <c r="O49" s="295"/>
      <c r="P49" s="274">
        <f>+AC49-N49-O49</f>
        <v>0</v>
      </c>
      <c r="Q49" s="274">
        <f>+SUM(N49:P49)</f>
        <v>8837400</v>
      </c>
      <c r="R49" s="283">
        <v>8837400</v>
      </c>
      <c r="S49" s="283"/>
      <c r="T49" s="283"/>
      <c r="U49" s="283">
        <f>-R49+AD49</f>
        <v>-2945800</v>
      </c>
      <c r="V49" s="283">
        <f>+SUM(R49:U49)</f>
        <v>5891600</v>
      </c>
      <c r="W49" s="283">
        <v>11783200</v>
      </c>
      <c r="X49" s="283"/>
      <c r="Y49" s="313"/>
      <c r="Z49" s="275">
        <f t="shared" si="54"/>
        <v>11783200</v>
      </c>
      <c r="AA49" s="274">
        <f>+M49+Q49+V49+Z49</f>
        <v>35349600</v>
      </c>
      <c r="AB49" s="388">
        <f>+'[4]ECO ENE-MAR-11'!$G$510</f>
        <v>8837400</v>
      </c>
      <c r="AC49" s="388">
        <f>+'[4]ECO ABR-JUN-11'!$G$562</f>
        <v>8837400</v>
      </c>
      <c r="AD49" s="388">
        <f>+'[4]ECO JUL-SEP-11'!$G$521</f>
        <v>5891600</v>
      </c>
      <c r="AE49" s="388">
        <f>+'[4]ECO OCT-DIC-11'!$G$650</f>
        <v>11783200</v>
      </c>
      <c r="AF49" s="388">
        <f>SUM(AB49:AE49)</f>
        <v>35349600</v>
      </c>
      <c r="AG49" s="274">
        <f>+M49-AB49</f>
        <v>0</v>
      </c>
      <c r="AH49" s="274">
        <f>+Q49-AC49</f>
        <v>0</v>
      </c>
      <c r="AI49" s="274">
        <f>+V49-AD49</f>
        <v>0</v>
      </c>
      <c r="AJ49" s="274">
        <f>+Z49-AE49</f>
        <v>0</v>
      </c>
      <c r="AK49" s="276">
        <f>+AA49</f>
        <v>35349600</v>
      </c>
      <c r="AL49" s="315">
        <f>+I49-AK49</f>
        <v>0</v>
      </c>
      <c r="AM49" s="276">
        <f>+AK49-AF49</f>
        <v>0</v>
      </c>
      <c r="AN49" s="278">
        <f t="shared" si="55"/>
        <v>1</v>
      </c>
      <c r="AO49" s="278">
        <f>+AB49/M49</f>
        <v>1</v>
      </c>
      <c r="AP49" s="278">
        <f t="shared" si="56"/>
        <v>1</v>
      </c>
      <c r="AQ49" s="278">
        <f t="shared" si="57"/>
        <v>1</v>
      </c>
      <c r="AR49" s="278">
        <f t="shared" si="58"/>
        <v>1</v>
      </c>
    </row>
    <row r="50" spans="1:44" ht="15" customHeight="1" hidden="1" outlineLevel="1">
      <c r="A50" s="312" t="s">
        <v>90</v>
      </c>
      <c r="B50" s="274">
        <v>15000000</v>
      </c>
      <c r="C50" s="295"/>
      <c r="D50" s="295"/>
      <c r="E50" s="295"/>
      <c r="F50" s="295">
        <v>15000000</v>
      </c>
      <c r="G50" s="295"/>
      <c r="H50" s="295"/>
      <c r="I50" s="274">
        <f>SUM(B50:H50)</f>
        <v>30000000</v>
      </c>
      <c r="J50" s="283">
        <v>5000000</v>
      </c>
      <c r="K50" s="283"/>
      <c r="L50" s="274">
        <v>-5000000</v>
      </c>
      <c r="M50" s="274">
        <f>SUM(J50:L50)</f>
        <v>0</v>
      </c>
      <c r="N50" s="283">
        <f>15000000-4590216</f>
        <v>10409784</v>
      </c>
      <c r="O50" s="295"/>
      <c r="P50" s="274">
        <f>+AC50-N50-O50</f>
        <v>0</v>
      </c>
      <c r="Q50" s="274">
        <f>+SUM(N50:P50)</f>
        <v>10409784</v>
      </c>
      <c r="R50" s="283">
        <v>4590216</v>
      </c>
      <c r="S50" s="283"/>
      <c r="T50" s="283"/>
      <c r="U50" s="283">
        <f>-R50+AD50</f>
        <v>-3267559</v>
      </c>
      <c r="V50" s="283">
        <f>+SUM(R50:U50)</f>
        <v>1322657</v>
      </c>
      <c r="W50" s="283">
        <v>18267559</v>
      </c>
      <c r="X50" s="283"/>
      <c r="Y50" s="313"/>
      <c r="Z50" s="275">
        <f t="shared" si="54"/>
        <v>18267559</v>
      </c>
      <c r="AA50" s="274">
        <f>+M50+Q50+V50+Z50</f>
        <v>30000000</v>
      </c>
      <c r="AB50" s="388">
        <f>+'[4]ECO ENE-MAR-11'!$G$516</f>
        <v>0</v>
      </c>
      <c r="AC50" s="388">
        <f>+'[4]ECO ABR-JUN-11'!$G$569</f>
        <v>10409784</v>
      </c>
      <c r="AD50" s="388">
        <f>+'[4]ECO JUL-SEP-11'!$G$527</f>
        <v>1322657</v>
      </c>
      <c r="AE50" s="388">
        <f>+'[4]ECO OCT-DIC-11'!$G$659</f>
        <v>18267558.95</v>
      </c>
      <c r="AF50" s="388">
        <f>SUM(AB50:AE50)</f>
        <v>29999999.95</v>
      </c>
      <c r="AG50" s="274">
        <f>+M50-AB50</f>
        <v>0</v>
      </c>
      <c r="AH50" s="274">
        <f>+Q50-AC50</f>
        <v>0</v>
      </c>
      <c r="AI50" s="274">
        <f>+V50-AD50</f>
        <v>0</v>
      </c>
      <c r="AJ50" s="274">
        <f>+Z50-AE50</f>
        <v>0.05000000074505806</v>
      </c>
      <c r="AK50" s="276">
        <f>+AA50</f>
        <v>30000000</v>
      </c>
      <c r="AL50" s="315">
        <f>+I50-AK50</f>
        <v>0</v>
      </c>
      <c r="AM50" s="276">
        <f>+AK50-AF50</f>
        <v>0.05000000074505806</v>
      </c>
      <c r="AN50" s="278">
        <f t="shared" si="55"/>
        <v>0.9999999983333333</v>
      </c>
      <c r="AO50" s="278">
        <v>0</v>
      </c>
      <c r="AP50" s="278">
        <f t="shared" si="56"/>
        <v>1</v>
      </c>
      <c r="AQ50" s="278">
        <f t="shared" si="57"/>
        <v>1</v>
      </c>
      <c r="AR50" s="278">
        <f t="shared" si="58"/>
        <v>0.9999999972629073</v>
      </c>
    </row>
    <row r="51" spans="1:44" ht="15" customHeight="1" hidden="1" outlineLevel="1">
      <c r="A51" s="312" t="s">
        <v>188</v>
      </c>
      <c r="B51" s="274">
        <v>56286167.400000006</v>
      </c>
      <c r="C51" s="295"/>
      <c r="D51" s="295"/>
      <c r="E51" s="295"/>
      <c r="F51" s="295"/>
      <c r="G51" s="295"/>
      <c r="H51" s="295"/>
      <c r="I51" s="274">
        <f>SUM(B51:H51)</f>
        <v>56286167.400000006</v>
      </c>
      <c r="J51" s="283">
        <v>9595528</v>
      </c>
      <c r="K51" s="283"/>
      <c r="L51" s="274">
        <v>-415096</v>
      </c>
      <c r="M51" s="274">
        <f>SUM(J51:L51)</f>
        <v>9180432</v>
      </c>
      <c r="N51" s="283">
        <f>10242919+4590216</f>
        <v>14833135</v>
      </c>
      <c r="O51" s="295"/>
      <c r="P51" s="274">
        <f>+AC51-N51-O51</f>
        <v>-496164</v>
      </c>
      <c r="Q51" s="274">
        <f>+SUM(N51:P51)</f>
        <v>14336971</v>
      </c>
      <c r="R51" s="283">
        <v>20488750</v>
      </c>
      <c r="S51" s="283"/>
      <c r="T51" s="283"/>
      <c r="U51" s="283">
        <f>-R51+AD51</f>
        <v>-5280196</v>
      </c>
      <c r="V51" s="283">
        <f>+SUM(R51:U51)</f>
        <v>15208554</v>
      </c>
      <c r="W51" s="283">
        <v>17560210.400000006</v>
      </c>
      <c r="X51" s="283"/>
      <c r="Y51" s="313"/>
      <c r="Z51" s="275">
        <f t="shared" si="54"/>
        <v>17560210.400000006</v>
      </c>
      <c r="AA51" s="274">
        <f>+M51+Q51+V51+Z51</f>
        <v>56286167.400000006</v>
      </c>
      <c r="AB51" s="388">
        <f>+'[4]ECO ENE-MAR-11'!$G$521</f>
        <v>9180432</v>
      </c>
      <c r="AC51" s="388">
        <f>+'[4]ECO ABR-JUN-11'!$G$575</f>
        <v>14336971</v>
      </c>
      <c r="AD51" s="388">
        <f>+'[4]ECO JUL-SEP-11'!$G$532</f>
        <v>15208554</v>
      </c>
      <c r="AE51" s="388">
        <f>+'[4]ECO OCT-DIC-11'!$G$672</f>
        <v>17560210</v>
      </c>
      <c r="AF51" s="388">
        <f>SUM(AB51:AE51)</f>
        <v>56286167</v>
      </c>
      <c r="AG51" s="274">
        <f>+M51-AB51</f>
        <v>0</v>
      </c>
      <c r="AH51" s="274">
        <f>+Q51-AC51</f>
        <v>0</v>
      </c>
      <c r="AI51" s="274">
        <f>+V51-AD51</f>
        <v>0</v>
      </c>
      <c r="AJ51" s="274">
        <f>+Z51-AE51</f>
        <v>0.4000000059604645</v>
      </c>
      <c r="AK51" s="276">
        <f>+AA51</f>
        <v>56286167.400000006</v>
      </c>
      <c r="AL51" s="315">
        <f>+I51-AK51</f>
        <v>0</v>
      </c>
      <c r="AM51" s="276">
        <f>+AK51-AF51</f>
        <v>0.4000000059604645</v>
      </c>
      <c r="AN51" s="278">
        <f t="shared" si="55"/>
        <v>0.9999999928934581</v>
      </c>
      <c r="AO51" s="278">
        <f>+AB51/M51</f>
        <v>1</v>
      </c>
      <c r="AP51" s="278">
        <f t="shared" si="56"/>
        <v>1</v>
      </c>
      <c r="AQ51" s="278">
        <f t="shared" si="57"/>
        <v>1</v>
      </c>
      <c r="AR51" s="278">
        <f t="shared" si="58"/>
        <v>0.9999999772212294</v>
      </c>
    </row>
    <row r="52" spans="1:44" ht="15" customHeight="1" hidden="1" outlineLevel="1">
      <c r="A52" s="312"/>
      <c r="B52" s="274"/>
      <c r="C52" s="295"/>
      <c r="D52" s="295"/>
      <c r="E52" s="295"/>
      <c r="F52" s="295"/>
      <c r="G52" s="295"/>
      <c r="H52" s="295"/>
      <c r="I52" s="274"/>
      <c r="J52" s="283"/>
      <c r="K52" s="283"/>
      <c r="L52" s="274"/>
      <c r="M52" s="274"/>
      <c r="N52" s="283">
        <v>0</v>
      </c>
      <c r="O52" s="295"/>
      <c r="P52" s="274">
        <f>+AC52-N52-O52</f>
        <v>0</v>
      </c>
      <c r="Q52" s="274"/>
      <c r="R52" s="283"/>
      <c r="S52" s="283"/>
      <c r="T52" s="283"/>
      <c r="U52" s="283"/>
      <c r="V52" s="283"/>
      <c r="W52" s="283"/>
      <c r="X52" s="283"/>
      <c r="Y52" s="313"/>
      <c r="Z52" s="275"/>
      <c r="AA52" s="274"/>
      <c r="AB52" s="388"/>
      <c r="AC52" s="388"/>
      <c r="AD52" s="388"/>
      <c r="AE52" s="388"/>
      <c r="AF52" s="388"/>
      <c r="AG52" s="274"/>
      <c r="AH52" s="282"/>
      <c r="AI52" s="274"/>
      <c r="AJ52" s="282"/>
      <c r="AK52" s="283"/>
      <c r="AL52" s="315">
        <f>+I52-AK52</f>
        <v>0</v>
      </c>
      <c r="AM52" s="283"/>
      <c r="AN52" s="278"/>
      <c r="AO52" s="278"/>
      <c r="AP52" s="278"/>
      <c r="AQ52" s="278"/>
      <c r="AR52" s="278"/>
    </row>
    <row r="53" spans="1:45" ht="15" customHeight="1" collapsed="1">
      <c r="A53" s="309" t="s">
        <v>91</v>
      </c>
      <c r="B53" s="272">
        <f>+SUM(B54:B57)</f>
        <v>184955619.13</v>
      </c>
      <c r="C53" s="272">
        <f>+SUM(C54:C57)</f>
        <v>0</v>
      </c>
      <c r="D53" s="272">
        <f>+SUM(D54:D57)</f>
        <v>0</v>
      </c>
      <c r="E53" s="272">
        <f>+SUM(E54:E57)</f>
        <v>20000000</v>
      </c>
      <c r="F53" s="272">
        <f>+SUM(F54:F57)</f>
        <v>6000000</v>
      </c>
      <c r="G53" s="272"/>
      <c r="H53" s="272"/>
      <c r="I53" s="272">
        <f>+SUM(I54:I57)</f>
        <v>210955619.13</v>
      </c>
      <c r="J53" s="272">
        <f>+SUM(J54:J57)</f>
        <v>89732217</v>
      </c>
      <c r="K53" s="272"/>
      <c r="L53" s="272">
        <f aca="true" t="shared" si="61" ref="L53:X53">+SUM(L54:L57)</f>
        <v>-7633468</v>
      </c>
      <c r="M53" s="272">
        <f t="shared" si="61"/>
        <v>82098749</v>
      </c>
      <c r="N53" s="272">
        <f t="shared" si="61"/>
        <v>49882322</v>
      </c>
      <c r="O53" s="272">
        <f t="shared" si="61"/>
        <v>0</v>
      </c>
      <c r="P53" s="272">
        <f t="shared" si="61"/>
        <v>-1173767</v>
      </c>
      <c r="Q53" s="272">
        <f t="shared" si="61"/>
        <v>48708555</v>
      </c>
      <c r="R53" s="272">
        <f t="shared" si="61"/>
        <v>42173626</v>
      </c>
      <c r="S53" s="272">
        <f t="shared" si="61"/>
        <v>0</v>
      </c>
      <c r="T53" s="272"/>
      <c r="U53" s="272">
        <f t="shared" si="61"/>
        <v>-203583</v>
      </c>
      <c r="V53" s="272">
        <f t="shared" si="61"/>
        <v>41970043</v>
      </c>
      <c r="W53" s="272">
        <f t="shared" si="61"/>
        <v>38178272.13</v>
      </c>
      <c r="X53" s="272">
        <f t="shared" si="61"/>
        <v>0</v>
      </c>
      <c r="Y53" s="272"/>
      <c r="Z53" s="272">
        <f aca="true" t="shared" si="62" ref="Z53:AM53">+SUM(Z54:Z57)</f>
        <v>38178272.13</v>
      </c>
      <c r="AA53" s="272">
        <f t="shared" si="62"/>
        <v>210955619.13</v>
      </c>
      <c r="AB53" s="391">
        <f t="shared" si="62"/>
        <v>82098749</v>
      </c>
      <c r="AC53" s="391">
        <f t="shared" si="62"/>
        <v>48708555</v>
      </c>
      <c r="AD53" s="391">
        <f t="shared" si="62"/>
        <v>41970043</v>
      </c>
      <c r="AE53" s="391">
        <f t="shared" si="62"/>
        <v>29815593</v>
      </c>
      <c r="AF53" s="391">
        <f>+SUM(AF54:AF57)</f>
        <v>202592940</v>
      </c>
      <c r="AG53" s="301">
        <f t="shared" si="62"/>
        <v>0</v>
      </c>
      <c r="AH53" s="301">
        <f t="shared" si="62"/>
        <v>0</v>
      </c>
      <c r="AI53" s="301">
        <f t="shared" si="62"/>
        <v>0</v>
      </c>
      <c r="AJ53" s="301">
        <f>+SUM(AJ54:AJ57)</f>
        <v>8362679.130000001</v>
      </c>
      <c r="AK53" s="301">
        <f t="shared" si="62"/>
        <v>210955619.13</v>
      </c>
      <c r="AL53" s="301">
        <f t="shared" si="62"/>
        <v>0</v>
      </c>
      <c r="AM53" s="301">
        <f t="shared" si="62"/>
        <v>362679.1300000027</v>
      </c>
      <c r="AN53" s="310">
        <f>+AF53/I53</f>
        <v>0.9603581115094804</v>
      </c>
      <c r="AO53" s="310">
        <f>+AB53/M53</f>
        <v>1</v>
      </c>
      <c r="AP53" s="310">
        <f>+AC53/Q53</f>
        <v>1</v>
      </c>
      <c r="AQ53" s="310">
        <f>+AD53/V53</f>
        <v>1</v>
      </c>
      <c r="AR53" s="310">
        <f>+AE53/Z53</f>
        <v>0.7809571082335935</v>
      </c>
      <c r="AS53" s="311"/>
    </row>
    <row r="54" spans="1:44" ht="15" customHeight="1" hidden="1" outlineLevel="1">
      <c r="A54" s="312" t="s">
        <v>92</v>
      </c>
      <c r="B54" s="274">
        <f>88637350-3480103</f>
        <v>85157247</v>
      </c>
      <c r="C54" s="295"/>
      <c r="D54" s="295"/>
      <c r="E54" s="295"/>
      <c r="F54" s="295"/>
      <c r="G54" s="295"/>
      <c r="H54" s="295"/>
      <c r="I54" s="274">
        <f>SUM(B54:H54)</f>
        <v>85157247</v>
      </c>
      <c r="J54" s="283">
        <v>31384580</v>
      </c>
      <c r="K54" s="283"/>
      <c r="L54" s="274">
        <v>-3575110</v>
      </c>
      <c r="M54" s="274">
        <f>SUM(J54:L54)</f>
        <v>27809470</v>
      </c>
      <c r="N54" s="283">
        <v>19084257</v>
      </c>
      <c r="O54" s="295"/>
      <c r="P54" s="274">
        <f>+AC54-N54-O54</f>
        <v>-2605</v>
      </c>
      <c r="Q54" s="274">
        <f>+SUM(N54:P54)</f>
        <v>19081652</v>
      </c>
      <c r="R54" s="283">
        <v>19030257</v>
      </c>
      <c r="S54" s="283"/>
      <c r="T54" s="283"/>
      <c r="U54" s="283">
        <f>-R54+AD54</f>
        <v>-2180</v>
      </c>
      <c r="V54" s="283">
        <f>+SUM(R54:U54)</f>
        <v>19028077</v>
      </c>
      <c r="W54" s="283">
        <v>19238048</v>
      </c>
      <c r="X54" s="283"/>
      <c r="Y54" s="313"/>
      <c r="Z54" s="275">
        <f>+SUM(W54:Y54)</f>
        <v>19238048</v>
      </c>
      <c r="AA54" s="274">
        <f>+M54+Q54+V54+Z54</f>
        <v>85157247</v>
      </c>
      <c r="AB54" s="388">
        <f>+'[4]ECO ENE-MAR-11'!$G$535</f>
        <v>27809470</v>
      </c>
      <c r="AC54" s="388">
        <f>+'[4]ECO ABR-JUN-11'!$G$592</f>
        <v>19081652</v>
      </c>
      <c r="AD54" s="388">
        <f>+'[4]ECO JUL-SEP-11'!$G$546</f>
        <v>19028077</v>
      </c>
      <c r="AE54" s="388">
        <f>+'[4]ECO OCT-DIC-11'!$G$690</f>
        <v>18956867</v>
      </c>
      <c r="AF54" s="388">
        <f>SUM(AB54:AE54)</f>
        <v>84876066</v>
      </c>
      <c r="AG54" s="274">
        <f>+M54-AB54</f>
        <v>0</v>
      </c>
      <c r="AH54" s="274">
        <f>+Q54-AC54</f>
        <v>0</v>
      </c>
      <c r="AI54" s="274">
        <f>+V54-AD54</f>
        <v>0</v>
      </c>
      <c r="AJ54" s="274">
        <f>+Z54-AE54</f>
        <v>281181</v>
      </c>
      <c r="AK54" s="276">
        <f>+AA54</f>
        <v>85157247</v>
      </c>
      <c r="AL54" s="276">
        <f>+I54-AK54</f>
        <v>0</v>
      </c>
      <c r="AM54" s="276">
        <f>+AK54-AF54</f>
        <v>281181</v>
      </c>
      <c r="AN54" s="278">
        <f>+AF54/I54</f>
        <v>0.9966980966399724</v>
      </c>
      <c r="AO54" s="278">
        <f>+AB54/M54</f>
        <v>1</v>
      </c>
      <c r="AP54" s="278">
        <f>+AC54/Q54</f>
        <v>1</v>
      </c>
      <c r="AQ54" s="278">
        <f>+AD54/V54</f>
        <v>1</v>
      </c>
      <c r="AR54" s="278">
        <f>+AE54/Z54</f>
        <v>0.9853841200520967</v>
      </c>
    </row>
    <row r="55" spans="1:44" ht="15" customHeight="1" hidden="1" outlineLevel="1">
      <c r="A55" s="312" t="s">
        <v>93</v>
      </c>
      <c r="B55" s="274">
        <f>34693269.13-3450000</f>
        <v>31243269.130000003</v>
      </c>
      <c r="C55" s="295"/>
      <c r="D55" s="295"/>
      <c r="E55" s="274"/>
      <c r="F55" s="274"/>
      <c r="G55" s="274"/>
      <c r="H55" s="274">
        <v>-1300000</v>
      </c>
      <c r="I55" s="274">
        <f>SUM(B55:H55)</f>
        <v>29943269.130000003</v>
      </c>
      <c r="J55" s="283">
        <v>13743882</v>
      </c>
      <c r="K55" s="283"/>
      <c r="L55" s="274">
        <v>-3495510</v>
      </c>
      <c r="M55" s="274">
        <f>SUM(J55:L55)</f>
        <v>10248372</v>
      </c>
      <c r="N55" s="283">
        <v>6143369</v>
      </c>
      <c r="O55" s="295"/>
      <c r="P55" s="274">
        <f>+AC55-N55-O55</f>
        <v>-1171080</v>
      </c>
      <c r="Q55" s="274">
        <f>+SUM(N55:P55)</f>
        <v>4972289</v>
      </c>
      <c r="R55" s="283">
        <v>6143369</v>
      </c>
      <c r="S55" s="283"/>
      <c r="T55" s="283"/>
      <c r="U55" s="283">
        <f>-R55+AD55</f>
        <v>-194080</v>
      </c>
      <c r="V55" s="283">
        <f>+SUM(R55:U55)</f>
        <v>5949289</v>
      </c>
      <c r="W55" s="283">
        <f>10073319.13-1300000</f>
        <v>8773319.13</v>
      </c>
      <c r="X55" s="283"/>
      <c r="Y55" s="313"/>
      <c r="Z55" s="275">
        <f>+SUM(W55:Y55)</f>
        <v>8773319.13</v>
      </c>
      <c r="AA55" s="274">
        <f>+M55+Q55+V55+Z55</f>
        <v>29943269.130000003</v>
      </c>
      <c r="AB55" s="388">
        <f>+'[4]ECO ENE-MAR-11'!$G$589</f>
        <v>10248372</v>
      </c>
      <c r="AC55" s="388">
        <f>+'[4]ECO ABR-JUN-11'!$G$637</f>
        <v>4972289</v>
      </c>
      <c r="AD55" s="388">
        <f>+'[4]ECO JUL-SEP-11'!$G$589</f>
        <v>5949289</v>
      </c>
      <c r="AE55" s="388">
        <f>+'[4]ECO OCT-DIC-11'!$G$735</f>
        <v>8710303</v>
      </c>
      <c r="AF55" s="388">
        <f>SUM(AB55:AE55)</f>
        <v>29880253</v>
      </c>
      <c r="AG55" s="274">
        <f>+M55-AB55</f>
        <v>0</v>
      </c>
      <c r="AH55" s="274">
        <f>+Q55-AC55</f>
        <v>0</v>
      </c>
      <c r="AI55" s="274">
        <f>+V55-AD55</f>
        <v>0</v>
      </c>
      <c r="AJ55" s="274">
        <f>+Z55-AE55</f>
        <v>63016.13000000082</v>
      </c>
      <c r="AK55" s="276">
        <f>+AA55</f>
        <v>29943269.130000003</v>
      </c>
      <c r="AL55" s="276">
        <f>+I55-AK55</f>
        <v>0</v>
      </c>
      <c r="AM55" s="276">
        <f>+AK55-AF55</f>
        <v>63016.13000000268</v>
      </c>
      <c r="AN55" s="278">
        <f>+AF55/I55</f>
        <v>0.9978954826299555</v>
      </c>
      <c r="AO55" s="278">
        <f>+AB55/M55</f>
        <v>1</v>
      </c>
      <c r="AP55" s="278">
        <f>+AC55/Q55</f>
        <v>1</v>
      </c>
      <c r="AQ55" s="278">
        <f>+AD55/V55</f>
        <v>1</v>
      </c>
      <c r="AR55" s="278">
        <f>+AE55/Z55</f>
        <v>0.9928172987821086</v>
      </c>
    </row>
    <row r="56" spans="1:44" ht="15" customHeight="1" hidden="1" outlineLevel="1">
      <c r="A56" s="312" t="s">
        <v>291</v>
      </c>
      <c r="B56" s="274"/>
      <c r="C56" s="295"/>
      <c r="D56" s="295"/>
      <c r="E56" s="295"/>
      <c r="F56" s="295"/>
      <c r="G56" s="295"/>
      <c r="H56" s="295">
        <v>8000000</v>
      </c>
      <c r="I56" s="274">
        <f>SUM(B56:H56)</f>
        <v>8000000</v>
      </c>
      <c r="J56" s="283"/>
      <c r="K56" s="283"/>
      <c r="L56" s="274"/>
      <c r="M56" s="274">
        <f>SUM(J56:L56)</f>
        <v>0</v>
      </c>
      <c r="N56" s="283"/>
      <c r="O56" s="295"/>
      <c r="P56" s="274"/>
      <c r="Q56" s="274">
        <f>+SUM(N56:P56)</f>
        <v>0</v>
      </c>
      <c r="R56" s="283"/>
      <c r="S56" s="283"/>
      <c r="T56" s="283"/>
      <c r="U56" s="283"/>
      <c r="V56" s="283">
        <f>+SUM(R56:U56)</f>
        <v>0</v>
      </c>
      <c r="W56" s="283">
        <v>8000000</v>
      </c>
      <c r="X56" s="283"/>
      <c r="Y56" s="313"/>
      <c r="Z56" s="275">
        <f>+SUM(W56:Y56)</f>
        <v>8000000</v>
      </c>
      <c r="AA56" s="274">
        <f>+M56+Q56+V56+Z56</f>
        <v>8000000</v>
      </c>
      <c r="AB56" s="388"/>
      <c r="AC56" s="388"/>
      <c r="AD56" s="388"/>
      <c r="AE56" s="388">
        <f>+'[4]ECO OCT-DIC-11'!$G$750</f>
        <v>0</v>
      </c>
      <c r="AF56" s="388">
        <f>SUM(AB56:AE56)</f>
        <v>0</v>
      </c>
      <c r="AG56" s="274">
        <f>+M56-AB56</f>
        <v>0</v>
      </c>
      <c r="AH56" s="274">
        <f>+Q56-AC56</f>
        <v>0</v>
      </c>
      <c r="AI56" s="274">
        <f>+V56-AD56</f>
        <v>0</v>
      </c>
      <c r="AJ56" s="274">
        <f>+Z56-AE56</f>
        <v>8000000</v>
      </c>
      <c r="AK56" s="276">
        <f>+AA56</f>
        <v>8000000</v>
      </c>
      <c r="AL56" s="276"/>
      <c r="AM56" s="276"/>
      <c r="AN56" s="278"/>
      <c r="AO56" s="278"/>
      <c r="AP56" s="278"/>
      <c r="AQ56" s="278"/>
      <c r="AR56" s="278"/>
    </row>
    <row r="57" spans="1:44" ht="15" customHeight="1" hidden="1" outlineLevel="1">
      <c r="A57" s="312" t="s">
        <v>187</v>
      </c>
      <c r="B57" s="274">
        <f>61625000+3480103+3450000</f>
        <v>68555103</v>
      </c>
      <c r="C57" s="295"/>
      <c r="D57" s="295"/>
      <c r="E57" s="295">
        <v>20000000</v>
      </c>
      <c r="F57" s="295">
        <v>6000000</v>
      </c>
      <c r="G57" s="295"/>
      <c r="H57" s="295">
        <v>-6700000</v>
      </c>
      <c r="I57" s="274">
        <f>SUM(B57:H57)</f>
        <v>87855103</v>
      </c>
      <c r="J57" s="283">
        <v>44603755</v>
      </c>
      <c r="K57" s="283"/>
      <c r="L57" s="274">
        <v>-562848</v>
      </c>
      <c r="M57" s="274">
        <f>SUM(J57:L57)</f>
        <v>44040907</v>
      </c>
      <c r="N57" s="283">
        <v>24654696</v>
      </c>
      <c r="O57" s="295"/>
      <c r="P57" s="274">
        <f>+AC57-N57-O57</f>
        <v>-82</v>
      </c>
      <c r="Q57" s="274">
        <f>+SUM(N57:P57)</f>
        <v>24654614</v>
      </c>
      <c r="R57" s="283">
        <v>17000000</v>
      </c>
      <c r="S57" s="283"/>
      <c r="T57" s="283"/>
      <c r="U57" s="283">
        <f>-R57+AD57</f>
        <v>-7323</v>
      </c>
      <c r="V57" s="283">
        <f>+SUM(R57:U57)</f>
        <v>16992677</v>
      </c>
      <c r="W57" s="283">
        <f>8866905-6700000</f>
        <v>2166905</v>
      </c>
      <c r="X57" s="283"/>
      <c r="Y57" s="313"/>
      <c r="Z57" s="275">
        <f>+SUM(W57:Y57)</f>
        <v>2166905</v>
      </c>
      <c r="AA57" s="274">
        <f>+M57+Q57+V57+Z57</f>
        <v>87855103</v>
      </c>
      <c r="AB57" s="388">
        <f>+'[4]ECO ENE-MAR-11'!$G$604</f>
        <v>44040907</v>
      </c>
      <c r="AC57" s="388">
        <f>+'[4]ECO ABR-JUN-11'!$G$652</f>
        <v>24654614</v>
      </c>
      <c r="AD57" s="388">
        <f>+'[4]ECO JUL-SEP-11'!$G$601</f>
        <v>16992677</v>
      </c>
      <c r="AE57" s="388">
        <f>+'[4]ECO OCT-DIC-11'!$G$761</f>
        <v>2148423</v>
      </c>
      <c r="AF57" s="388">
        <f>SUM(AB57:AE57)</f>
        <v>87836621</v>
      </c>
      <c r="AG57" s="274">
        <f>+M57-AB57</f>
        <v>0</v>
      </c>
      <c r="AH57" s="274">
        <f>+Q57-AC57</f>
        <v>0</v>
      </c>
      <c r="AI57" s="274">
        <f>+V57-AD57</f>
        <v>0</v>
      </c>
      <c r="AJ57" s="274">
        <f>+Z57-AE57</f>
        <v>18482</v>
      </c>
      <c r="AK57" s="276">
        <f>+AA57</f>
        <v>87855103</v>
      </c>
      <c r="AL57" s="276">
        <f>+I57-AK57</f>
        <v>0</v>
      </c>
      <c r="AM57" s="276">
        <f>+AK57-AF57</f>
        <v>18482</v>
      </c>
      <c r="AN57" s="278">
        <f aca="true" t="shared" si="63" ref="AN57:AN62">+AF57/I57</f>
        <v>0.9997896308880316</v>
      </c>
      <c r="AO57" s="278">
        <f aca="true" t="shared" si="64" ref="AO57:AO62">+AB57/M57</f>
        <v>1</v>
      </c>
      <c r="AP57" s="278">
        <v>0</v>
      </c>
      <c r="AQ57" s="278">
        <v>0</v>
      </c>
      <c r="AR57" s="278">
        <v>0</v>
      </c>
    </row>
    <row r="58" spans="1:45" ht="15" customHeight="1" collapsed="1">
      <c r="A58" s="309" t="s">
        <v>94</v>
      </c>
      <c r="B58" s="272">
        <f>SUM(B59:B63)</f>
        <v>230269043</v>
      </c>
      <c r="C58" s="314">
        <f>SUM(C59:C63)</f>
        <v>0</v>
      </c>
      <c r="D58" s="314">
        <f>SUM(D59:D63)</f>
        <v>0</v>
      </c>
      <c r="E58" s="314">
        <f>SUM(E59:E63)</f>
        <v>-7620000</v>
      </c>
      <c r="F58" s="314">
        <f>SUM(F59:F63)</f>
        <v>0</v>
      </c>
      <c r="G58" s="314"/>
      <c r="H58" s="314"/>
      <c r="I58" s="301">
        <f>SUM(I59:I63)</f>
        <v>222649043</v>
      </c>
      <c r="J58" s="301">
        <f>SUM(J59:J62)</f>
        <v>56865659</v>
      </c>
      <c r="K58" s="301"/>
      <c r="L58" s="301">
        <f>SUM(L59:L62)</f>
        <v>-10911316</v>
      </c>
      <c r="M58" s="301">
        <f aca="true" t="shared" si="65" ref="M58:W58">SUM(M59:M63)</f>
        <v>45954343</v>
      </c>
      <c r="N58" s="301">
        <f t="shared" si="65"/>
        <v>61357220</v>
      </c>
      <c r="O58" s="301">
        <f t="shared" si="65"/>
        <v>0</v>
      </c>
      <c r="P58" s="301">
        <f t="shared" si="65"/>
        <v>-140142</v>
      </c>
      <c r="Q58" s="301">
        <f t="shared" si="65"/>
        <v>61217078</v>
      </c>
      <c r="R58" s="301">
        <f t="shared" si="65"/>
        <v>59552046</v>
      </c>
      <c r="S58" s="301">
        <f t="shared" si="65"/>
        <v>0</v>
      </c>
      <c r="T58" s="301"/>
      <c r="U58" s="301">
        <f t="shared" si="65"/>
        <v>-9988434</v>
      </c>
      <c r="V58" s="301">
        <f t="shared" si="65"/>
        <v>49563612</v>
      </c>
      <c r="W58" s="301">
        <f t="shared" si="65"/>
        <v>65896947</v>
      </c>
      <c r="X58" s="301">
        <f>SUM(X59:X62)</f>
        <v>0</v>
      </c>
      <c r="Y58" s="301"/>
      <c r="Z58" s="301">
        <f>SUM(Z59:Z63)</f>
        <v>65896947</v>
      </c>
      <c r="AA58" s="301">
        <f>SUM(AA59:AA62)</f>
        <v>222631980</v>
      </c>
      <c r="AB58" s="391">
        <f>SUM(AB59:AB63)</f>
        <v>45954343</v>
      </c>
      <c r="AC58" s="391">
        <f>SUM(AC59:AC63)</f>
        <v>61217078</v>
      </c>
      <c r="AD58" s="391">
        <f>SUM(AD59:AD63)</f>
        <v>49563612</v>
      </c>
      <c r="AE58" s="391">
        <f>SUM(AE59:AE63)</f>
        <v>65098310</v>
      </c>
      <c r="AF58" s="391">
        <f>SUM(AF59:AF62)</f>
        <v>221833343</v>
      </c>
      <c r="AG58" s="301">
        <f aca="true" t="shared" si="66" ref="AG58:AM58">SUM(AG59:AG62)</f>
        <v>0</v>
      </c>
      <c r="AH58" s="301">
        <f t="shared" si="66"/>
        <v>0</v>
      </c>
      <c r="AI58" s="301">
        <f t="shared" si="66"/>
        <v>0</v>
      </c>
      <c r="AJ58" s="301">
        <f>SUM(AJ59:AJ62)</f>
        <v>798637</v>
      </c>
      <c r="AK58" s="301">
        <f t="shared" si="66"/>
        <v>222631980</v>
      </c>
      <c r="AL58" s="301">
        <f t="shared" si="66"/>
        <v>17063</v>
      </c>
      <c r="AM58" s="301">
        <f t="shared" si="66"/>
        <v>798637</v>
      </c>
      <c r="AN58" s="310">
        <f t="shared" si="63"/>
        <v>0.9963363866782935</v>
      </c>
      <c r="AO58" s="310">
        <f t="shared" si="64"/>
        <v>1</v>
      </c>
      <c r="AP58" s="310">
        <f>+AC58/Q58</f>
        <v>1</v>
      </c>
      <c r="AQ58" s="310">
        <f>+AD58/V58</f>
        <v>1</v>
      </c>
      <c r="AR58" s="310">
        <f>+AE58/Z58</f>
        <v>0.9878805159213219</v>
      </c>
      <c r="AS58" s="311"/>
    </row>
    <row r="59" spans="1:44" ht="15" customHeight="1" hidden="1" outlineLevel="1">
      <c r="A59" s="316" t="s">
        <v>95</v>
      </c>
      <c r="B59" s="274">
        <f>107922643+622757-161000</f>
        <v>108384400</v>
      </c>
      <c r="C59" s="295"/>
      <c r="D59" s="295"/>
      <c r="E59" s="274">
        <v>-2750000</v>
      </c>
      <c r="F59" s="274"/>
      <c r="G59" s="274"/>
      <c r="H59" s="425">
        <v>-1665000</v>
      </c>
      <c r="I59" s="388">
        <f>SUM(B59:H59)</f>
        <v>103969400</v>
      </c>
      <c r="J59" s="390">
        <f>22087859-622757-161000-225000</f>
        <v>21079102</v>
      </c>
      <c r="K59" s="390"/>
      <c r="L59" s="388">
        <v>-3223565</v>
      </c>
      <c r="M59" s="388">
        <f>SUM(J59:L59)</f>
        <v>17855537</v>
      </c>
      <c r="N59" s="390">
        <f>30701020-77045-159837</f>
        <v>30464138</v>
      </c>
      <c r="O59" s="424"/>
      <c r="P59" s="388">
        <f>+AC59-N59-O59</f>
        <v>-140142</v>
      </c>
      <c r="Q59" s="388">
        <f>+SUM(N59:P59)</f>
        <v>30323996</v>
      </c>
      <c r="R59" s="390">
        <v>25895846</v>
      </c>
      <c r="S59" s="390"/>
      <c r="T59" s="390"/>
      <c r="U59" s="390">
        <f>-R59+AD59</f>
        <v>-286938</v>
      </c>
      <c r="V59" s="390">
        <f>+SUM(R59:U59)</f>
        <v>25608908</v>
      </c>
      <c r="W59" s="390">
        <f>31845959-1665000</f>
        <v>30180959</v>
      </c>
      <c r="X59" s="390"/>
      <c r="Y59" s="426"/>
      <c r="Z59" s="427">
        <f>+SUM(W59:Y59)</f>
        <v>30180959</v>
      </c>
      <c r="AA59" s="388">
        <f>+M59+Q59+V59+Z59</f>
        <v>103969400</v>
      </c>
      <c r="AB59" s="388">
        <f>+'[4]ECO ENE-MAR-11'!$G$656</f>
        <v>17855537</v>
      </c>
      <c r="AC59" s="388">
        <f>+'[4]ECO ABR-JUN-11'!$G$681</f>
        <v>30323996</v>
      </c>
      <c r="AD59" s="388">
        <f>+'[4]ECO JUL-SEP-11'!$G$611</f>
        <v>25608908</v>
      </c>
      <c r="AE59" s="388">
        <f>+'[4]ECO OCT-DIC-11'!$G$773</f>
        <v>29415553</v>
      </c>
      <c r="AF59" s="388">
        <f>SUM(AB59:AE59)</f>
        <v>103203994</v>
      </c>
      <c r="AG59" s="274">
        <f>+M59-AB59</f>
        <v>0</v>
      </c>
      <c r="AH59" s="274">
        <f>+Q59-AC59</f>
        <v>0</v>
      </c>
      <c r="AI59" s="274">
        <f>+V59-AD59</f>
        <v>0</v>
      </c>
      <c r="AJ59" s="274">
        <f>+Z59-AE59</f>
        <v>765406</v>
      </c>
      <c r="AK59" s="276">
        <f>+AA59</f>
        <v>103969400</v>
      </c>
      <c r="AL59" s="276">
        <f>+I59-AK59</f>
        <v>0</v>
      </c>
      <c r="AM59" s="276">
        <f>+AK59-AF59</f>
        <v>765406</v>
      </c>
      <c r="AN59" s="278">
        <f t="shared" si="63"/>
        <v>0.992638160843479</v>
      </c>
      <c r="AO59" s="278">
        <f t="shared" si="64"/>
        <v>1</v>
      </c>
      <c r="AP59" s="278">
        <f>+AC59/Q59</f>
        <v>1</v>
      </c>
      <c r="AQ59" s="278">
        <f>+AD59/V59</f>
        <v>1</v>
      </c>
      <c r="AR59" s="278">
        <f>+AE59/Z59</f>
        <v>0.9746394407149223</v>
      </c>
    </row>
    <row r="60" spans="1:44" ht="15" customHeight="1" hidden="1" outlineLevel="1">
      <c r="A60" s="316" t="s">
        <v>139</v>
      </c>
      <c r="B60" s="274">
        <f>10507000+161000</f>
        <v>10668000</v>
      </c>
      <c r="C60" s="295"/>
      <c r="D60" s="295"/>
      <c r="E60" s="295"/>
      <c r="F60" s="295"/>
      <c r="G60" s="295"/>
      <c r="H60" s="428"/>
      <c r="I60" s="388">
        <f>SUM(B60:H60)</f>
        <v>10668000</v>
      </c>
      <c r="J60" s="390">
        <f>10507000+161000</f>
        <v>10668000</v>
      </c>
      <c r="K60" s="390"/>
      <c r="L60" s="388">
        <v>-17063</v>
      </c>
      <c r="M60" s="388">
        <f>SUM(J60:L60)</f>
        <v>10650937</v>
      </c>
      <c r="N60" s="390">
        <v>0</v>
      </c>
      <c r="O60" s="424"/>
      <c r="P60" s="388">
        <f>+AC60-N60-O60</f>
        <v>0</v>
      </c>
      <c r="Q60" s="388">
        <f>+SUM(N60:P60)</f>
        <v>0</v>
      </c>
      <c r="R60" s="390">
        <v>0</v>
      </c>
      <c r="S60" s="390"/>
      <c r="T60" s="390"/>
      <c r="U60" s="390">
        <f>-R60+AD60</f>
        <v>0</v>
      </c>
      <c r="V60" s="390">
        <f>+SUM(R60:U60)</f>
        <v>0</v>
      </c>
      <c r="W60" s="390">
        <v>0</v>
      </c>
      <c r="X60" s="390"/>
      <c r="Y60" s="426"/>
      <c r="Z60" s="427">
        <f>+SUM(W60:Y60)</f>
        <v>0</v>
      </c>
      <c r="AA60" s="388">
        <f>+M60+Q60+V60+Z60</f>
        <v>10650937</v>
      </c>
      <c r="AB60" s="388">
        <f>+'[4]ECO ENE-MAR-11'!$G$682</f>
        <v>10650937</v>
      </c>
      <c r="AC60" s="388">
        <f>+'[4]ECO ABR-JUN-11'!$G$730</f>
        <v>0</v>
      </c>
      <c r="AD60" s="388">
        <f>+'[4]ECO JUL-SEP-11'!$G$650</f>
        <v>0</v>
      </c>
      <c r="AE60" s="388">
        <f>+'[4]ECO OCT-DIC-11'!$G$821</f>
        <v>0</v>
      </c>
      <c r="AF60" s="388">
        <f>SUM(AB60:AE60)</f>
        <v>10650937</v>
      </c>
      <c r="AG60" s="274">
        <f>+M60-AB60</f>
        <v>0</v>
      </c>
      <c r="AH60" s="274">
        <f>+Q60-AC60</f>
        <v>0</v>
      </c>
      <c r="AI60" s="274">
        <f>+V60-AD60</f>
        <v>0</v>
      </c>
      <c r="AJ60" s="274">
        <f>+Z60-AE60</f>
        <v>0</v>
      </c>
      <c r="AK60" s="276">
        <f>+AA60</f>
        <v>10650937</v>
      </c>
      <c r="AL60" s="276">
        <f>+I60-AK60</f>
        <v>17063</v>
      </c>
      <c r="AM60" s="276">
        <f>+AK60-AF60</f>
        <v>0</v>
      </c>
      <c r="AN60" s="278">
        <f t="shared" si="63"/>
        <v>0.9984005436820398</v>
      </c>
      <c r="AO60" s="278">
        <f t="shared" si="64"/>
        <v>1</v>
      </c>
      <c r="AP60" s="278">
        <v>0</v>
      </c>
      <c r="AQ60" s="278">
        <v>0</v>
      </c>
      <c r="AR60" s="278">
        <v>0</v>
      </c>
    </row>
    <row r="61" spans="1:44" ht="15" customHeight="1" hidden="1" outlineLevel="1">
      <c r="A61" s="316" t="s">
        <v>140</v>
      </c>
      <c r="B61" s="274">
        <f>28639400-622757</f>
        <v>28016643</v>
      </c>
      <c r="C61" s="295"/>
      <c r="D61" s="295"/>
      <c r="E61" s="295"/>
      <c r="F61" s="295"/>
      <c r="G61" s="295"/>
      <c r="H61" s="429">
        <v>580000</v>
      </c>
      <c r="I61" s="388">
        <f>SUM(B61:H61)</f>
        <v>28596643</v>
      </c>
      <c r="J61" s="390">
        <f>7270800+622757+225000</f>
        <v>8118557</v>
      </c>
      <c r="K61" s="390"/>
      <c r="L61" s="388">
        <v>-606</v>
      </c>
      <c r="M61" s="388">
        <f>SUM(J61:L61)</f>
        <v>8117951</v>
      </c>
      <c r="N61" s="390">
        <f>7656200+77045</f>
        <v>7733245</v>
      </c>
      <c r="O61" s="424"/>
      <c r="P61" s="388">
        <f>+AC61-N61-O61</f>
        <v>0</v>
      </c>
      <c r="Q61" s="388">
        <f>+SUM(N61:P61)</f>
        <v>7733245</v>
      </c>
      <c r="R61" s="390">
        <v>7656200</v>
      </c>
      <c r="S61" s="390"/>
      <c r="T61" s="390"/>
      <c r="U61" s="390">
        <f>-R61+AD61</f>
        <v>-808897</v>
      </c>
      <c r="V61" s="390">
        <f>+SUM(R61:U61)</f>
        <v>6847303</v>
      </c>
      <c r="W61" s="390">
        <f>5318144+580000</f>
        <v>5898144</v>
      </c>
      <c r="X61" s="390"/>
      <c r="Y61" s="426"/>
      <c r="Z61" s="427">
        <f>+SUM(W61:Y61)</f>
        <v>5898144</v>
      </c>
      <c r="AA61" s="388">
        <f>+M61+Q61+V61+Z61</f>
        <v>28596643</v>
      </c>
      <c r="AB61" s="388">
        <f>+'[4]ECO ENE-MAR-11'!$G$705</f>
        <v>8117951</v>
      </c>
      <c r="AC61" s="388">
        <f>+'[4]ECO ABR-JUN-11'!$G$736</f>
        <v>7733245</v>
      </c>
      <c r="AD61" s="388">
        <f>+'[4]ECO JUL-SEP-11'!$G$654</f>
        <v>6847303</v>
      </c>
      <c r="AE61" s="388">
        <f>+'[4]ECO OCT-DIC-11'!$G$827</f>
        <v>5867639</v>
      </c>
      <c r="AF61" s="388">
        <f>SUM(AB61:AE61)</f>
        <v>28566138</v>
      </c>
      <c r="AG61" s="274">
        <f>+M61-AB61</f>
        <v>0</v>
      </c>
      <c r="AH61" s="274">
        <f>+Q61-AC61</f>
        <v>0</v>
      </c>
      <c r="AI61" s="274">
        <f>+V61-AD61</f>
        <v>0</v>
      </c>
      <c r="AJ61" s="274">
        <f>+Z61-AE61</f>
        <v>30505</v>
      </c>
      <c r="AK61" s="276">
        <f>+AA61</f>
        <v>28596643</v>
      </c>
      <c r="AL61" s="276">
        <f>+I61-AK61</f>
        <v>0</v>
      </c>
      <c r="AM61" s="276">
        <f>+AK61-AF61</f>
        <v>30505</v>
      </c>
      <c r="AN61" s="278">
        <f t="shared" si="63"/>
        <v>0.9989332663977377</v>
      </c>
      <c r="AO61" s="278">
        <f t="shared" si="64"/>
        <v>1</v>
      </c>
      <c r="AP61" s="278">
        <v>0</v>
      </c>
      <c r="AQ61" s="278">
        <v>0</v>
      </c>
      <c r="AR61" s="278">
        <f>+AE61/Z61</f>
        <v>0.9948280340391825</v>
      </c>
    </row>
    <row r="62" spans="1:44" ht="15" customHeight="1" hidden="1" outlineLevel="1">
      <c r="A62" s="316" t="s">
        <v>218</v>
      </c>
      <c r="B62" s="274">
        <v>83200000</v>
      </c>
      <c r="C62" s="295"/>
      <c r="D62" s="295"/>
      <c r="E62" s="295">
        <v>-4870000</v>
      </c>
      <c r="F62" s="295"/>
      <c r="G62" s="295"/>
      <c r="H62" s="429">
        <v>1085000</v>
      </c>
      <c r="I62" s="388">
        <f>SUM(B62:H62)</f>
        <v>79415000</v>
      </c>
      <c r="J62" s="390">
        <v>17000000</v>
      </c>
      <c r="K62" s="390"/>
      <c r="L62" s="388">
        <v>-7670082</v>
      </c>
      <c r="M62" s="388">
        <f>SUM(J62:L62)</f>
        <v>9329918</v>
      </c>
      <c r="N62" s="390">
        <f>23000000+159837</f>
        <v>23159837</v>
      </c>
      <c r="O62" s="424"/>
      <c r="P62" s="388">
        <f>+AC62-N62-O62</f>
        <v>0</v>
      </c>
      <c r="Q62" s="388">
        <f>+SUM(N62:P62)</f>
        <v>23159837</v>
      </c>
      <c r="R62" s="390">
        <v>26000000</v>
      </c>
      <c r="S62" s="390"/>
      <c r="T62" s="390"/>
      <c r="U62" s="390">
        <f>-R62+AD62</f>
        <v>-8892599</v>
      </c>
      <c r="V62" s="390">
        <f>+SUM(R62:U62)</f>
        <v>17107401</v>
      </c>
      <c r="W62" s="390">
        <f>28732844+1085000</f>
        <v>29817844</v>
      </c>
      <c r="X62" s="390"/>
      <c r="Y62" s="426"/>
      <c r="Z62" s="427">
        <f>+SUM(W62:Y62)</f>
        <v>29817844</v>
      </c>
      <c r="AA62" s="388">
        <f>+M62+Q62+V62+Z62</f>
        <v>79415000</v>
      </c>
      <c r="AB62" s="388">
        <f>+'[4]ECO ENE-MAR-11'!$G$734</f>
        <v>9329918</v>
      </c>
      <c r="AC62" s="388">
        <f>+'[4]ECO ABR-JUN-11'!$G$757</f>
        <v>23159837</v>
      </c>
      <c r="AD62" s="388">
        <f>+'[4]ECO JUL-SEP-11'!$G$679</f>
        <v>17107401</v>
      </c>
      <c r="AE62" s="388">
        <f>+'[4]ECO OCT-DIC-11'!$G$856</f>
        <v>29815118</v>
      </c>
      <c r="AF62" s="388">
        <f>SUM(AB62:AE62)</f>
        <v>79412274</v>
      </c>
      <c r="AG62" s="274">
        <f>+M62-AB62</f>
        <v>0</v>
      </c>
      <c r="AH62" s="274">
        <f>+Q62-AC62</f>
        <v>0</v>
      </c>
      <c r="AI62" s="274">
        <f>+V62-AD62</f>
        <v>0</v>
      </c>
      <c r="AJ62" s="274">
        <f>+Z62-AE62</f>
        <v>2726</v>
      </c>
      <c r="AK62" s="276">
        <f>+AA62</f>
        <v>79415000</v>
      </c>
      <c r="AL62" s="276">
        <f>+I62-AK62</f>
        <v>0</v>
      </c>
      <c r="AM62" s="276">
        <f>+AK62-AF62</f>
        <v>2726</v>
      </c>
      <c r="AN62" s="278">
        <f t="shared" si="63"/>
        <v>0.9999656739910596</v>
      </c>
      <c r="AO62" s="278">
        <f t="shared" si="64"/>
        <v>1</v>
      </c>
      <c r="AP62" s="278">
        <f>+AC62/Q62</f>
        <v>1</v>
      </c>
      <c r="AQ62" s="278">
        <f>+AD62/V62</f>
        <v>1</v>
      </c>
      <c r="AR62" s="278">
        <f>+AE62/Z62</f>
        <v>0.999908578232551</v>
      </c>
    </row>
    <row r="63" spans="1:44" ht="15" customHeight="1" hidden="1" outlineLevel="1">
      <c r="A63" s="316"/>
      <c r="B63" s="282"/>
      <c r="C63" s="295"/>
      <c r="D63" s="295"/>
      <c r="E63" s="295"/>
      <c r="F63" s="295"/>
      <c r="G63" s="295"/>
      <c r="H63" s="424"/>
      <c r="I63" s="388"/>
      <c r="J63" s="390"/>
      <c r="K63" s="390"/>
      <c r="L63" s="390"/>
      <c r="M63" s="388"/>
      <c r="N63" s="390"/>
      <c r="O63" s="424"/>
      <c r="P63" s="388"/>
      <c r="Q63" s="388"/>
      <c r="R63" s="390"/>
      <c r="S63" s="390"/>
      <c r="T63" s="390"/>
      <c r="U63" s="390"/>
      <c r="V63" s="390"/>
      <c r="W63" s="390"/>
      <c r="X63" s="390"/>
      <c r="Y63" s="426"/>
      <c r="Z63" s="427"/>
      <c r="AA63" s="388"/>
      <c r="AB63" s="390"/>
      <c r="AC63" s="390"/>
      <c r="AD63" s="391"/>
      <c r="AE63" s="391"/>
      <c r="AF63" s="391">
        <f>SUM(AB63:AE63)</f>
        <v>0</v>
      </c>
      <c r="AG63" s="282"/>
      <c r="AH63" s="282"/>
      <c r="AI63" s="282"/>
      <c r="AJ63" s="282"/>
      <c r="AK63" s="283"/>
      <c r="AL63" s="283"/>
      <c r="AM63" s="283"/>
      <c r="AN63" s="284"/>
      <c r="AO63" s="284"/>
      <c r="AP63" s="284"/>
      <c r="AQ63" s="284"/>
      <c r="AR63" s="284"/>
    </row>
    <row r="64" spans="1:44" ht="15" customHeight="1" collapsed="1" thickBot="1">
      <c r="A64" s="316"/>
      <c r="B64" s="282"/>
      <c r="C64" s="295"/>
      <c r="D64" s="295"/>
      <c r="E64" s="295"/>
      <c r="F64" s="295"/>
      <c r="G64" s="295"/>
      <c r="H64" s="295"/>
      <c r="I64" s="339"/>
      <c r="J64" s="283"/>
      <c r="K64" s="283"/>
      <c r="L64" s="283"/>
      <c r="M64" s="283"/>
      <c r="N64" s="283"/>
      <c r="O64" s="295"/>
      <c r="P64" s="295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340"/>
      <c r="AO64" s="304"/>
      <c r="AP64" s="304"/>
      <c r="AQ64" s="304"/>
      <c r="AR64" s="304"/>
    </row>
    <row r="65" spans="1:44" ht="15" customHeight="1" thickBot="1">
      <c r="A65" s="317" t="s">
        <v>57</v>
      </c>
      <c r="B65" s="318">
        <f aca="true" t="shared" si="67" ref="B65:J65">+B36</f>
        <v>2260118760.375</v>
      </c>
      <c r="C65" s="318">
        <f t="shared" si="67"/>
        <v>0</v>
      </c>
      <c r="D65" s="318">
        <f t="shared" si="67"/>
        <v>0</v>
      </c>
      <c r="E65" s="318">
        <f t="shared" si="67"/>
        <v>0</v>
      </c>
      <c r="F65" s="318">
        <f t="shared" si="67"/>
        <v>-382411608</v>
      </c>
      <c r="G65" s="318">
        <f>+G36</f>
        <v>-2450000</v>
      </c>
      <c r="H65" s="318">
        <f t="shared" si="67"/>
        <v>0</v>
      </c>
      <c r="I65" s="337">
        <f t="shared" si="67"/>
        <v>1875257152.375</v>
      </c>
      <c r="J65" s="318">
        <f t="shared" si="67"/>
        <v>368382008</v>
      </c>
      <c r="K65" s="318"/>
      <c r="L65" s="319">
        <f aca="true" t="shared" si="68" ref="L65:X65">+L36</f>
        <v>-30063718.00000021</v>
      </c>
      <c r="M65" s="318">
        <f t="shared" si="68"/>
        <v>338318289.99999976</v>
      </c>
      <c r="N65" s="318">
        <f t="shared" si="68"/>
        <v>504579769</v>
      </c>
      <c r="O65" s="318">
        <f t="shared" si="68"/>
        <v>0</v>
      </c>
      <c r="P65" s="318">
        <f t="shared" si="68"/>
        <v>-12927301</v>
      </c>
      <c r="Q65" s="318">
        <f t="shared" si="68"/>
        <v>415186710</v>
      </c>
      <c r="R65" s="318">
        <f t="shared" si="68"/>
        <v>505221319</v>
      </c>
      <c r="S65" s="318">
        <f t="shared" si="68"/>
        <v>0</v>
      </c>
      <c r="T65" s="318"/>
      <c r="U65" s="318">
        <f t="shared" si="68"/>
        <v>-51217484.99999985</v>
      </c>
      <c r="V65" s="318">
        <f t="shared" si="68"/>
        <v>454003834.0000001</v>
      </c>
      <c r="W65" s="318">
        <f t="shared" si="68"/>
        <v>670181255.3750002</v>
      </c>
      <c r="X65" s="318">
        <f t="shared" si="68"/>
        <v>-2450000</v>
      </c>
      <c r="Y65" s="318"/>
      <c r="Z65" s="318">
        <f aca="true" t="shared" si="69" ref="Z65:AM65">+Z36</f>
        <v>667731255.3750002</v>
      </c>
      <c r="AA65" s="318">
        <f t="shared" si="69"/>
        <v>1875240089.3750005</v>
      </c>
      <c r="AB65" s="318">
        <f t="shared" si="69"/>
        <v>338318289.99999976</v>
      </c>
      <c r="AC65" s="318">
        <f t="shared" si="69"/>
        <v>415186710</v>
      </c>
      <c r="AD65" s="318">
        <f t="shared" si="69"/>
        <v>454003834.0000001</v>
      </c>
      <c r="AE65" s="318">
        <f t="shared" si="69"/>
        <v>537738434.9500002</v>
      </c>
      <c r="AF65" s="318">
        <f>+AF36</f>
        <v>1745247268.95</v>
      </c>
      <c r="AG65" s="318">
        <f t="shared" si="69"/>
        <v>0</v>
      </c>
      <c r="AH65" s="318">
        <f t="shared" si="69"/>
        <v>0</v>
      </c>
      <c r="AI65" s="318">
        <f t="shared" si="69"/>
        <v>0</v>
      </c>
      <c r="AJ65" s="318">
        <f>+AJ36</f>
        <v>129992820.42500006</v>
      </c>
      <c r="AK65" s="318">
        <f t="shared" si="69"/>
        <v>1875240089.3750005</v>
      </c>
      <c r="AL65" s="318">
        <f t="shared" si="69"/>
        <v>17063</v>
      </c>
      <c r="AM65" s="318">
        <f t="shared" si="69"/>
        <v>121992820.42500013</v>
      </c>
      <c r="AN65" s="338">
        <f>+AF65/I65</f>
        <v>0.9306709038489237</v>
      </c>
      <c r="AO65" s="288">
        <f>+AB65/M65</f>
        <v>1</v>
      </c>
      <c r="AP65" s="288">
        <f>+AC65/Q65</f>
        <v>1</v>
      </c>
      <c r="AQ65" s="288">
        <f>+AD65/V65</f>
        <v>1</v>
      </c>
      <c r="AR65" s="288">
        <f>+AE65/Z65</f>
        <v>0.805321647925563</v>
      </c>
    </row>
    <row r="66" spans="1:44" ht="15" customHeight="1" thickBot="1">
      <c r="A66" s="320"/>
      <c r="B66" s="321"/>
      <c r="C66" s="322"/>
      <c r="D66" s="322"/>
      <c r="E66" s="322"/>
      <c r="F66" s="322"/>
      <c r="G66" s="322"/>
      <c r="H66" s="322"/>
      <c r="I66" s="323"/>
      <c r="J66" s="323"/>
      <c r="K66" s="323"/>
      <c r="L66" s="323"/>
      <c r="M66" s="323"/>
      <c r="N66" s="323"/>
      <c r="O66" s="322"/>
      <c r="P66" s="323"/>
      <c r="Q66" s="323"/>
      <c r="R66" s="323"/>
      <c r="S66" s="323"/>
      <c r="T66" s="323"/>
      <c r="U66" s="323"/>
      <c r="V66" s="323"/>
      <c r="W66" s="323"/>
      <c r="X66" s="323"/>
      <c r="Y66" s="323"/>
      <c r="Z66" s="323"/>
      <c r="AA66" s="323"/>
      <c r="AB66" s="323"/>
      <c r="AC66" s="323"/>
      <c r="AD66" s="323"/>
      <c r="AE66" s="323"/>
      <c r="AF66" s="323"/>
      <c r="AG66" s="323"/>
      <c r="AH66" s="323"/>
      <c r="AI66" s="323"/>
      <c r="AJ66" s="323"/>
      <c r="AK66" s="323"/>
      <c r="AL66" s="323"/>
      <c r="AM66" s="321"/>
      <c r="AN66" s="324"/>
      <c r="AO66" s="299"/>
      <c r="AP66" s="299"/>
      <c r="AQ66" s="299"/>
      <c r="AR66" s="299"/>
    </row>
    <row r="67" spans="1:44" ht="15" customHeight="1" thickBot="1">
      <c r="A67" s="318" t="s">
        <v>96</v>
      </c>
      <c r="B67" s="318">
        <f aca="true" t="shared" si="70" ref="B67:J67">+B22+B33+B36</f>
        <v>3317026817.5119953</v>
      </c>
      <c r="C67" s="318">
        <f t="shared" si="70"/>
        <v>0</v>
      </c>
      <c r="D67" s="318">
        <f t="shared" si="70"/>
        <v>0</v>
      </c>
      <c r="E67" s="318">
        <f t="shared" si="70"/>
        <v>0</v>
      </c>
      <c r="F67" s="318">
        <f t="shared" si="70"/>
        <v>-434716823</v>
      </c>
      <c r="G67" s="318">
        <f>+G22+G33+G36</f>
        <v>-2450000</v>
      </c>
      <c r="H67" s="318">
        <f t="shared" si="70"/>
        <v>0</v>
      </c>
      <c r="I67" s="318">
        <f t="shared" si="70"/>
        <v>2879859994.5119953</v>
      </c>
      <c r="J67" s="318">
        <f t="shared" si="70"/>
        <v>613497442.9475</v>
      </c>
      <c r="K67" s="318"/>
      <c r="L67" s="319">
        <f aca="true" t="shared" si="71" ref="L67:X67">+L22+L33+L36</f>
        <v>-51529232.94750021</v>
      </c>
      <c r="M67" s="319">
        <f t="shared" si="71"/>
        <v>561968209.9999998</v>
      </c>
      <c r="N67" s="318">
        <f t="shared" si="71"/>
        <v>741955520</v>
      </c>
      <c r="O67" s="318">
        <f t="shared" si="71"/>
        <v>0</v>
      </c>
      <c r="P67" s="318">
        <f t="shared" si="71"/>
        <v>-18122813</v>
      </c>
      <c r="Q67" s="318">
        <f t="shared" si="71"/>
        <v>647366949</v>
      </c>
      <c r="R67" s="318">
        <f t="shared" si="71"/>
        <v>750578408.3320901</v>
      </c>
      <c r="S67" s="318">
        <f t="shared" si="71"/>
        <v>0</v>
      </c>
      <c r="T67" s="318"/>
      <c r="U67" s="318">
        <f t="shared" si="71"/>
        <v>-60285932.99999985</v>
      </c>
      <c r="V67" s="318">
        <f t="shared" si="71"/>
        <v>690292475.3320904</v>
      </c>
      <c r="W67" s="318">
        <f t="shared" si="71"/>
        <v>982364206.1799052</v>
      </c>
      <c r="X67" s="318">
        <f t="shared" si="71"/>
        <v>-2450000</v>
      </c>
      <c r="Y67" s="318"/>
      <c r="Z67" s="318">
        <f aca="true" t="shared" si="72" ref="Z67:AM67">+Z22+Z33+Z36</f>
        <v>979914206.1799052</v>
      </c>
      <c r="AA67" s="318">
        <f t="shared" si="72"/>
        <v>2879541840.511996</v>
      </c>
      <c r="AB67" s="318">
        <f t="shared" si="72"/>
        <v>561968209.9999998</v>
      </c>
      <c r="AC67" s="318">
        <f t="shared" si="72"/>
        <v>647366949</v>
      </c>
      <c r="AD67" s="318">
        <f t="shared" si="72"/>
        <v>690292474.6800001</v>
      </c>
      <c r="AE67" s="318">
        <f>+AE22+AE33+AE36</f>
        <v>776318889.9500002</v>
      </c>
      <c r="AF67" s="318">
        <f t="shared" si="72"/>
        <v>2675946523.63</v>
      </c>
      <c r="AG67" s="318">
        <f t="shared" si="72"/>
        <v>0</v>
      </c>
      <c r="AH67" s="318">
        <f t="shared" si="72"/>
        <v>0</v>
      </c>
      <c r="AI67" s="318">
        <f t="shared" si="72"/>
        <v>0.6520902037154883</v>
      </c>
      <c r="AJ67" s="318">
        <f t="shared" si="72"/>
        <v>203595316.229905</v>
      </c>
      <c r="AK67" s="318">
        <f t="shared" si="72"/>
        <v>2879541840.511996</v>
      </c>
      <c r="AL67" s="318">
        <f t="shared" si="72"/>
        <v>318154</v>
      </c>
      <c r="AM67" s="318">
        <f t="shared" si="72"/>
        <v>195595316.8819953</v>
      </c>
      <c r="AN67" s="288">
        <f>+AF67/I67</f>
        <v>0.9291932693705309</v>
      </c>
      <c r="AO67" s="288">
        <f>+AB67/M67</f>
        <v>1</v>
      </c>
      <c r="AP67" s="288">
        <f>+AC67/Q67</f>
        <v>1</v>
      </c>
      <c r="AQ67" s="288">
        <f>+AD67/V67</f>
        <v>0.999999999055342</v>
      </c>
      <c r="AR67" s="288">
        <f>+AE67/Z67</f>
        <v>0.7922314882814074</v>
      </c>
    </row>
    <row r="68" ht="15" customHeight="1">
      <c r="C68" s="257" t="s">
        <v>130</v>
      </c>
    </row>
    <row r="69" spans="9:31" ht="15" hidden="1">
      <c r="I69" s="334" t="s">
        <v>289</v>
      </c>
      <c r="J69" s="334"/>
      <c r="K69" s="334"/>
      <c r="L69" s="334"/>
      <c r="M69" s="334"/>
      <c r="N69" s="334"/>
      <c r="O69" s="334"/>
      <c r="P69" s="334"/>
      <c r="Q69" s="334"/>
      <c r="R69" s="334"/>
      <c r="S69" s="334"/>
      <c r="T69" s="334"/>
      <c r="U69" s="334"/>
      <c r="V69" s="334"/>
      <c r="W69" s="334"/>
      <c r="X69" s="334"/>
      <c r="Y69" s="334"/>
      <c r="Z69" s="257">
        <f>+Z67+TEC!AA64+PPC!Z70+MER!AA75</f>
        <v>3971704778.060301</v>
      </c>
      <c r="AA69" s="334"/>
      <c r="AB69" s="257">
        <f>+AB67+TEC!AC64+PPC!AB70+MER!AC75</f>
        <v>2264125997.62</v>
      </c>
      <c r="AC69" s="257">
        <f>+AC67+TEC!AD64+PPC!AC70+MER!AD75</f>
        <v>2924308998.68</v>
      </c>
      <c r="AD69" s="257">
        <f>+AD67+TEC!AE64+PPC!AD70+MER!AE75</f>
        <v>3390034284.71</v>
      </c>
      <c r="AE69" s="257">
        <f>+AE67+TEC!AF64+PPC!AE70+MER!AF75</f>
        <v>3506563427.8500004</v>
      </c>
    </row>
    <row r="70" ht="15">
      <c r="I70" s="331"/>
    </row>
    <row r="71" ht="15"/>
  </sheetData>
  <sheetProtection/>
  <mergeCells count="10">
    <mergeCell ref="N7:Q7"/>
    <mergeCell ref="R7:V7"/>
    <mergeCell ref="W7:Z7"/>
    <mergeCell ref="A7:A8"/>
    <mergeCell ref="C7:C8"/>
    <mergeCell ref="D7:D8"/>
    <mergeCell ref="E7:E8"/>
    <mergeCell ref="F7:F8"/>
    <mergeCell ref="J7:M7"/>
    <mergeCell ref="G7:G8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scale="76" r:id="rId3"/>
  <colBreaks count="2" manualBreakCount="2">
    <brk id="40" max="66" man="1"/>
    <brk id="44" max="6553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U64"/>
  <sheetViews>
    <sheetView view="pageBreakPreview" zoomScale="60" zoomScaleNormal="75" zoomScalePageLayoutView="0" workbookViewId="0" topLeftCell="A1">
      <pane xSplit="1" ySplit="8" topLeftCell="B9" activePane="bottomRight" state="frozen"/>
      <selection pane="topLeft" activeCell="C28" sqref="C28:C29"/>
      <selection pane="topRight" activeCell="C28" sqref="C28:C29"/>
      <selection pane="bottomLeft" activeCell="C28" sqref="C28:C29"/>
      <selection pane="bottomRight" activeCell="C28" sqref="C28:C29"/>
    </sheetView>
  </sheetViews>
  <sheetFormatPr defaultColWidth="11.421875" defaultRowHeight="12.75" outlineLevelRow="2" outlineLevelCol="2"/>
  <cols>
    <col min="1" max="1" width="38.7109375" style="3" customWidth="1"/>
    <col min="2" max="2" width="22.00390625" style="3" customWidth="1"/>
    <col min="3" max="8" width="18.140625" style="3" hidden="1" customWidth="1" outlineLevel="1"/>
    <col min="9" max="9" width="22.421875" style="3" customWidth="1" collapsed="1"/>
    <col min="10" max="11" width="17.00390625" style="3" hidden="1" customWidth="1" outlineLevel="2"/>
    <col min="12" max="12" width="18.421875" style="3" hidden="1" customWidth="1" outlineLevel="2"/>
    <col min="13" max="13" width="14.7109375" style="3" hidden="1" customWidth="1" outlineLevel="1" collapsed="1"/>
    <col min="14" max="14" width="14.8515625" style="3" hidden="1" customWidth="1" outlineLevel="2"/>
    <col min="15" max="15" width="18.140625" style="3" hidden="1" customWidth="1" outlineLevel="2"/>
    <col min="16" max="16" width="15.57421875" style="3" hidden="1" customWidth="1" outlineLevel="2"/>
    <col min="17" max="17" width="15.57421875" style="3" hidden="1" customWidth="1" outlineLevel="1" collapsed="1"/>
    <col min="18" max="18" width="21.28125" style="3" hidden="1" customWidth="1" outlineLevel="2"/>
    <col min="19" max="19" width="20.8515625" style="3" hidden="1" customWidth="1" outlineLevel="2"/>
    <col min="20" max="20" width="22.00390625" style="3" hidden="1" customWidth="1" outlineLevel="2"/>
    <col min="21" max="21" width="16.140625" style="3" hidden="1" customWidth="1" outlineLevel="2"/>
    <col min="22" max="22" width="14.7109375" style="3" hidden="1" customWidth="1" outlineLevel="1" collapsed="1"/>
    <col min="23" max="23" width="20.57421875" style="3" hidden="1" customWidth="1" outlineLevel="2"/>
    <col min="24" max="25" width="17.00390625" style="3" hidden="1" customWidth="1" outlineLevel="2"/>
    <col min="26" max="26" width="17.28125" style="3" hidden="1" customWidth="1" outlineLevel="2"/>
    <col min="27" max="27" width="16.140625" style="3" hidden="1" customWidth="1" outlineLevel="1" collapsed="1"/>
    <col min="28" max="28" width="16.57421875" style="3" hidden="1" customWidth="1" collapsed="1"/>
    <col min="29" max="29" width="17.57421875" style="3" customWidth="1" outlineLevel="1"/>
    <col min="30" max="30" width="16.57421875" style="3" bestFit="1" customWidth="1" outlineLevel="1"/>
    <col min="31" max="31" width="19.8515625" style="3" customWidth="1" outlineLevel="1"/>
    <col min="32" max="32" width="16.57421875" style="3" bestFit="1" customWidth="1" outlineLevel="1"/>
    <col min="33" max="33" width="19.8515625" style="3" customWidth="1"/>
    <col min="34" max="34" width="16.28125" style="3" hidden="1" customWidth="1" outlineLevel="1"/>
    <col min="35" max="35" width="17.00390625" style="3" hidden="1" customWidth="1" outlineLevel="1"/>
    <col min="36" max="36" width="14.57421875" style="3" hidden="1" customWidth="1" outlineLevel="1"/>
    <col min="37" max="37" width="19.7109375" style="3" hidden="1" customWidth="1" outlineLevel="1"/>
    <col min="38" max="38" width="20.7109375" style="3" hidden="1" customWidth="1" outlineLevel="1"/>
    <col min="39" max="39" width="19.7109375" style="3" hidden="1" customWidth="1" collapsed="1"/>
    <col min="40" max="40" width="23.7109375" style="3" hidden="1" customWidth="1"/>
    <col min="41" max="41" width="15.140625" style="3" customWidth="1"/>
    <col min="42" max="42" width="15.7109375" style="3" hidden="1" customWidth="1"/>
    <col min="43" max="44" width="14.421875" style="3" hidden="1" customWidth="1"/>
    <col min="45" max="45" width="15.421875" style="3" hidden="1" customWidth="1"/>
    <col min="46" max="16384" width="11.421875" style="3" customWidth="1"/>
  </cols>
  <sheetData>
    <row r="1" ht="16.5">
      <c r="A1" s="2" t="s">
        <v>0</v>
      </c>
    </row>
    <row r="2" ht="16.5">
      <c r="A2" s="2" t="s">
        <v>1</v>
      </c>
    </row>
    <row r="3" ht="16.5">
      <c r="A3" s="2" t="s">
        <v>134</v>
      </c>
    </row>
    <row r="4" ht="16.5">
      <c r="A4" s="2" t="s">
        <v>182</v>
      </c>
    </row>
    <row r="5" spans="1:43" ht="16.5">
      <c r="A5" s="2" t="s">
        <v>355</v>
      </c>
      <c r="AQ5" s="2"/>
    </row>
    <row r="6" spans="1:34" ht="17.25" thickBot="1">
      <c r="A6" s="4"/>
      <c r="B6" s="4"/>
      <c r="C6" s="4"/>
      <c r="D6" s="4"/>
      <c r="E6" s="4"/>
      <c r="F6" s="4"/>
      <c r="G6" s="4"/>
      <c r="H6" s="4"/>
      <c r="I6" s="5"/>
      <c r="M6" s="6"/>
      <c r="O6" s="4"/>
      <c r="AC6" s="6"/>
      <c r="AH6" s="6"/>
    </row>
    <row r="7" spans="1:46" s="348" customFormat="1" ht="18" customHeight="1" thickBot="1">
      <c r="A7" s="807" t="s">
        <v>2</v>
      </c>
      <c r="B7" s="403" t="s">
        <v>353</v>
      </c>
      <c r="C7" s="807" t="s">
        <v>232</v>
      </c>
      <c r="D7" s="807" t="s">
        <v>227</v>
      </c>
      <c r="E7" s="807" t="s">
        <v>269</v>
      </c>
      <c r="F7" s="807" t="s">
        <v>274</v>
      </c>
      <c r="G7" s="807" t="s">
        <v>290</v>
      </c>
      <c r="H7" s="365" t="s">
        <v>297</v>
      </c>
      <c r="I7" s="344" t="s">
        <v>293</v>
      </c>
      <c r="J7" s="806" t="s">
        <v>122</v>
      </c>
      <c r="K7" s="806"/>
      <c r="L7" s="806"/>
      <c r="M7" s="806"/>
      <c r="N7" s="803" t="s">
        <v>123</v>
      </c>
      <c r="O7" s="804"/>
      <c r="P7" s="804"/>
      <c r="Q7" s="805"/>
      <c r="R7" s="806" t="s">
        <v>129</v>
      </c>
      <c r="S7" s="806"/>
      <c r="T7" s="806"/>
      <c r="U7" s="806"/>
      <c r="V7" s="806"/>
      <c r="W7" s="806" t="s">
        <v>131</v>
      </c>
      <c r="X7" s="806"/>
      <c r="Y7" s="806"/>
      <c r="Z7" s="806"/>
      <c r="AA7" s="806"/>
      <c r="AB7" s="344" t="s">
        <v>77</v>
      </c>
      <c r="AC7" s="344" t="s">
        <v>6</v>
      </c>
      <c r="AD7" s="344" t="s">
        <v>6</v>
      </c>
      <c r="AE7" s="344" t="s">
        <v>6</v>
      </c>
      <c r="AF7" s="344" t="s">
        <v>6</v>
      </c>
      <c r="AG7" s="344" t="s">
        <v>7</v>
      </c>
      <c r="AH7" s="344" t="s">
        <v>10</v>
      </c>
      <c r="AI7" s="344" t="s">
        <v>10</v>
      </c>
      <c r="AJ7" s="344" t="s">
        <v>10</v>
      </c>
      <c r="AK7" s="344" t="s">
        <v>10</v>
      </c>
      <c r="AL7" s="344" t="s">
        <v>5</v>
      </c>
      <c r="AM7" s="344" t="s">
        <v>78</v>
      </c>
      <c r="AN7" s="344" t="s">
        <v>79</v>
      </c>
      <c r="AO7" s="344" t="s">
        <v>80</v>
      </c>
      <c r="AP7" s="347" t="s">
        <v>81</v>
      </c>
      <c r="AQ7" s="347" t="s">
        <v>81</v>
      </c>
      <c r="AR7" s="347" t="s">
        <v>81</v>
      </c>
      <c r="AS7" s="347" t="s">
        <v>81</v>
      </c>
      <c r="AT7" s="348" t="s">
        <v>130</v>
      </c>
    </row>
    <row r="8" spans="1:45" s="348" customFormat="1" ht="17.25" thickBot="1">
      <c r="A8" s="808"/>
      <c r="B8" s="345" t="s">
        <v>97</v>
      </c>
      <c r="C8" s="808"/>
      <c r="D8" s="808"/>
      <c r="E8" s="808"/>
      <c r="F8" s="808"/>
      <c r="G8" s="808"/>
      <c r="H8" s="366" t="s">
        <v>288</v>
      </c>
      <c r="I8" s="345" t="s">
        <v>83</v>
      </c>
      <c r="J8" s="346" t="s">
        <v>217</v>
      </c>
      <c r="K8" s="346" t="s">
        <v>229</v>
      </c>
      <c r="L8" s="346" t="s">
        <v>223</v>
      </c>
      <c r="M8" s="346" t="s">
        <v>83</v>
      </c>
      <c r="N8" s="345" t="s">
        <v>224</v>
      </c>
      <c r="O8" s="345" t="s">
        <v>271</v>
      </c>
      <c r="P8" s="345" t="s">
        <v>270</v>
      </c>
      <c r="Q8" s="345" t="s">
        <v>83</v>
      </c>
      <c r="R8" s="345" t="s">
        <v>272</v>
      </c>
      <c r="S8" s="345" t="s">
        <v>277</v>
      </c>
      <c r="T8" s="345" t="s">
        <v>287</v>
      </c>
      <c r="U8" s="345" t="s">
        <v>281</v>
      </c>
      <c r="V8" s="345" t="s">
        <v>83</v>
      </c>
      <c r="W8" s="345" t="s">
        <v>282</v>
      </c>
      <c r="X8" s="345" t="s">
        <v>290</v>
      </c>
      <c r="Y8" s="366" t="s">
        <v>294</v>
      </c>
      <c r="Z8" s="364"/>
      <c r="AA8" s="345" t="s">
        <v>83</v>
      </c>
      <c r="AB8" s="345" t="s">
        <v>5</v>
      </c>
      <c r="AC8" s="345" t="s">
        <v>12</v>
      </c>
      <c r="AD8" s="345" t="s">
        <v>13</v>
      </c>
      <c r="AE8" s="345" t="s">
        <v>14</v>
      </c>
      <c r="AF8" s="345" t="s">
        <v>15</v>
      </c>
      <c r="AG8" s="345" t="s">
        <v>6</v>
      </c>
      <c r="AH8" s="345" t="s">
        <v>12</v>
      </c>
      <c r="AI8" s="345" t="s">
        <v>13</v>
      </c>
      <c r="AJ8" s="345" t="s">
        <v>14</v>
      </c>
      <c r="AK8" s="345" t="s">
        <v>15</v>
      </c>
      <c r="AL8" s="345"/>
      <c r="AM8" s="345" t="s">
        <v>84</v>
      </c>
      <c r="AN8" s="345" t="s">
        <v>6</v>
      </c>
      <c r="AO8" s="345" t="s">
        <v>19</v>
      </c>
      <c r="AP8" s="350" t="s">
        <v>12</v>
      </c>
      <c r="AQ8" s="350" t="s">
        <v>13</v>
      </c>
      <c r="AR8" s="350" t="s">
        <v>14</v>
      </c>
      <c r="AS8" s="350" t="s">
        <v>15</v>
      </c>
    </row>
    <row r="9" spans="1:45" ht="15" customHeight="1">
      <c r="A9" s="178" t="s">
        <v>22</v>
      </c>
      <c r="B9" s="37" t="s">
        <v>130</v>
      </c>
      <c r="C9" s="96"/>
      <c r="D9" s="96"/>
      <c r="E9" s="96"/>
      <c r="F9" s="96"/>
      <c r="G9" s="96"/>
      <c r="H9" s="96"/>
      <c r="I9" s="37"/>
      <c r="J9" s="101"/>
      <c r="K9" s="59"/>
      <c r="L9" s="59"/>
      <c r="M9" s="59"/>
      <c r="N9" s="37"/>
      <c r="O9" s="96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179"/>
    </row>
    <row r="10" spans="1:45" ht="15" customHeight="1">
      <c r="A10" s="170" t="s">
        <v>23</v>
      </c>
      <c r="B10" s="7"/>
      <c r="C10" s="8"/>
      <c r="D10" s="8"/>
      <c r="E10" s="8"/>
      <c r="F10" s="8"/>
      <c r="G10" s="8"/>
      <c r="H10" s="8"/>
      <c r="I10" s="7"/>
      <c r="J10" s="10"/>
      <c r="K10" s="7"/>
      <c r="L10" s="7"/>
      <c r="M10" s="10"/>
      <c r="N10" s="7"/>
      <c r="O10" s="8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103"/>
    </row>
    <row r="11" spans="1:45" ht="15" customHeight="1">
      <c r="A11" s="170" t="s">
        <v>24</v>
      </c>
      <c r="B11" s="7">
        <v>187384722</v>
      </c>
      <c r="C11" s="8"/>
      <c r="D11" s="8"/>
      <c r="E11" s="8"/>
      <c r="F11" s="8"/>
      <c r="G11" s="8"/>
      <c r="H11" s="8"/>
      <c r="I11" s="7">
        <f>SUM(B11:H11)</f>
        <v>187384722</v>
      </c>
      <c r="J11" s="10">
        <v>42194080.21555</v>
      </c>
      <c r="K11" s="233"/>
      <c r="L11" s="7">
        <v>-2252709.215549998</v>
      </c>
      <c r="M11" s="10">
        <f>SUM(J11:L11)</f>
        <v>39941371</v>
      </c>
      <c r="N11" s="233">
        <v>47230458.1995</v>
      </c>
      <c r="O11" s="8">
        <v>-6459</v>
      </c>
      <c r="P11" s="7">
        <f aca="true" t="shared" si="0" ref="P11:P20">+AD11-N11-O11</f>
        <v>-2609350.199500002</v>
      </c>
      <c r="Q11" s="7">
        <f aca="true" t="shared" si="1" ref="Q11:Q20">SUM(N11:P11)</f>
        <v>44614649</v>
      </c>
      <c r="R11" s="7">
        <v>47230458.1995</v>
      </c>
      <c r="S11" s="7"/>
      <c r="T11" s="7">
        <v>-475758</v>
      </c>
      <c r="U11" s="7">
        <f>-R11-S11-T11+AE11</f>
        <v>-0.19950000196695328</v>
      </c>
      <c r="V11" s="7">
        <f>+SUM(R11:U11)</f>
        <v>46754700</v>
      </c>
      <c r="W11" s="7">
        <v>56074002</v>
      </c>
      <c r="X11" s="7"/>
      <c r="Y11" s="7"/>
      <c r="Z11" s="7"/>
      <c r="AA11" s="7">
        <f>+SUM(W11:Z11)</f>
        <v>56074002</v>
      </c>
      <c r="AB11" s="7">
        <f aca="true" t="shared" si="2" ref="AB11:AB20">+M11+Q11+V11+AA11</f>
        <v>187384722</v>
      </c>
      <c r="AC11" s="357">
        <f>+'[4]TÉC ENE-MAR-11'!$G$9</f>
        <v>39941371</v>
      </c>
      <c r="AD11" s="357">
        <f>+'[4]TÉC ABR-JUN-11'!$G$9</f>
        <v>44614649</v>
      </c>
      <c r="AE11" s="357">
        <f>+'[4]TEC JUL-SEP-11'!$G$9</f>
        <v>46754700</v>
      </c>
      <c r="AF11" s="357">
        <f>+'[4]TEC OCT-DIC'!$G$9</f>
        <v>45651865</v>
      </c>
      <c r="AG11" s="357">
        <f>SUM(AC11:AF11)</f>
        <v>176962585</v>
      </c>
      <c r="AH11" s="7">
        <f aca="true" t="shared" si="3" ref="AH11:AH20">+M11-AC11</f>
        <v>0</v>
      </c>
      <c r="AI11" s="12">
        <f aca="true" t="shared" si="4" ref="AI11:AI20">+Q11-AD11</f>
        <v>0</v>
      </c>
      <c r="AJ11" s="7">
        <f aca="true" t="shared" si="5" ref="AJ11:AJ20">+V11-AE11</f>
        <v>0</v>
      </c>
      <c r="AK11" s="12">
        <f aca="true" t="shared" si="6" ref="AK11:AK20">+AA11-AF11</f>
        <v>10422137</v>
      </c>
      <c r="AL11" s="7">
        <f>+AB11</f>
        <v>187384722</v>
      </c>
      <c r="AM11" s="7">
        <f aca="true" t="shared" si="7" ref="AM11:AM20">+I11-AL11</f>
        <v>0</v>
      </c>
      <c r="AN11" s="7">
        <f>+AL11-AG11</f>
        <v>10422137</v>
      </c>
      <c r="AO11" s="130">
        <f>+AG11/I11</f>
        <v>0.9443810739276812</v>
      </c>
      <c r="AP11" s="130">
        <f>+AC11/M11</f>
        <v>1</v>
      </c>
      <c r="AQ11" s="130">
        <f>+AD11/Q11</f>
        <v>1</v>
      </c>
      <c r="AR11" s="130">
        <f>+AE11/V11</f>
        <v>1</v>
      </c>
      <c r="AS11" s="135">
        <f>+AF11/AA11</f>
        <v>0.8141360233214673</v>
      </c>
    </row>
    <row r="12" spans="1:45" ht="15" customHeight="1">
      <c r="A12" s="170" t="s">
        <v>25</v>
      </c>
      <c r="B12" s="7">
        <v>8780686</v>
      </c>
      <c r="C12" s="8"/>
      <c r="D12" s="8"/>
      <c r="E12" s="8"/>
      <c r="F12" s="8"/>
      <c r="G12" s="8"/>
      <c r="H12" s="8"/>
      <c r="I12" s="7">
        <f aca="true" t="shared" si="8" ref="I12:I19">SUM(B12:H12)</f>
        <v>8780686</v>
      </c>
      <c r="J12" s="7">
        <v>1948763.5339553151</v>
      </c>
      <c r="K12" s="233"/>
      <c r="L12" s="7">
        <v>-268029.5339553151</v>
      </c>
      <c r="M12" s="7">
        <f aca="true" t="shared" si="9" ref="M12:M20">SUM(J12:L12)</f>
        <v>1680734</v>
      </c>
      <c r="N12" s="233">
        <v>2194293.4480183497</v>
      </c>
      <c r="O12" s="8"/>
      <c r="P12" s="7">
        <f t="shared" si="0"/>
        <v>-91952.4480183497</v>
      </c>
      <c r="Q12" s="7">
        <f t="shared" si="1"/>
        <v>2102341</v>
      </c>
      <c r="R12" s="7">
        <v>2194293.4480183497</v>
      </c>
      <c r="S12" s="7"/>
      <c r="T12" s="7">
        <v>382032</v>
      </c>
      <c r="U12" s="7">
        <f aca="true" t="shared" si="10" ref="U12:U19">-R12-S12-T12+AE12</f>
        <v>-0.4480183497071266</v>
      </c>
      <c r="V12" s="7">
        <f aca="true" t="shared" si="11" ref="V12:V20">+SUM(R12:U12)</f>
        <v>2576325</v>
      </c>
      <c r="W12" s="7">
        <v>2421286</v>
      </c>
      <c r="X12" s="7"/>
      <c r="Y12" s="7"/>
      <c r="Z12" s="7"/>
      <c r="AA12" s="7">
        <f aca="true" t="shared" si="12" ref="AA12:AA20">+SUM(W12:Z12)</f>
        <v>2421286</v>
      </c>
      <c r="AB12" s="7">
        <f t="shared" si="2"/>
        <v>8780686</v>
      </c>
      <c r="AC12" s="357">
        <f>+'[4]TÉC ENE-MAR-11'!$G$20</f>
        <v>1680734</v>
      </c>
      <c r="AD12" s="357">
        <f>+'[4]TÉC ABR-JUN-11'!$G$23</f>
        <v>2102341</v>
      </c>
      <c r="AE12" s="357">
        <f>+'[4]TEC JUL-SEP-11'!$G$21</f>
        <v>2576325</v>
      </c>
      <c r="AF12" s="357">
        <f>+'[4]TEC OCT-DIC'!$G$22</f>
        <v>2195173</v>
      </c>
      <c r="AG12" s="357">
        <f aca="true" t="shared" si="13" ref="AG12:AG20">SUM(AC12:AF12)</f>
        <v>8554573</v>
      </c>
      <c r="AH12" s="7">
        <f t="shared" si="3"/>
        <v>0</v>
      </c>
      <c r="AI12" s="12">
        <f t="shared" si="4"/>
        <v>0</v>
      </c>
      <c r="AJ12" s="7">
        <f t="shared" si="5"/>
        <v>0</v>
      </c>
      <c r="AK12" s="12">
        <f t="shared" si="6"/>
        <v>226113</v>
      </c>
      <c r="AL12" s="7">
        <f aca="true" t="shared" si="14" ref="AL12:AL20">+AB12</f>
        <v>8780686</v>
      </c>
      <c r="AM12" s="7">
        <f t="shared" si="7"/>
        <v>0</v>
      </c>
      <c r="AN12" s="7">
        <f aca="true" t="shared" si="15" ref="AN12:AN20">+AL12-AG12</f>
        <v>226113</v>
      </c>
      <c r="AO12" s="130">
        <f>+AG12/I12</f>
        <v>0.974248822927958</v>
      </c>
      <c r="AP12" s="130">
        <f>+AC12/M12</f>
        <v>1</v>
      </c>
      <c r="AQ12" s="130">
        <f>+AD12/Q12</f>
        <v>1</v>
      </c>
      <c r="AR12" s="130">
        <f>+AE12/V12</f>
        <v>1</v>
      </c>
      <c r="AS12" s="135">
        <f aca="true" t="shared" si="16" ref="AS12:AS19">+AF12/AA12</f>
        <v>0.9066145015500028</v>
      </c>
    </row>
    <row r="13" spans="1:45" ht="15" customHeight="1">
      <c r="A13" s="170" t="s">
        <v>26</v>
      </c>
      <c r="B13" s="7">
        <v>1053682</v>
      </c>
      <c r="C13" s="8"/>
      <c r="D13" s="8"/>
      <c r="E13" s="8"/>
      <c r="F13" s="8"/>
      <c r="G13" s="8"/>
      <c r="H13" s="8"/>
      <c r="I13" s="7">
        <f t="shared" si="8"/>
        <v>1053682</v>
      </c>
      <c r="J13" s="7">
        <v>233851.6240746378</v>
      </c>
      <c r="K13" s="233"/>
      <c r="L13" s="7">
        <v>-32163.624074637803</v>
      </c>
      <c r="M13" s="7">
        <f t="shared" si="9"/>
        <v>201688</v>
      </c>
      <c r="N13" s="233">
        <v>263315.21376220195</v>
      </c>
      <c r="O13" s="8"/>
      <c r="P13" s="7">
        <f t="shared" si="0"/>
        <v>-248119.21376220195</v>
      </c>
      <c r="Q13" s="7">
        <f t="shared" si="1"/>
        <v>15196</v>
      </c>
      <c r="R13" s="7">
        <v>263315.21376220195</v>
      </c>
      <c r="S13" s="7"/>
      <c r="T13" s="7">
        <v>73231</v>
      </c>
      <c r="U13" s="7">
        <f t="shared" si="10"/>
        <v>-0.21376220195088536</v>
      </c>
      <c r="V13" s="7">
        <f t="shared" si="11"/>
        <v>336546</v>
      </c>
      <c r="W13" s="7">
        <v>500252</v>
      </c>
      <c r="X13" s="7"/>
      <c r="Y13" s="7"/>
      <c r="Z13" s="7"/>
      <c r="AA13" s="7">
        <f t="shared" si="12"/>
        <v>500252</v>
      </c>
      <c r="AB13" s="7">
        <f t="shared" si="2"/>
        <v>1053682</v>
      </c>
      <c r="AC13" s="357">
        <f>+'[4]TÉC ENE-MAR-11'!$G$27</f>
        <v>201688</v>
      </c>
      <c r="AD13" s="357">
        <f>+'[4]TÉC ABR-JUN-11'!$G$31</f>
        <v>15196</v>
      </c>
      <c r="AE13" s="357">
        <f>+'[4]TEC JUL-SEP-11'!$G$28</f>
        <v>336546</v>
      </c>
      <c r="AF13" s="357">
        <f>+'[4]TEC OCT-DIC'!$G$29</f>
        <v>447418</v>
      </c>
      <c r="AG13" s="357">
        <f t="shared" si="13"/>
        <v>1000848</v>
      </c>
      <c r="AH13" s="7">
        <f t="shared" si="3"/>
        <v>0</v>
      </c>
      <c r="AI13" s="12">
        <f t="shared" si="4"/>
        <v>0</v>
      </c>
      <c r="AJ13" s="7">
        <f t="shared" si="5"/>
        <v>0</v>
      </c>
      <c r="AK13" s="12">
        <f t="shared" si="6"/>
        <v>52834</v>
      </c>
      <c r="AL13" s="7">
        <f t="shared" si="14"/>
        <v>1053682</v>
      </c>
      <c r="AM13" s="7">
        <f t="shared" si="7"/>
        <v>0</v>
      </c>
      <c r="AN13" s="7">
        <f t="shared" si="15"/>
        <v>52834</v>
      </c>
      <c r="AO13" s="130">
        <f>+AG13/I13</f>
        <v>0.9498577369642833</v>
      </c>
      <c r="AP13" s="130">
        <f>+AC13/M13</f>
        <v>1</v>
      </c>
      <c r="AQ13" s="130">
        <f>+AD13/Q13</f>
        <v>1</v>
      </c>
      <c r="AR13" s="130">
        <f>+AE13/V13</f>
        <v>1</v>
      </c>
      <c r="AS13" s="135">
        <f t="shared" si="16"/>
        <v>0.8943852298441586</v>
      </c>
    </row>
    <row r="14" spans="1:45" ht="15" customHeight="1">
      <c r="A14" s="170" t="s">
        <v>27</v>
      </c>
      <c r="B14" s="7">
        <v>8780686</v>
      </c>
      <c r="C14" s="8"/>
      <c r="D14" s="8"/>
      <c r="E14" s="8"/>
      <c r="F14" s="8"/>
      <c r="G14" s="8"/>
      <c r="H14" s="8"/>
      <c r="I14" s="7">
        <f t="shared" si="8"/>
        <v>8780686</v>
      </c>
      <c r="J14" s="7">
        <v>1948763.5339553151</v>
      </c>
      <c r="K14" s="233"/>
      <c r="L14" s="7">
        <v>-268029.5339553151</v>
      </c>
      <c r="M14" s="7">
        <f t="shared" si="9"/>
        <v>1680734</v>
      </c>
      <c r="N14" s="233">
        <v>2194293.4480183497</v>
      </c>
      <c r="O14" s="8"/>
      <c r="P14" s="7">
        <f t="shared" si="0"/>
        <v>-91952.4480183497</v>
      </c>
      <c r="Q14" s="7">
        <f t="shared" si="1"/>
        <v>2102341</v>
      </c>
      <c r="R14" s="7">
        <v>2194293.4480183497</v>
      </c>
      <c r="S14" s="7"/>
      <c r="T14" s="7">
        <v>382032</v>
      </c>
      <c r="U14" s="7">
        <f t="shared" si="10"/>
        <v>-0.4480183497071266</v>
      </c>
      <c r="V14" s="7">
        <f t="shared" si="11"/>
        <v>2576325</v>
      </c>
      <c r="W14" s="7">
        <v>2421286</v>
      </c>
      <c r="X14" s="7"/>
      <c r="Y14" s="7"/>
      <c r="Z14" s="7"/>
      <c r="AA14" s="7">
        <f t="shared" si="12"/>
        <v>2421286</v>
      </c>
      <c r="AB14" s="7">
        <f t="shared" si="2"/>
        <v>8780686</v>
      </c>
      <c r="AC14" s="357">
        <f>+'[4]TÉC ENE-MAR-11'!$G$34</f>
        <v>1680734</v>
      </c>
      <c r="AD14" s="357">
        <f>+'[4]TÉC ABR-JUN-11'!$G$39</f>
        <v>2102341</v>
      </c>
      <c r="AE14" s="357">
        <f>+'[4]TEC JUL-SEP-11'!$G$35</f>
        <v>2576325</v>
      </c>
      <c r="AF14" s="357">
        <f>+'[4]TEC OCT-DIC'!$G$36</f>
        <v>1814018</v>
      </c>
      <c r="AG14" s="357">
        <f t="shared" si="13"/>
        <v>8173418</v>
      </c>
      <c r="AH14" s="7">
        <f t="shared" si="3"/>
        <v>0</v>
      </c>
      <c r="AI14" s="12">
        <f t="shared" si="4"/>
        <v>0</v>
      </c>
      <c r="AJ14" s="7">
        <f t="shared" si="5"/>
        <v>0</v>
      </c>
      <c r="AK14" s="12">
        <f t="shared" si="6"/>
        <v>607268</v>
      </c>
      <c r="AL14" s="7">
        <f t="shared" si="14"/>
        <v>8780686</v>
      </c>
      <c r="AM14" s="7">
        <f t="shared" si="7"/>
        <v>0</v>
      </c>
      <c r="AN14" s="7">
        <f t="shared" si="15"/>
        <v>607268</v>
      </c>
      <c r="AO14" s="130">
        <f>+AG14/I14</f>
        <v>0.9308404833062018</v>
      </c>
      <c r="AP14" s="130">
        <f>+AC14/M14</f>
        <v>1</v>
      </c>
      <c r="AQ14" s="130">
        <f>+AD14/Q14</f>
        <v>1</v>
      </c>
      <c r="AR14" s="130">
        <f>+AE14/V14</f>
        <v>1</v>
      </c>
      <c r="AS14" s="135">
        <f t="shared" si="16"/>
        <v>0.7491960883596568</v>
      </c>
    </row>
    <row r="15" spans="1:45" ht="15" customHeight="1">
      <c r="A15" s="170" t="s">
        <v>28</v>
      </c>
      <c r="B15" s="7">
        <v>7871743</v>
      </c>
      <c r="C15" s="8"/>
      <c r="D15" s="8"/>
      <c r="E15" s="8"/>
      <c r="F15" s="8"/>
      <c r="G15" s="8"/>
      <c r="H15" s="8"/>
      <c r="I15" s="7">
        <f t="shared" si="8"/>
        <v>7871743</v>
      </c>
      <c r="J15" s="7">
        <v>1961553.74691915</v>
      </c>
      <c r="K15" s="233"/>
      <c r="L15" s="7">
        <v>-297328.74691915</v>
      </c>
      <c r="M15" s="7">
        <f t="shared" si="9"/>
        <v>1664225</v>
      </c>
      <c r="N15" s="233">
        <v>1961553.74691915</v>
      </c>
      <c r="O15" s="8">
        <v>6459</v>
      </c>
      <c r="P15" s="7">
        <f t="shared" si="0"/>
        <v>0.25308085000142455</v>
      </c>
      <c r="Q15" s="7">
        <f t="shared" si="1"/>
        <v>1968013</v>
      </c>
      <c r="R15" s="7">
        <v>1961553.74691915</v>
      </c>
      <c r="S15" s="7"/>
      <c r="T15" s="7">
        <v>173109</v>
      </c>
      <c r="U15" s="7">
        <f t="shared" si="10"/>
        <v>0.25308085000142455</v>
      </c>
      <c r="V15" s="7">
        <f t="shared" si="11"/>
        <v>2134663</v>
      </c>
      <c r="W15" s="7">
        <v>2104842</v>
      </c>
      <c r="X15" s="7"/>
      <c r="Y15" s="7"/>
      <c r="Z15" s="7"/>
      <c r="AA15" s="7">
        <f t="shared" si="12"/>
        <v>2104842</v>
      </c>
      <c r="AB15" s="7">
        <f t="shared" si="2"/>
        <v>7871743</v>
      </c>
      <c r="AC15" s="357">
        <f>+'[4]TÉC ENE-MAR-11'!$G$41</f>
        <v>1664225</v>
      </c>
      <c r="AD15" s="357">
        <f>+'[4]TÉC ABR-JUN-11'!$G$47</f>
        <v>1968013</v>
      </c>
      <c r="AE15" s="357">
        <f>+'[4]TEC JUL-SEP-11'!$G$42</f>
        <v>2134663</v>
      </c>
      <c r="AF15" s="357">
        <f>+'[4]TEC OCT-DIC'!$G$43</f>
        <v>2038674</v>
      </c>
      <c r="AG15" s="357">
        <f t="shared" si="13"/>
        <v>7805575</v>
      </c>
      <c r="AH15" s="7">
        <f t="shared" si="3"/>
        <v>0</v>
      </c>
      <c r="AI15" s="12">
        <f t="shared" si="4"/>
        <v>0</v>
      </c>
      <c r="AJ15" s="7">
        <f t="shared" si="5"/>
        <v>0</v>
      </c>
      <c r="AK15" s="12">
        <f t="shared" si="6"/>
        <v>66168</v>
      </c>
      <c r="AL15" s="7">
        <f t="shared" si="14"/>
        <v>7871743</v>
      </c>
      <c r="AM15" s="7">
        <f t="shared" si="7"/>
        <v>0</v>
      </c>
      <c r="AN15" s="7">
        <f t="shared" si="15"/>
        <v>66168</v>
      </c>
      <c r="AO15" s="130">
        <f>+AG15/I15</f>
        <v>0.9915942377691954</v>
      </c>
      <c r="AP15" s="130">
        <f>+AC15/M15</f>
        <v>1</v>
      </c>
      <c r="AQ15" s="130">
        <f>+AD15/Q15</f>
        <v>1</v>
      </c>
      <c r="AR15" s="130">
        <f>+AE15/V15</f>
        <v>1</v>
      </c>
      <c r="AS15" s="135">
        <f t="shared" si="16"/>
        <v>0.9685639112104376</v>
      </c>
    </row>
    <row r="16" spans="1:45" ht="15" customHeight="1">
      <c r="A16" s="170" t="s">
        <v>29</v>
      </c>
      <c r="B16" s="7"/>
      <c r="C16" s="8"/>
      <c r="D16" s="8"/>
      <c r="E16" s="8"/>
      <c r="F16" s="8"/>
      <c r="G16" s="8"/>
      <c r="H16" s="8"/>
      <c r="I16" s="7">
        <f t="shared" si="8"/>
        <v>0</v>
      </c>
      <c r="J16" s="7"/>
      <c r="K16" s="233"/>
      <c r="L16" s="7">
        <v>0</v>
      </c>
      <c r="M16" s="7">
        <f t="shared" si="9"/>
        <v>0</v>
      </c>
      <c r="N16" s="233">
        <v>0</v>
      </c>
      <c r="O16" s="8"/>
      <c r="P16" s="7">
        <f t="shared" si="0"/>
        <v>0</v>
      </c>
      <c r="Q16" s="7">
        <f t="shared" si="1"/>
        <v>0</v>
      </c>
      <c r="R16" s="7">
        <v>0</v>
      </c>
      <c r="S16" s="7"/>
      <c r="T16" s="7">
        <f>-R16+AE16</f>
        <v>0</v>
      </c>
      <c r="U16" s="7">
        <f t="shared" si="10"/>
        <v>0</v>
      </c>
      <c r="V16" s="7">
        <f t="shared" si="11"/>
        <v>0</v>
      </c>
      <c r="W16" s="7">
        <v>0</v>
      </c>
      <c r="X16" s="7"/>
      <c r="Y16" s="7"/>
      <c r="Z16" s="7"/>
      <c r="AA16" s="7">
        <f t="shared" si="12"/>
        <v>0</v>
      </c>
      <c r="AB16" s="7">
        <f t="shared" si="2"/>
        <v>0</v>
      </c>
      <c r="AC16" s="357"/>
      <c r="AD16" s="357"/>
      <c r="AE16" s="357"/>
      <c r="AF16" s="357"/>
      <c r="AG16" s="357">
        <f t="shared" si="13"/>
        <v>0</v>
      </c>
      <c r="AH16" s="7">
        <f t="shared" si="3"/>
        <v>0</v>
      </c>
      <c r="AI16" s="12">
        <f t="shared" si="4"/>
        <v>0</v>
      </c>
      <c r="AJ16" s="7">
        <f t="shared" si="5"/>
        <v>0</v>
      </c>
      <c r="AK16" s="12">
        <f t="shared" si="6"/>
        <v>0</v>
      </c>
      <c r="AL16" s="7">
        <f t="shared" si="14"/>
        <v>0</v>
      </c>
      <c r="AM16" s="7">
        <f t="shared" si="7"/>
        <v>0</v>
      </c>
      <c r="AN16" s="7">
        <f t="shared" si="15"/>
        <v>0</v>
      </c>
      <c r="AO16" s="130">
        <v>0</v>
      </c>
      <c r="AP16" s="130">
        <v>0</v>
      </c>
      <c r="AQ16" s="130">
        <v>0</v>
      </c>
      <c r="AR16" s="130">
        <v>0</v>
      </c>
      <c r="AS16" s="135">
        <v>0</v>
      </c>
    </row>
    <row r="17" spans="1:45" ht="15" customHeight="1">
      <c r="A17" s="170" t="s">
        <v>30</v>
      </c>
      <c r="B17" s="7">
        <v>33947102.11301639</v>
      </c>
      <c r="C17" s="8"/>
      <c r="D17" s="8"/>
      <c r="E17" s="8"/>
      <c r="F17" s="8"/>
      <c r="G17" s="8"/>
      <c r="H17" s="8"/>
      <c r="I17" s="7">
        <f t="shared" si="8"/>
        <v>33947102.11301639</v>
      </c>
      <c r="J17" s="7">
        <v>7643870.84955292</v>
      </c>
      <c r="K17" s="233"/>
      <c r="L17" s="7">
        <v>-88064.84955292009</v>
      </c>
      <c r="M17" s="7">
        <f t="shared" si="9"/>
        <v>7555806</v>
      </c>
      <c r="N17" s="233">
        <v>8571329.11229889</v>
      </c>
      <c r="O17" s="8"/>
      <c r="P17" s="7">
        <f t="shared" si="0"/>
        <v>-530386.1122988891</v>
      </c>
      <c r="Q17" s="7">
        <f t="shared" si="1"/>
        <v>8040943</v>
      </c>
      <c r="R17" s="7">
        <v>8571329.11229889</v>
      </c>
      <c r="S17" s="7"/>
      <c r="T17" s="7"/>
      <c r="U17" s="7">
        <f t="shared" si="10"/>
        <v>-5427.112298889086</v>
      </c>
      <c r="V17" s="7">
        <f t="shared" si="11"/>
        <v>8565902</v>
      </c>
      <c r="W17" s="7">
        <v>9784451.11301639</v>
      </c>
      <c r="X17" s="7"/>
      <c r="Y17" s="7"/>
      <c r="Z17" s="7"/>
      <c r="AA17" s="7">
        <f t="shared" si="12"/>
        <v>9784451.11301639</v>
      </c>
      <c r="AB17" s="7">
        <f t="shared" si="2"/>
        <v>33947102.11301639</v>
      </c>
      <c r="AC17" s="357">
        <f>+'[4]TÉC ENE-MAR-11'!$G$48</f>
        <v>7555806</v>
      </c>
      <c r="AD17" s="357">
        <f>+'[4]TÉC ABR-JUN-11'!$G$55</f>
        <v>8040943</v>
      </c>
      <c r="AE17" s="357">
        <f>+'[4]TEC JUL-SEP-11'!$G$50</f>
        <v>8565902</v>
      </c>
      <c r="AF17" s="357">
        <f>+'[4]TEC OCT-DIC'!$G$50</f>
        <v>8559402</v>
      </c>
      <c r="AG17" s="357">
        <f t="shared" si="13"/>
        <v>32722053</v>
      </c>
      <c r="AH17" s="7">
        <f t="shared" si="3"/>
        <v>0</v>
      </c>
      <c r="AI17" s="12">
        <f t="shared" si="4"/>
        <v>0</v>
      </c>
      <c r="AJ17" s="7">
        <f t="shared" si="5"/>
        <v>0</v>
      </c>
      <c r="AK17" s="12">
        <f t="shared" si="6"/>
        <v>1225049.1130163893</v>
      </c>
      <c r="AL17" s="7">
        <f t="shared" si="14"/>
        <v>33947102.11301639</v>
      </c>
      <c r="AM17" s="7">
        <f t="shared" si="7"/>
        <v>0</v>
      </c>
      <c r="AN17" s="7">
        <f t="shared" si="15"/>
        <v>1225049.1130163893</v>
      </c>
      <c r="AO17" s="130">
        <f>+AG17/I17</f>
        <v>0.9639129988492695</v>
      </c>
      <c r="AP17" s="130">
        <f>+AC17/M17</f>
        <v>1</v>
      </c>
      <c r="AQ17" s="130">
        <f>+AD17/Q17</f>
        <v>1</v>
      </c>
      <c r="AR17" s="130">
        <f>+AE17/V17</f>
        <v>1</v>
      </c>
      <c r="AS17" s="135">
        <f t="shared" si="16"/>
        <v>0.8747963376927</v>
      </c>
    </row>
    <row r="18" spans="1:45" ht="15" customHeight="1">
      <c r="A18" s="170" t="s">
        <v>31</v>
      </c>
      <c r="B18" s="7">
        <v>6459347.752452933</v>
      </c>
      <c r="C18" s="8"/>
      <c r="D18" s="8"/>
      <c r="E18" s="8"/>
      <c r="F18" s="8"/>
      <c r="G18" s="8"/>
      <c r="H18" s="8"/>
      <c r="I18" s="7">
        <f t="shared" si="8"/>
        <v>6459347.752452933</v>
      </c>
      <c r="J18" s="7">
        <v>1454451.6886220002</v>
      </c>
      <c r="K18" s="233"/>
      <c r="L18" s="7">
        <v>-14251.688622000162</v>
      </c>
      <c r="M18" s="7">
        <f t="shared" si="9"/>
        <v>1440200</v>
      </c>
      <c r="N18" s="233">
        <v>1630925.52798</v>
      </c>
      <c r="O18" s="8"/>
      <c r="P18" s="7">
        <f t="shared" si="0"/>
        <v>-114325.52798000001</v>
      </c>
      <c r="Q18" s="7">
        <f t="shared" si="1"/>
        <v>1516600</v>
      </c>
      <c r="R18" s="7">
        <v>1630925.52798</v>
      </c>
      <c r="S18" s="7"/>
      <c r="T18" s="7"/>
      <c r="U18" s="7">
        <f t="shared" si="10"/>
        <v>-19925.527980000013</v>
      </c>
      <c r="V18" s="7">
        <f t="shared" si="11"/>
        <v>1611000</v>
      </c>
      <c r="W18" s="7">
        <v>1891547.7524529332</v>
      </c>
      <c r="X18" s="7"/>
      <c r="Y18" s="7"/>
      <c r="Z18" s="7"/>
      <c r="AA18" s="7">
        <f t="shared" si="12"/>
        <v>1891547.7524529332</v>
      </c>
      <c r="AB18" s="7">
        <f t="shared" si="2"/>
        <v>6459347.752452933</v>
      </c>
      <c r="AC18" s="357">
        <f>+'[4]TÉC ENE-MAR-11'!$G$55</f>
        <v>1440200</v>
      </c>
      <c r="AD18" s="357">
        <f>+'[4]TÉC ABR-JUN-11'!$G$62</f>
        <v>1516600</v>
      </c>
      <c r="AE18" s="357">
        <f>+'[4]TEC JUL-SEP-11'!$G$57</f>
        <v>1611000</v>
      </c>
      <c r="AF18" s="357">
        <f>+'[4]TEC OCT-DIC'!$G$57</f>
        <v>1631400</v>
      </c>
      <c r="AG18" s="357">
        <f t="shared" si="13"/>
        <v>6199200</v>
      </c>
      <c r="AH18" s="7">
        <f t="shared" si="3"/>
        <v>0</v>
      </c>
      <c r="AI18" s="12">
        <f t="shared" si="4"/>
        <v>0</v>
      </c>
      <c r="AJ18" s="7">
        <f t="shared" si="5"/>
        <v>0</v>
      </c>
      <c r="AK18" s="12">
        <f t="shared" si="6"/>
        <v>260147.75245293323</v>
      </c>
      <c r="AL18" s="7">
        <f t="shared" si="14"/>
        <v>6459347.752452933</v>
      </c>
      <c r="AM18" s="7">
        <f t="shared" si="7"/>
        <v>0</v>
      </c>
      <c r="AN18" s="7">
        <f t="shared" si="15"/>
        <v>260147.75245293323</v>
      </c>
      <c r="AO18" s="130">
        <f>+AG18/I18</f>
        <v>0.9597253836729657</v>
      </c>
      <c r="AP18" s="130">
        <f>+AC18/M18</f>
        <v>1</v>
      </c>
      <c r="AQ18" s="130">
        <f>+AD18/Q18</f>
        <v>1</v>
      </c>
      <c r="AR18" s="130">
        <f>+AE18/V18</f>
        <v>1</v>
      </c>
      <c r="AS18" s="135">
        <f t="shared" si="16"/>
        <v>0.8624683135196681</v>
      </c>
    </row>
    <row r="19" spans="1:45" ht="15" customHeight="1">
      <c r="A19" s="170" t="s">
        <v>32</v>
      </c>
      <c r="B19" s="7">
        <v>8074184.690566167</v>
      </c>
      <c r="C19" s="8"/>
      <c r="D19" s="8"/>
      <c r="E19" s="8"/>
      <c r="F19" s="8"/>
      <c r="G19" s="8"/>
      <c r="H19" s="8"/>
      <c r="I19" s="7">
        <f t="shared" si="8"/>
        <v>8074184.690566167</v>
      </c>
      <c r="J19" s="7">
        <v>1818064.6107775</v>
      </c>
      <c r="K19" s="233"/>
      <c r="L19" s="7">
        <v>-18064.610777500086</v>
      </c>
      <c r="M19" s="7">
        <f t="shared" si="9"/>
        <v>1800000</v>
      </c>
      <c r="N19" s="233">
        <v>2038656.9099750002</v>
      </c>
      <c r="O19" s="8"/>
      <c r="P19" s="7">
        <f t="shared" si="0"/>
        <v>-143156.9099750002</v>
      </c>
      <c r="Q19" s="7">
        <f t="shared" si="1"/>
        <v>1895500</v>
      </c>
      <c r="R19" s="7">
        <v>2038656.9099750002</v>
      </c>
      <c r="S19" s="7"/>
      <c r="T19" s="7"/>
      <c r="U19" s="7">
        <f t="shared" si="10"/>
        <v>-25056.90997500019</v>
      </c>
      <c r="V19" s="7">
        <f t="shared" si="11"/>
        <v>2013600</v>
      </c>
      <c r="W19" s="7">
        <v>2365084.6905661672</v>
      </c>
      <c r="X19" s="7"/>
      <c r="Y19" s="7"/>
      <c r="Z19" s="7"/>
      <c r="AA19" s="7">
        <f t="shared" si="12"/>
        <v>2365084.6905661672</v>
      </c>
      <c r="AB19" s="7">
        <f t="shared" si="2"/>
        <v>8074184.690566167</v>
      </c>
      <c r="AC19" s="357">
        <f>+'[4]TÉC ENE-MAR-11'!$G$62</f>
        <v>1800000</v>
      </c>
      <c r="AD19" s="357">
        <f>+'[4]TÉC ABR-JUN-11'!$G$69</f>
        <v>1895500</v>
      </c>
      <c r="AE19" s="357">
        <f>+'[4]TEC JUL-SEP-11'!$G$64</f>
        <v>2013600</v>
      </c>
      <c r="AF19" s="357">
        <f>+'[4]TEC OCT-DIC'!$G$64</f>
        <v>2039100</v>
      </c>
      <c r="AG19" s="357">
        <f t="shared" si="13"/>
        <v>7748200</v>
      </c>
      <c r="AH19" s="7">
        <f t="shared" si="3"/>
        <v>0</v>
      </c>
      <c r="AI19" s="12">
        <f t="shared" si="4"/>
        <v>0</v>
      </c>
      <c r="AJ19" s="7">
        <f t="shared" si="5"/>
        <v>0</v>
      </c>
      <c r="AK19" s="12">
        <f t="shared" si="6"/>
        <v>325984.69056616724</v>
      </c>
      <c r="AL19" s="7">
        <f t="shared" si="14"/>
        <v>8074184.690566167</v>
      </c>
      <c r="AM19" s="7">
        <f t="shared" si="7"/>
        <v>0</v>
      </c>
      <c r="AN19" s="7">
        <f t="shared" si="15"/>
        <v>325984.69056616724</v>
      </c>
      <c r="AO19" s="130">
        <f>+AG19/I19</f>
        <v>0.9596263024615914</v>
      </c>
      <c r="AP19" s="130">
        <f>+AC19/M19</f>
        <v>1</v>
      </c>
      <c r="AQ19" s="130">
        <f>+AD19/Q19</f>
        <v>1</v>
      </c>
      <c r="AR19" s="130">
        <f>+AE19/V19</f>
        <v>1</v>
      </c>
      <c r="AS19" s="135">
        <f t="shared" si="16"/>
        <v>0.8621678573006486</v>
      </c>
    </row>
    <row r="20" spans="1:45" ht="15" customHeight="1" thickBot="1">
      <c r="A20" s="168" t="s">
        <v>33</v>
      </c>
      <c r="B20" s="7">
        <v>300000</v>
      </c>
      <c r="C20" s="13"/>
      <c r="D20" s="13"/>
      <c r="E20" s="13"/>
      <c r="F20" s="13"/>
      <c r="G20" s="13"/>
      <c r="H20" s="13"/>
      <c r="I20" s="7">
        <f>SUM(B20:H20)</f>
        <v>300000</v>
      </c>
      <c r="J20" s="11">
        <v>0</v>
      </c>
      <c r="K20" s="233"/>
      <c r="L20" s="7">
        <v>0</v>
      </c>
      <c r="M20" s="11">
        <f t="shared" si="9"/>
        <v>0</v>
      </c>
      <c r="N20" s="233">
        <v>300000</v>
      </c>
      <c r="O20" s="13"/>
      <c r="P20" s="7">
        <f t="shared" si="0"/>
        <v>0</v>
      </c>
      <c r="Q20" s="7">
        <f t="shared" si="1"/>
        <v>300000</v>
      </c>
      <c r="R20" s="11"/>
      <c r="S20" s="11"/>
      <c r="T20" s="11"/>
      <c r="U20" s="7"/>
      <c r="V20" s="7">
        <f t="shared" si="11"/>
        <v>0</v>
      </c>
      <c r="W20" s="11">
        <f>+I20-M20-Q20-V20</f>
        <v>0</v>
      </c>
      <c r="X20" s="11"/>
      <c r="Y20" s="11"/>
      <c r="Z20" s="11"/>
      <c r="AA20" s="11">
        <f t="shared" si="12"/>
        <v>0</v>
      </c>
      <c r="AB20" s="11">
        <f t="shared" si="2"/>
        <v>300000</v>
      </c>
      <c r="AC20" s="357">
        <f>+'[4]TÉC ENE-MAR-11'!$G$69</f>
        <v>0</v>
      </c>
      <c r="AD20" s="357">
        <f>+'[4]TÉC ABR-JUN-11'!$G$76</f>
        <v>300000</v>
      </c>
      <c r="AE20" s="357">
        <f>+'[4]TEC JUL-SEP-11'!$G$71</f>
        <v>0</v>
      </c>
      <c r="AF20" s="357">
        <f>+'[4]TEC OCT-DIC'!$G$71</f>
        <v>0</v>
      </c>
      <c r="AG20" s="357">
        <f t="shared" si="13"/>
        <v>300000</v>
      </c>
      <c r="AH20" s="11">
        <f t="shared" si="3"/>
        <v>0</v>
      </c>
      <c r="AI20" s="27">
        <f t="shared" si="4"/>
        <v>0</v>
      </c>
      <c r="AJ20" s="11">
        <f t="shared" si="5"/>
        <v>0</v>
      </c>
      <c r="AK20" s="27">
        <f t="shared" si="6"/>
        <v>0</v>
      </c>
      <c r="AL20" s="11">
        <f t="shared" si="14"/>
        <v>300000</v>
      </c>
      <c r="AM20" s="11">
        <f t="shared" si="7"/>
        <v>0</v>
      </c>
      <c r="AN20" s="11">
        <f t="shared" si="15"/>
        <v>0</v>
      </c>
      <c r="AO20" s="146">
        <f>+AG20/I20</f>
        <v>1</v>
      </c>
      <c r="AP20" s="146">
        <v>0</v>
      </c>
      <c r="AQ20" s="146">
        <v>0</v>
      </c>
      <c r="AR20" s="146">
        <v>0</v>
      </c>
      <c r="AS20" s="180">
        <v>0</v>
      </c>
    </row>
    <row r="21" spans="1:45" ht="15" customHeight="1" thickBot="1">
      <c r="A21" s="50" t="s">
        <v>35</v>
      </c>
      <c r="B21" s="122">
        <f>SUM(B11:B20)</f>
        <v>262652153.55603552</v>
      </c>
      <c r="C21" s="122">
        <f aca="true" t="shared" si="17" ref="C21:AN21">SUM(C11:C20)</f>
        <v>0</v>
      </c>
      <c r="D21" s="122">
        <f>SUM(D11:D20)</f>
        <v>0</v>
      </c>
      <c r="E21" s="122">
        <f>SUM(E11:E20)</f>
        <v>0</v>
      </c>
      <c r="F21" s="122">
        <f>SUM(F11:F20)</f>
        <v>0</v>
      </c>
      <c r="G21" s="122"/>
      <c r="H21" s="122">
        <f>SUM(H11:H20)</f>
        <v>0</v>
      </c>
      <c r="I21" s="122">
        <f t="shared" si="17"/>
        <v>262652153.55603552</v>
      </c>
      <c r="J21" s="122">
        <f t="shared" si="17"/>
        <v>59203399.80340683</v>
      </c>
      <c r="K21" s="122"/>
      <c r="L21" s="122">
        <f t="shared" si="17"/>
        <v>-3238641.8034068365</v>
      </c>
      <c r="M21" s="122">
        <f t="shared" si="17"/>
        <v>55964758</v>
      </c>
      <c r="N21" s="122">
        <f>SUM(N11:N20)</f>
        <v>66384825.60647194</v>
      </c>
      <c r="O21" s="122">
        <f>SUM(O11:O20)</f>
        <v>0</v>
      </c>
      <c r="P21" s="122">
        <f t="shared" si="17"/>
        <v>-3829242.6064719423</v>
      </c>
      <c r="Q21" s="122">
        <f>SUM(Q11:Q20)</f>
        <v>62555583</v>
      </c>
      <c r="R21" s="122">
        <f t="shared" si="17"/>
        <v>66084825.60647194</v>
      </c>
      <c r="S21" s="122">
        <f>SUM(S11:S20)</f>
        <v>0</v>
      </c>
      <c r="T21" s="122">
        <f>SUM(T11:T20)</f>
        <v>534646</v>
      </c>
      <c r="U21" s="122">
        <f>SUM(U11:U20)</f>
        <v>-50410.60647194262</v>
      </c>
      <c r="V21" s="122">
        <f t="shared" si="17"/>
        <v>66569061</v>
      </c>
      <c r="W21" s="122">
        <f t="shared" si="17"/>
        <v>77562751.5560355</v>
      </c>
      <c r="X21" s="122">
        <f>SUM(X11:X20)</f>
        <v>0</v>
      </c>
      <c r="Y21" s="122">
        <f>SUM(Y11:Y20)</f>
        <v>0</v>
      </c>
      <c r="Z21" s="122">
        <f t="shared" si="17"/>
        <v>0</v>
      </c>
      <c r="AA21" s="122">
        <f t="shared" si="17"/>
        <v>77562751.5560355</v>
      </c>
      <c r="AB21" s="122">
        <f t="shared" si="17"/>
        <v>262652153.55603552</v>
      </c>
      <c r="AC21" s="122">
        <f t="shared" si="17"/>
        <v>55964758</v>
      </c>
      <c r="AD21" s="122">
        <f>SUM(AD11:AD20)</f>
        <v>62555583</v>
      </c>
      <c r="AE21" s="122">
        <f t="shared" si="17"/>
        <v>66569061</v>
      </c>
      <c r="AF21" s="122">
        <f t="shared" si="17"/>
        <v>64377050</v>
      </c>
      <c r="AG21" s="122">
        <f t="shared" si="17"/>
        <v>249466452</v>
      </c>
      <c r="AH21" s="122">
        <f t="shared" si="17"/>
        <v>0</v>
      </c>
      <c r="AI21" s="122">
        <f t="shared" si="17"/>
        <v>0</v>
      </c>
      <c r="AJ21" s="122">
        <f t="shared" si="17"/>
        <v>0</v>
      </c>
      <c r="AK21" s="122">
        <f>SUM(AK11:AK20)</f>
        <v>13185701.556035489</v>
      </c>
      <c r="AL21" s="122">
        <f t="shared" si="17"/>
        <v>262652153.55603552</v>
      </c>
      <c r="AM21" s="122">
        <f t="shared" si="17"/>
        <v>0</v>
      </c>
      <c r="AN21" s="122">
        <f t="shared" si="17"/>
        <v>13185701.556035489</v>
      </c>
      <c r="AO21" s="148">
        <f>+AG21/I21</f>
        <v>0.9497978547766889</v>
      </c>
      <c r="AP21" s="148">
        <f>+AC21/M21</f>
        <v>1</v>
      </c>
      <c r="AQ21" s="148">
        <f>+AD21/Q21</f>
        <v>1</v>
      </c>
      <c r="AR21" s="148">
        <f>+AE21/V21</f>
        <v>1</v>
      </c>
      <c r="AS21" s="148">
        <f>+AF21/AA21</f>
        <v>0.8299995643332813</v>
      </c>
    </row>
    <row r="22" spans="1:45" ht="15" customHeight="1">
      <c r="A22" s="181"/>
      <c r="B22" s="15"/>
      <c r="C22" s="16"/>
      <c r="D22" s="16"/>
      <c r="E22" s="16"/>
      <c r="F22" s="16"/>
      <c r="G22" s="16"/>
      <c r="H22" s="16"/>
      <c r="I22" s="15"/>
      <c r="J22" s="17"/>
      <c r="K22" s="17"/>
      <c r="L22" s="15"/>
      <c r="M22" s="15"/>
      <c r="N22" s="15"/>
      <c r="O22" s="16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8"/>
      <c r="AA22" s="15"/>
      <c r="AB22" s="15"/>
      <c r="AC22" s="15"/>
      <c r="AD22" s="15"/>
      <c r="AE22" s="18"/>
      <c r="AF22" s="18"/>
      <c r="AG22" s="15"/>
      <c r="AH22" s="18"/>
      <c r="AI22" s="18"/>
      <c r="AJ22" s="18"/>
      <c r="AK22" s="18"/>
      <c r="AL22" s="18"/>
      <c r="AM22" s="18"/>
      <c r="AN22" s="18"/>
      <c r="AO22" s="147"/>
      <c r="AP22" s="147"/>
      <c r="AQ22" s="147"/>
      <c r="AR22" s="147"/>
      <c r="AS22" s="182"/>
    </row>
    <row r="23" spans="1:45" ht="15" customHeight="1">
      <c r="A23" s="173" t="s">
        <v>36</v>
      </c>
      <c r="B23" s="19"/>
      <c r="C23" s="20"/>
      <c r="D23" s="20"/>
      <c r="E23" s="20"/>
      <c r="F23" s="20"/>
      <c r="G23" s="20"/>
      <c r="H23" s="20"/>
      <c r="I23" s="19"/>
      <c r="J23" s="21"/>
      <c r="K23" s="21"/>
      <c r="L23" s="7"/>
      <c r="M23" s="19"/>
      <c r="N23" s="19"/>
      <c r="O23" s="20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2"/>
      <c r="AA23" s="19"/>
      <c r="AB23" s="19"/>
      <c r="AC23" s="7"/>
      <c r="AD23" s="7"/>
      <c r="AE23" s="7"/>
      <c r="AF23" s="7"/>
      <c r="AG23" s="19"/>
      <c r="AH23" s="12"/>
      <c r="AI23" s="12"/>
      <c r="AJ23" s="12"/>
      <c r="AK23" s="12"/>
      <c r="AL23" s="12"/>
      <c r="AM23" s="12"/>
      <c r="AN23" s="12"/>
      <c r="AO23" s="64"/>
      <c r="AP23" s="64"/>
      <c r="AQ23" s="64"/>
      <c r="AR23" s="64"/>
      <c r="AS23" s="183"/>
    </row>
    <row r="24" spans="1:45" ht="15" customHeight="1">
      <c r="A24" s="170" t="s">
        <v>105</v>
      </c>
      <c r="B24" s="12">
        <v>0</v>
      </c>
      <c r="C24" s="20"/>
      <c r="D24" s="20"/>
      <c r="E24" s="20"/>
      <c r="F24" s="20"/>
      <c r="G24" s="20"/>
      <c r="H24" s="20"/>
      <c r="I24" s="7">
        <f aca="true" t="shared" si="18" ref="I24:I30">SUM(B24:H24)</f>
        <v>0</v>
      </c>
      <c r="J24" s="22">
        <v>0</v>
      </c>
      <c r="K24" s="22"/>
      <c r="L24" s="7">
        <v>0</v>
      </c>
      <c r="M24" s="19"/>
      <c r="N24" s="7"/>
      <c r="O24" s="20"/>
      <c r="P24" s="7">
        <f aca="true" t="shared" si="19" ref="P24:P30">+AD24-N24-O24</f>
        <v>0</v>
      </c>
      <c r="Q24" s="7">
        <f aca="true" t="shared" si="20" ref="Q24:Q30">SUM(N24:P24)</f>
        <v>0</v>
      </c>
      <c r="R24" s="19"/>
      <c r="S24" s="19"/>
      <c r="T24" s="19"/>
      <c r="U24" s="7"/>
      <c r="V24" s="7">
        <f aca="true" t="shared" si="21" ref="V24:V30">+SUM(R24:U24)</f>
        <v>0</v>
      </c>
      <c r="W24" s="7"/>
      <c r="X24" s="7"/>
      <c r="Y24" s="7"/>
      <c r="Z24" s="12"/>
      <c r="AA24" s="7">
        <f aca="true" t="shared" si="22" ref="AA24:AA30">+SUM(W24:Z24)</f>
        <v>0</v>
      </c>
      <c r="AB24" s="7">
        <f aca="true" t="shared" si="23" ref="AB24:AB30">+M24+Q24+V24+AA24</f>
        <v>0</v>
      </c>
      <c r="AC24" s="7"/>
      <c r="AD24" s="7"/>
      <c r="AE24" s="7"/>
      <c r="AF24" s="7"/>
      <c r="AG24" s="7">
        <f>SUM(AC24:AF24)</f>
        <v>0</v>
      </c>
      <c r="AH24" s="12"/>
      <c r="AI24" s="12"/>
      <c r="AJ24" s="12"/>
      <c r="AK24" s="12">
        <f aca="true" t="shared" si="24" ref="AK24:AK30">+AA24-AF24</f>
        <v>0</v>
      </c>
      <c r="AL24" s="12"/>
      <c r="AM24" s="140">
        <f aca="true" t="shared" si="25" ref="AM24:AM30">+I24-AL24</f>
        <v>0</v>
      </c>
      <c r="AN24" s="12"/>
      <c r="AO24" s="64"/>
      <c r="AP24" s="64"/>
      <c r="AQ24" s="64"/>
      <c r="AR24" s="64"/>
      <c r="AS24" s="183"/>
    </row>
    <row r="25" spans="1:45" ht="15" customHeight="1">
      <c r="A25" s="170" t="s">
        <v>40</v>
      </c>
      <c r="B25" s="12">
        <v>6190200</v>
      </c>
      <c r="C25" s="20"/>
      <c r="D25" s="20"/>
      <c r="E25" s="20"/>
      <c r="F25" s="20"/>
      <c r="G25" s="20"/>
      <c r="H25" s="20"/>
      <c r="I25" s="7">
        <f t="shared" si="18"/>
        <v>6190200</v>
      </c>
      <c r="J25" s="22">
        <v>1545000</v>
      </c>
      <c r="K25" s="22"/>
      <c r="L25" s="7">
        <v>0</v>
      </c>
      <c r="M25" s="7">
        <f aca="true" t="shared" si="26" ref="M25:M30">SUM(J25:L25)</f>
        <v>1545000</v>
      </c>
      <c r="N25" s="7">
        <v>1545000</v>
      </c>
      <c r="O25" s="20"/>
      <c r="P25" s="7">
        <f t="shared" si="19"/>
        <v>0</v>
      </c>
      <c r="Q25" s="7">
        <f t="shared" si="20"/>
        <v>1545000</v>
      </c>
      <c r="R25" s="12">
        <v>1545000</v>
      </c>
      <c r="S25" s="12"/>
      <c r="T25" s="7">
        <f>-R25+AE25</f>
        <v>0</v>
      </c>
      <c r="U25" s="7">
        <f>-R25-S25-T25+AE25</f>
        <v>0</v>
      </c>
      <c r="V25" s="7">
        <f t="shared" si="21"/>
        <v>1545000</v>
      </c>
      <c r="W25" s="7">
        <v>1555200</v>
      </c>
      <c r="X25" s="7"/>
      <c r="Y25" s="7"/>
      <c r="Z25" s="12"/>
      <c r="AA25" s="7">
        <f t="shared" si="22"/>
        <v>1555200</v>
      </c>
      <c r="AB25" s="7">
        <f t="shared" si="23"/>
        <v>6190200</v>
      </c>
      <c r="AC25" s="357">
        <f>+'[4]TÉC ENE-MAR-11'!$G$76</f>
        <v>1545000</v>
      </c>
      <c r="AD25" s="357">
        <f>+'[4]TÉC ABR-JUN-11'!$G$84</f>
        <v>1545000</v>
      </c>
      <c r="AE25" s="357">
        <f>+'[4]TEC JUL-SEP-11'!$G$79</f>
        <v>1545000</v>
      </c>
      <c r="AF25" s="357">
        <f>+'[4]TEC OCT-DIC'!$G$79</f>
        <v>1545000</v>
      </c>
      <c r="AG25" s="357">
        <f aca="true" t="shared" si="27" ref="AG25:AG30">SUM(AC25:AF25)</f>
        <v>6180000</v>
      </c>
      <c r="AH25" s="7">
        <f aca="true" t="shared" si="28" ref="AH25:AH30">+M25-AC25</f>
        <v>0</v>
      </c>
      <c r="AI25" s="12">
        <f aca="true" t="shared" si="29" ref="AI25:AI30">+Q25-AD25</f>
        <v>0</v>
      </c>
      <c r="AJ25" s="7">
        <f aca="true" t="shared" si="30" ref="AJ25:AJ30">+V25-AE25</f>
        <v>0</v>
      </c>
      <c r="AK25" s="12">
        <f t="shared" si="24"/>
        <v>10200</v>
      </c>
      <c r="AL25" s="7">
        <f aca="true" t="shared" si="31" ref="AL25:AL30">+AB25</f>
        <v>6190200</v>
      </c>
      <c r="AM25" s="140">
        <f t="shared" si="25"/>
        <v>0</v>
      </c>
      <c r="AN25" s="7">
        <f aca="true" t="shared" si="32" ref="AN25:AN30">+AL25-AG25</f>
        <v>10200</v>
      </c>
      <c r="AO25" s="130">
        <f>+AG25/I25</f>
        <v>0.9983522341766017</v>
      </c>
      <c r="AP25" s="130">
        <f>+AC25/M25</f>
        <v>1</v>
      </c>
      <c r="AQ25" s="130">
        <f>+AD25/Q25</f>
        <v>1</v>
      </c>
      <c r="AR25" s="130">
        <f>+AE25/V25</f>
        <v>1</v>
      </c>
      <c r="AS25" s="135">
        <f>+AF25/AA25</f>
        <v>0.9934413580246914</v>
      </c>
    </row>
    <row r="26" spans="1:45" ht="15" customHeight="1">
      <c r="A26" s="170" t="s">
        <v>41</v>
      </c>
      <c r="B26" s="12">
        <v>6232955.7114</v>
      </c>
      <c r="C26" s="23"/>
      <c r="D26" s="23"/>
      <c r="E26" s="23"/>
      <c r="F26" s="23"/>
      <c r="G26" s="23"/>
      <c r="H26" s="23"/>
      <c r="I26" s="7">
        <f t="shared" si="18"/>
        <v>6232955.7114</v>
      </c>
      <c r="J26" s="22">
        <v>1555671.315</v>
      </c>
      <c r="K26" s="22"/>
      <c r="L26" s="7">
        <v>-1033636.315</v>
      </c>
      <c r="M26" s="7">
        <f t="shared" si="26"/>
        <v>522035</v>
      </c>
      <c r="N26" s="7">
        <v>1558238.92785</v>
      </c>
      <c r="O26" s="23"/>
      <c r="P26" s="7">
        <f t="shared" si="19"/>
        <v>-993025.9278500001</v>
      </c>
      <c r="Q26" s="7">
        <f t="shared" si="20"/>
        <v>565213</v>
      </c>
      <c r="R26" s="12">
        <v>1558238.92785</v>
      </c>
      <c r="S26" s="12"/>
      <c r="T26" s="7">
        <v>-534646</v>
      </c>
      <c r="U26" s="7">
        <f>-R26-S26-T26+AE26</f>
        <v>-72410.36785000016</v>
      </c>
      <c r="V26" s="7">
        <f t="shared" si="21"/>
        <v>951182.5599999999</v>
      </c>
      <c r="W26" s="7">
        <v>4194525.151400001</v>
      </c>
      <c r="X26" s="7"/>
      <c r="Y26" s="7"/>
      <c r="Z26" s="12"/>
      <c r="AA26" s="7">
        <f t="shared" si="22"/>
        <v>4194525.151400001</v>
      </c>
      <c r="AB26" s="7">
        <f t="shared" si="23"/>
        <v>6232955.7114</v>
      </c>
      <c r="AC26" s="357">
        <f>+'[4]TÉC ENE-MAR-11'!$G$84</f>
        <v>522035</v>
      </c>
      <c r="AD26" s="357">
        <f>+'[4]TÉC ABR-JUN-11'!$G$92</f>
        <v>565213</v>
      </c>
      <c r="AE26" s="357">
        <f>+'[4]TEC JUL-SEP-11'!$G$86</f>
        <v>951182.5599999999</v>
      </c>
      <c r="AF26" s="357">
        <f>+'[4]TEC OCT-DIC'!$G$87</f>
        <v>1699698</v>
      </c>
      <c r="AG26" s="357">
        <f t="shared" si="27"/>
        <v>3738128.56</v>
      </c>
      <c r="AH26" s="7">
        <f t="shared" si="28"/>
        <v>0</v>
      </c>
      <c r="AI26" s="12">
        <f t="shared" si="29"/>
        <v>0</v>
      </c>
      <c r="AJ26" s="7">
        <f t="shared" si="30"/>
        <v>0</v>
      </c>
      <c r="AK26" s="12">
        <f t="shared" si="24"/>
        <v>2494827.151400001</v>
      </c>
      <c r="AL26" s="7">
        <f t="shared" si="31"/>
        <v>6232955.7114</v>
      </c>
      <c r="AM26" s="140">
        <f t="shared" si="25"/>
        <v>0</v>
      </c>
      <c r="AN26" s="7">
        <f t="shared" si="32"/>
        <v>2494827.1514000003</v>
      </c>
      <c r="AO26" s="130">
        <f>+AG26/I26</f>
        <v>0.5997361016320087</v>
      </c>
      <c r="AP26" s="130">
        <f>+AC26/M26</f>
        <v>1</v>
      </c>
      <c r="AQ26" s="130">
        <f>+AD26/Q26</f>
        <v>1</v>
      </c>
      <c r="AR26" s="130">
        <f>+AE26/V26</f>
        <v>1</v>
      </c>
      <c r="AS26" s="135">
        <f>+AF26/AA26</f>
        <v>0.40521821628192983</v>
      </c>
    </row>
    <row r="27" spans="1:45" ht="15" customHeight="1">
      <c r="A27" s="168" t="s">
        <v>43</v>
      </c>
      <c r="B27" s="12">
        <v>15000000</v>
      </c>
      <c r="C27" s="25"/>
      <c r="D27" s="25"/>
      <c r="E27" s="25"/>
      <c r="F27" s="25"/>
      <c r="G27" s="25"/>
      <c r="H27" s="25"/>
      <c r="I27" s="7">
        <f t="shared" si="18"/>
        <v>15000000</v>
      </c>
      <c r="J27" s="26">
        <v>2000000</v>
      </c>
      <c r="K27" s="26"/>
      <c r="L27" s="7">
        <v>-201816</v>
      </c>
      <c r="M27" s="7">
        <f t="shared" si="26"/>
        <v>1798184</v>
      </c>
      <c r="N27" s="7">
        <v>5000000</v>
      </c>
      <c r="O27" s="25"/>
      <c r="P27" s="7">
        <f t="shared" si="19"/>
        <v>-103967</v>
      </c>
      <c r="Q27" s="7">
        <f t="shared" si="20"/>
        <v>4896033</v>
      </c>
      <c r="R27" s="8">
        <v>2000000</v>
      </c>
      <c r="S27" s="8"/>
      <c r="T27" s="7">
        <v>0</v>
      </c>
      <c r="U27" s="7">
        <f>-R27-S27-T27+AE27</f>
        <v>-493221</v>
      </c>
      <c r="V27" s="7">
        <f t="shared" si="21"/>
        <v>1506779</v>
      </c>
      <c r="W27" s="7">
        <v>6799004</v>
      </c>
      <c r="X27" s="7"/>
      <c r="Y27" s="7"/>
      <c r="Z27" s="27"/>
      <c r="AA27" s="7">
        <f t="shared" si="22"/>
        <v>6799004</v>
      </c>
      <c r="AB27" s="7">
        <f t="shared" si="23"/>
        <v>15000000</v>
      </c>
      <c r="AC27" s="357">
        <f>+'[4]TÉC ENE-MAR-11'!$G$94</f>
        <v>1798184</v>
      </c>
      <c r="AD27" s="357">
        <f>+'[4]TÉC ABR-JUN-11'!$G$105</f>
        <v>4896033</v>
      </c>
      <c r="AE27" s="357">
        <f>+'[4]TEC JUL-SEP-11'!$G$99</f>
        <v>1506779</v>
      </c>
      <c r="AF27" s="357">
        <f>+'[4]TEC OCT-DIC'!$G$103</f>
        <v>6265379</v>
      </c>
      <c r="AG27" s="357">
        <f t="shared" si="27"/>
        <v>14466375</v>
      </c>
      <c r="AH27" s="7">
        <f t="shared" si="28"/>
        <v>0</v>
      </c>
      <c r="AI27" s="12">
        <f t="shared" si="29"/>
        <v>0</v>
      </c>
      <c r="AJ27" s="7">
        <f t="shared" si="30"/>
        <v>0</v>
      </c>
      <c r="AK27" s="12">
        <f t="shared" si="24"/>
        <v>533625</v>
      </c>
      <c r="AL27" s="7">
        <f t="shared" si="31"/>
        <v>15000000</v>
      </c>
      <c r="AM27" s="140">
        <f t="shared" si="25"/>
        <v>0</v>
      </c>
      <c r="AN27" s="7">
        <f t="shared" si="32"/>
        <v>533625</v>
      </c>
      <c r="AO27" s="130">
        <f>+AG27/I27</f>
        <v>0.964425</v>
      </c>
      <c r="AP27" s="130">
        <f>+AC27/M27</f>
        <v>1</v>
      </c>
      <c r="AQ27" s="130">
        <f>+AD27/Q27</f>
        <v>1</v>
      </c>
      <c r="AR27" s="130">
        <f>+AE27/V27</f>
        <v>1</v>
      </c>
      <c r="AS27" s="135">
        <f>+AF27/AA27</f>
        <v>0.9215142394386001</v>
      </c>
    </row>
    <row r="28" spans="1:45" ht="15" customHeight="1">
      <c r="A28" s="168" t="s">
        <v>44</v>
      </c>
      <c r="B28" s="12">
        <v>0</v>
      </c>
      <c r="C28" s="25"/>
      <c r="D28" s="25"/>
      <c r="E28" s="25"/>
      <c r="F28" s="25"/>
      <c r="G28" s="25"/>
      <c r="H28" s="25"/>
      <c r="I28" s="7">
        <f t="shared" si="18"/>
        <v>0</v>
      </c>
      <c r="J28" s="26"/>
      <c r="K28" s="26"/>
      <c r="L28" s="7">
        <v>0</v>
      </c>
      <c r="M28" s="7">
        <f t="shared" si="26"/>
        <v>0</v>
      </c>
      <c r="N28" s="7">
        <v>0</v>
      </c>
      <c r="O28" s="25"/>
      <c r="P28" s="7">
        <f t="shared" si="19"/>
        <v>0</v>
      </c>
      <c r="Q28" s="7">
        <f t="shared" si="20"/>
        <v>0</v>
      </c>
      <c r="R28" s="7"/>
      <c r="S28" s="7"/>
      <c r="T28" s="7">
        <f>-R28+AE28</f>
        <v>0</v>
      </c>
      <c r="U28" s="7">
        <f>-R28-S28-T28+AE28</f>
        <v>0</v>
      </c>
      <c r="V28" s="7">
        <f t="shared" si="21"/>
        <v>0</v>
      </c>
      <c r="W28" s="7">
        <v>0</v>
      </c>
      <c r="X28" s="7"/>
      <c r="Y28" s="7"/>
      <c r="Z28" s="27"/>
      <c r="AA28" s="7">
        <f t="shared" si="22"/>
        <v>0</v>
      </c>
      <c r="AB28" s="7">
        <f t="shared" si="23"/>
        <v>0</v>
      </c>
      <c r="AC28" s="357">
        <v>0</v>
      </c>
      <c r="AD28" s="357">
        <v>0</v>
      </c>
      <c r="AE28" s="357">
        <f>+'[4]TEC JUL-SEP-11'!$G$116</f>
        <v>0</v>
      </c>
      <c r="AF28" s="357">
        <v>0</v>
      </c>
      <c r="AG28" s="357">
        <f t="shared" si="27"/>
        <v>0</v>
      </c>
      <c r="AH28" s="7">
        <f t="shared" si="28"/>
        <v>0</v>
      </c>
      <c r="AI28" s="12">
        <f t="shared" si="29"/>
        <v>0</v>
      </c>
      <c r="AJ28" s="7">
        <f t="shared" si="30"/>
        <v>0</v>
      </c>
      <c r="AK28" s="12">
        <f t="shared" si="24"/>
        <v>0</v>
      </c>
      <c r="AL28" s="7">
        <f t="shared" si="31"/>
        <v>0</v>
      </c>
      <c r="AM28" s="140">
        <f t="shared" si="25"/>
        <v>0</v>
      </c>
      <c r="AN28" s="7">
        <f t="shared" si="32"/>
        <v>0</v>
      </c>
      <c r="AO28" s="130">
        <v>0</v>
      </c>
      <c r="AP28" s="130">
        <v>0</v>
      </c>
      <c r="AQ28" s="130">
        <v>0</v>
      </c>
      <c r="AR28" s="130">
        <v>0</v>
      </c>
      <c r="AS28" s="135">
        <v>0</v>
      </c>
    </row>
    <row r="29" spans="1:45" ht="15" customHeight="1">
      <c r="A29" s="168" t="s">
        <v>45</v>
      </c>
      <c r="B29" s="7">
        <v>6000000</v>
      </c>
      <c r="C29" s="25"/>
      <c r="D29" s="25"/>
      <c r="E29" s="25"/>
      <c r="F29" s="25"/>
      <c r="G29" s="25"/>
      <c r="H29" s="25"/>
      <c r="I29" s="7">
        <f t="shared" si="18"/>
        <v>6000000</v>
      </c>
      <c r="J29" s="26">
        <v>800000</v>
      </c>
      <c r="K29" s="26"/>
      <c r="L29" s="7">
        <v>-86985</v>
      </c>
      <c r="M29" s="7">
        <f t="shared" si="26"/>
        <v>713015</v>
      </c>
      <c r="N29" s="7">
        <v>1500000</v>
      </c>
      <c r="O29" s="25"/>
      <c r="P29" s="7">
        <f t="shared" si="19"/>
        <v>-750430</v>
      </c>
      <c r="Q29" s="7">
        <f t="shared" si="20"/>
        <v>749570</v>
      </c>
      <c r="R29" s="11">
        <v>3000000</v>
      </c>
      <c r="S29" s="11"/>
      <c r="T29" s="7">
        <f>-R29+AE29</f>
        <v>0</v>
      </c>
      <c r="U29" s="7">
        <f>-R29-S29-T29+AE29</f>
        <v>0</v>
      </c>
      <c r="V29" s="7">
        <f t="shared" si="21"/>
        <v>3000000</v>
      </c>
      <c r="W29" s="7">
        <v>1537415</v>
      </c>
      <c r="X29" s="7"/>
      <c r="Y29" s="7"/>
      <c r="Z29" s="27"/>
      <c r="AA29" s="7">
        <f t="shared" si="22"/>
        <v>1537415</v>
      </c>
      <c r="AB29" s="7">
        <f t="shared" si="23"/>
        <v>6000000</v>
      </c>
      <c r="AC29" s="357">
        <f>+'[4]TÉC ENE-MAR-11'!$G$106</f>
        <v>713015</v>
      </c>
      <c r="AD29" s="357">
        <f>+'[4]TÉC ABR-JUN-11'!$G$129</f>
        <v>749570</v>
      </c>
      <c r="AE29" s="357">
        <f>+'[4]TEC JUL-SEP-11'!$G$122</f>
        <v>3000000</v>
      </c>
      <c r="AF29" s="357">
        <f>+'[4]TEC OCT-DIC'!$G$129</f>
        <v>1532790</v>
      </c>
      <c r="AG29" s="357">
        <f t="shared" si="27"/>
        <v>5995375</v>
      </c>
      <c r="AH29" s="7">
        <f t="shared" si="28"/>
        <v>0</v>
      </c>
      <c r="AI29" s="12">
        <f t="shared" si="29"/>
        <v>0</v>
      </c>
      <c r="AJ29" s="7">
        <f t="shared" si="30"/>
        <v>0</v>
      </c>
      <c r="AK29" s="12">
        <f t="shared" si="24"/>
        <v>4625</v>
      </c>
      <c r="AL29" s="7">
        <f t="shared" si="31"/>
        <v>6000000</v>
      </c>
      <c r="AM29" s="140">
        <f t="shared" si="25"/>
        <v>0</v>
      </c>
      <c r="AN29" s="7">
        <f t="shared" si="32"/>
        <v>4625</v>
      </c>
      <c r="AO29" s="130">
        <f>+AG29/I29</f>
        <v>0.9992291666666666</v>
      </c>
      <c r="AP29" s="130">
        <f>+AC29/M29</f>
        <v>1</v>
      </c>
      <c r="AQ29" s="130">
        <f>+AD29/Q29</f>
        <v>1</v>
      </c>
      <c r="AR29" s="130">
        <f>+AE29/V29</f>
        <v>1</v>
      </c>
      <c r="AS29" s="135">
        <f>+AF29/AA29</f>
        <v>0.9969917036063782</v>
      </c>
    </row>
    <row r="30" spans="1:45" ht="15" customHeight="1">
      <c r="A30" s="168" t="s">
        <v>47</v>
      </c>
      <c r="B30" s="12">
        <v>0</v>
      </c>
      <c r="C30" s="8"/>
      <c r="D30" s="8"/>
      <c r="E30" s="8"/>
      <c r="F30" s="8"/>
      <c r="G30" s="8"/>
      <c r="H30" s="8"/>
      <c r="I30" s="7">
        <f t="shared" si="18"/>
        <v>0</v>
      </c>
      <c r="J30" s="26"/>
      <c r="K30" s="26"/>
      <c r="L30" s="7">
        <v>0</v>
      </c>
      <c r="M30" s="7">
        <f t="shared" si="26"/>
        <v>0</v>
      </c>
      <c r="N30" s="7">
        <v>0</v>
      </c>
      <c r="O30" s="8"/>
      <c r="P30" s="7">
        <f t="shared" si="19"/>
        <v>0</v>
      </c>
      <c r="Q30" s="7">
        <f t="shared" si="20"/>
        <v>0</v>
      </c>
      <c r="R30" s="27">
        <f>+'[3]Anexo 2 '!$C$32</f>
        <v>0</v>
      </c>
      <c r="S30" s="27"/>
      <c r="T30" s="27"/>
      <c r="U30" s="7">
        <v>0</v>
      </c>
      <c r="V30" s="7">
        <f t="shared" si="21"/>
        <v>0</v>
      </c>
      <c r="W30" s="7">
        <v>0</v>
      </c>
      <c r="X30" s="7"/>
      <c r="Y30" s="7"/>
      <c r="Z30" s="27"/>
      <c r="AA30" s="7">
        <f t="shared" si="22"/>
        <v>0</v>
      </c>
      <c r="AB30" s="7">
        <f t="shared" si="23"/>
        <v>0</v>
      </c>
      <c r="AC30" s="357">
        <f>+'[4]TÉC ENE-MAR-11'!$G$115</f>
        <v>0</v>
      </c>
      <c r="AD30" s="357">
        <v>0</v>
      </c>
      <c r="AE30" s="357">
        <f>+'[4]TEC JUL-SEP-11'!$G$131</f>
        <v>0</v>
      </c>
      <c r="AF30" s="357">
        <v>0</v>
      </c>
      <c r="AG30" s="357">
        <f t="shared" si="27"/>
        <v>0</v>
      </c>
      <c r="AH30" s="7">
        <f t="shared" si="28"/>
        <v>0</v>
      </c>
      <c r="AI30" s="12">
        <f t="shared" si="29"/>
        <v>0</v>
      </c>
      <c r="AJ30" s="7">
        <f t="shared" si="30"/>
        <v>0</v>
      </c>
      <c r="AK30" s="12">
        <f t="shared" si="24"/>
        <v>0</v>
      </c>
      <c r="AL30" s="7">
        <f t="shared" si="31"/>
        <v>0</v>
      </c>
      <c r="AM30" s="140">
        <f t="shared" si="25"/>
        <v>0</v>
      </c>
      <c r="AN30" s="7">
        <f t="shared" si="32"/>
        <v>0</v>
      </c>
      <c r="AO30" s="130">
        <v>0</v>
      </c>
      <c r="AP30" s="130">
        <v>0</v>
      </c>
      <c r="AQ30" s="144">
        <v>0</v>
      </c>
      <c r="AR30" s="130">
        <v>0</v>
      </c>
      <c r="AS30" s="135">
        <v>0</v>
      </c>
    </row>
    <row r="31" spans="1:45" ht="15" customHeight="1" thickBot="1">
      <c r="A31" s="168"/>
      <c r="B31" s="24"/>
      <c r="C31" s="25"/>
      <c r="D31" s="25"/>
      <c r="E31" s="25"/>
      <c r="F31" s="25"/>
      <c r="G31" s="25"/>
      <c r="H31" s="25"/>
      <c r="I31" s="24"/>
      <c r="J31" s="56"/>
      <c r="K31" s="56"/>
      <c r="L31" s="24"/>
      <c r="M31" s="24"/>
      <c r="N31" s="24"/>
      <c r="O31" s="25"/>
      <c r="P31" s="24"/>
      <c r="Q31" s="24"/>
      <c r="R31" s="24"/>
      <c r="S31" s="24"/>
      <c r="T31" s="24"/>
      <c r="U31" s="7">
        <v>0</v>
      </c>
      <c r="V31" s="24"/>
      <c r="W31" s="24"/>
      <c r="X31" s="24"/>
      <c r="Y31" s="24"/>
      <c r="Z31" s="27"/>
      <c r="AA31" s="24"/>
      <c r="AB31" s="24"/>
      <c r="AC31" s="357"/>
      <c r="AD31" s="357"/>
      <c r="AE31" s="357"/>
      <c r="AF31" s="357"/>
      <c r="AG31" s="357"/>
      <c r="AH31" s="27"/>
      <c r="AI31" s="27"/>
      <c r="AJ31" s="27"/>
      <c r="AK31" s="27"/>
      <c r="AL31" s="27"/>
      <c r="AM31" s="27"/>
      <c r="AN31" s="27"/>
      <c r="AO31" s="130"/>
      <c r="AP31" s="130"/>
      <c r="AQ31" s="144"/>
      <c r="AR31" s="130"/>
      <c r="AS31" s="184"/>
    </row>
    <row r="32" spans="1:47" s="2" customFormat="1" ht="15" customHeight="1" thickBot="1">
      <c r="A32" s="50" t="s">
        <v>51</v>
      </c>
      <c r="B32" s="50">
        <f>SUM(B24:B31)</f>
        <v>33423155.711400002</v>
      </c>
      <c r="C32" s="50">
        <f aca="true" t="shared" si="33" ref="C32:AN32">SUM(C24:C31)</f>
        <v>0</v>
      </c>
      <c r="D32" s="50">
        <f>SUM(D24:D31)</f>
        <v>0</v>
      </c>
      <c r="E32" s="50">
        <f>SUM(E24:E31)</f>
        <v>0</v>
      </c>
      <c r="F32" s="50">
        <f>SUM(F24:F31)</f>
        <v>0</v>
      </c>
      <c r="G32" s="50"/>
      <c r="H32" s="50">
        <f>SUM(H24:H31)</f>
        <v>0</v>
      </c>
      <c r="I32" s="50">
        <f t="shared" si="33"/>
        <v>33423155.711400002</v>
      </c>
      <c r="J32" s="50">
        <f t="shared" si="33"/>
        <v>5900671.3149999995</v>
      </c>
      <c r="K32" s="50"/>
      <c r="L32" s="50">
        <f t="shared" si="33"/>
        <v>-1322437.315</v>
      </c>
      <c r="M32" s="50">
        <f t="shared" si="33"/>
        <v>4578234</v>
      </c>
      <c r="N32" s="50">
        <f t="shared" si="33"/>
        <v>9603238.92785</v>
      </c>
      <c r="O32" s="50">
        <f>SUM(O24:O31)</f>
        <v>0</v>
      </c>
      <c r="P32" s="50">
        <f t="shared" si="33"/>
        <v>-1847422.92785</v>
      </c>
      <c r="Q32" s="50">
        <f t="shared" si="33"/>
        <v>7755816</v>
      </c>
      <c r="R32" s="50">
        <f t="shared" si="33"/>
        <v>8103238.927850001</v>
      </c>
      <c r="S32" s="50">
        <f>SUM(S24:S31)</f>
        <v>0</v>
      </c>
      <c r="T32" s="50">
        <f>SUM(T24:T31)</f>
        <v>-534646</v>
      </c>
      <c r="U32" s="50">
        <f>SUM(U24:U31)</f>
        <v>-565631.3678500002</v>
      </c>
      <c r="V32" s="50">
        <f t="shared" si="33"/>
        <v>7002961.5600000005</v>
      </c>
      <c r="W32" s="50">
        <f>SUM(W24:W31)</f>
        <v>14086144.1514</v>
      </c>
      <c r="X32" s="50">
        <f>SUM(X24:X31)</f>
        <v>0</v>
      </c>
      <c r="Y32" s="50">
        <f>SUM(Y24:Y31)</f>
        <v>0</v>
      </c>
      <c r="Z32" s="50">
        <f t="shared" si="33"/>
        <v>0</v>
      </c>
      <c r="AA32" s="50">
        <f t="shared" si="33"/>
        <v>14086144.1514</v>
      </c>
      <c r="AB32" s="50">
        <f t="shared" si="33"/>
        <v>33423155.711400002</v>
      </c>
      <c r="AC32" s="50">
        <f t="shared" si="33"/>
        <v>4578234</v>
      </c>
      <c r="AD32" s="50">
        <f>SUM(AD24:AD31)</f>
        <v>7755816</v>
      </c>
      <c r="AE32" s="50">
        <f t="shared" si="33"/>
        <v>7002961.5600000005</v>
      </c>
      <c r="AF32" s="50">
        <f t="shared" si="33"/>
        <v>11042867</v>
      </c>
      <c r="AG32" s="50">
        <f t="shared" si="33"/>
        <v>30379878.560000002</v>
      </c>
      <c r="AH32" s="50">
        <f t="shared" si="33"/>
        <v>0</v>
      </c>
      <c r="AI32" s="50">
        <f t="shared" si="33"/>
        <v>0</v>
      </c>
      <c r="AJ32" s="50">
        <f t="shared" si="33"/>
        <v>0</v>
      </c>
      <c r="AK32" s="50">
        <f>SUM(AK24:AK31)</f>
        <v>3043277.151400001</v>
      </c>
      <c r="AL32" s="50">
        <f t="shared" si="33"/>
        <v>33423155.711400002</v>
      </c>
      <c r="AM32" s="50">
        <f t="shared" si="33"/>
        <v>0</v>
      </c>
      <c r="AN32" s="50">
        <f t="shared" si="33"/>
        <v>3043277.1514000003</v>
      </c>
      <c r="AO32" s="148">
        <f>+AG32/I32</f>
        <v>0.9089470432511555</v>
      </c>
      <c r="AP32" s="148">
        <f>+AC32/M32</f>
        <v>1</v>
      </c>
      <c r="AQ32" s="148">
        <f>+AD32/Q32</f>
        <v>1</v>
      </c>
      <c r="AR32" s="148">
        <f>+AE32/V32</f>
        <v>1</v>
      </c>
      <c r="AS32" s="148">
        <f>+AF32/AA32</f>
        <v>0.7839524344852361</v>
      </c>
      <c r="AU32" s="3"/>
    </row>
    <row r="33" spans="1:45" ht="15" customHeight="1">
      <c r="A33" s="175"/>
      <c r="B33" s="18"/>
      <c r="C33" s="29"/>
      <c r="D33" s="29"/>
      <c r="E33" s="29"/>
      <c r="F33" s="29"/>
      <c r="G33" s="29"/>
      <c r="H33" s="29"/>
      <c r="I33" s="18"/>
      <c r="J33" s="30"/>
      <c r="K33" s="30"/>
      <c r="L33" s="18"/>
      <c r="M33" s="18"/>
      <c r="N33" s="18"/>
      <c r="O33" s="29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5"/>
      <c r="AK33" s="18"/>
      <c r="AL33" s="18"/>
      <c r="AM33" s="18"/>
      <c r="AN33" s="18"/>
      <c r="AO33" s="147"/>
      <c r="AP33" s="147"/>
      <c r="AQ33" s="147"/>
      <c r="AR33" s="147"/>
      <c r="AS33" s="182"/>
    </row>
    <row r="34" spans="1:45" ht="15" customHeight="1" thickBot="1">
      <c r="A34" s="185" t="s">
        <v>52</v>
      </c>
      <c r="B34" s="27"/>
      <c r="C34" s="31"/>
      <c r="D34" s="31"/>
      <c r="E34" s="31"/>
      <c r="F34" s="31"/>
      <c r="G34" s="31"/>
      <c r="H34" s="31"/>
      <c r="I34" s="27"/>
      <c r="J34" s="26"/>
      <c r="K34" s="26"/>
      <c r="L34" s="27"/>
      <c r="M34" s="27"/>
      <c r="N34" s="27"/>
      <c r="O34" s="31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4"/>
      <c r="AK34" s="27"/>
      <c r="AL34" s="27"/>
      <c r="AM34" s="27"/>
      <c r="AN34" s="27"/>
      <c r="AO34" s="149"/>
      <c r="AP34" s="149"/>
      <c r="AQ34" s="149"/>
      <c r="AR34" s="149"/>
      <c r="AS34" s="184"/>
    </row>
    <row r="35" spans="1:45" ht="15" customHeight="1" thickBot="1">
      <c r="A35" s="50" t="s">
        <v>98</v>
      </c>
      <c r="B35" s="50">
        <f>+B37+B43+B53+B57</f>
        <v>1110781737</v>
      </c>
      <c r="C35" s="50">
        <f aca="true" t="shared" si="34" ref="C35:H35">+C37+C43+C53+C57</f>
        <v>0</v>
      </c>
      <c r="D35" s="50">
        <f t="shared" si="34"/>
        <v>0</v>
      </c>
      <c r="E35" s="50">
        <f t="shared" si="34"/>
        <v>0</v>
      </c>
      <c r="F35" s="50">
        <f t="shared" si="34"/>
        <v>-387000000</v>
      </c>
      <c r="G35" s="50"/>
      <c r="H35" s="50">
        <f t="shared" si="34"/>
        <v>0</v>
      </c>
      <c r="I35" s="50">
        <f>+I37+I43+I53+I57</f>
        <v>723781737</v>
      </c>
      <c r="J35" s="50">
        <f>+J37+J43+J53+J57+J60</f>
        <v>194098040</v>
      </c>
      <c r="K35" s="50"/>
      <c r="L35" s="50"/>
      <c r="M35" s="50">
        <f>+M37+M43+M53+M57</f>
        <v>80325359.2</v>
      </c>
      <c r="N35" s="50">
        <f aca="true" t="shared" si="35" ref="N35:Z35">+N37+N43+N53+N57+N60</f>
        <v>158505645</v>
      </c>
      <c r="O35" s="50">
        <f t="shared" si="35"/>
        <v>0</v>
      </c>
      <c r="P35" s="50">
        <f t="shared" si="35"/>
        <v>-15289238</v>
      </c>
      <c r="Q35" s="50">
        <f>+Q37+Q43+Q53+Q57</f>
        <v>143216407</v>
      </c>
      <c r="R35" s="50">
        <f>+R37+R43+R53+R57</f>
        <v>258047966</v>
      </c>
      <c r="S35" s="50">
        <f t="shared" si="35"/>
        <v>0</v>
      </c>
      <c r="T35" s="50">
        <f t="shared" si="35"/>
        <v>0</v>
      </c>
      <c r="U35" s="50">
        <f t="shared" si="35"/>
        <v>-92268315</v>
      </c>
      <c r="V35" s="50">
        <f>+V37+V43+V53+V57</f>
        <v>187791332</v>
      </c>
      <c r="W35" s="50">
        <f>+W37+W43+W53+W57+W60</f>
        <v>288894282</v>
      </c>
      <c r="X35" s="50">
        <f t="shared" si="35"/>
        <v>0</v>
      </c>
      <c r="Y35" s="50">
        <f t="shared" si="35"/>
        <v>0</v>
      </c>
      <c r="Z35" s="50">
        <f t="shared" si="35"/>
        <v>0</v>
      </c>
      <c r="AA35" s="50">
        <f aca="true" t="shared" si="36" ref="AA35:AG35">+AA37+AA43+AA53+AA57</f>
        <v>273894282</v>
      </c>
      <c r="AB35" s="50">
        <f t="shared" si="36"/>
        <v>685227380.2</v>
      </c>
      <c r="AC35" s="50">
        <f t="shared" si="36"/>
        <v>80325359.2</v>
      </c>
      <c r="AD35" s="50">
        <f t="shared" si="36"/>
        <v>143216407</v>
      </c>
      <c r="AE35" s="50">
        <f t="shared" si="36"/>
        <v>187791332</v>
      </c>
      <c r="AF35" s="50">
        <f t="shared" si="36"/>
        <v>264190471</v>
      </c>
      <c r="AG35" s="50">
        <f t="shared" si="36"/>
        <v>675523569.2</v>
      </c>
      <c r="AH35" s="50">
        <f aca="true" t="shared" si="37" ref="AH35:AN35">+AH37+AH43+AH53+AH57</f>
        <v>0</v>
      </c>
      <c r="AI35" s="50">
        <f t="shared" si="37"/>
        <v>0</v>
      </c>
      <c r="AJ35" s="50">
        <f t="shared" si="37"/>
        <v>0</v>
      </c>
      <c r="AK35" s="50">
        <f>+AK37+AK43+AK53+AK57</f>
        <v>9703811</v>
      </c>
      <c r="AL35" s="50">
        <f t="shared" si="37"/>
        <v>685227380.2</v>
      </c>
      <c r="AM35" s="50">
        <f t="shared" si="37"/>
        <v>38554356.8</v>
      </c>
      <c r="AN35" s="50">
        <f t="shared" si="37"/>
        <v>9703811</v>
      </c>
      <c r="AO35" s="148">
        <f>+AG35/I35</f>
        <v>0.9333249716965435</v>
      </c>
      <c r="AP35" s="148">
        <f>+AC35/M35</f>
        <v>1</v>
      </c>
      <c r="AQ35" s="148">
        <f>+AD35/Q35</f>
        <v>1</v>
      </c>
      <c r="AR35" s="148">
        <f>+AE35/V35</f>
        <v>1</v>
      </c>
      <c r="AS35" s="148">
        <f>+AF35/AA35</f>
        <v>0.9645709617260283</v>
      </c>
    </row>
    <row r="36" spans="1:45" ht="15" customHeight="1">
      <c r="A36" s="186"/>
      <c r="B36" s="18"/>
      <c r="C36" s="38"/>
      <c r="D36" s="38"/>
      <c r="E36" s="38"/>
      <c r="F36" s="38"/>
      <c r="G36" s="38"/>
      <c r="H36" s="38"/>
      <c r="I36" s="18"/>
      <c r="J36" s="30"/>
      <c r="K36" s="30"/>
      <c r="L36" s="39"/>
      <c r="M36" s="30"/>
      <c r="N36" s="18"/>
      <c r="O36" s="30"/>
      <c r="P36" s="30"/>
      <c r="Q36" s="39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9"/>
      <c r="AC36" s="18"/>
      <c r="AD36" s="18"/>
      <c r="AE36" s="18"/>
      <c r="AF36" s="18"/>
      <c r="AG36" s="39"/>
      <c r="AH36" s="39"/>
      <c r="AI36" s="30"/>
      <c r="AJ36" s="30"/>
      <c r="AK36" s="30"/>
      <c r="AL36" s="39"/>
      <c r="AM36" s="39"/>
      <c r="AN36" s="39"/>
      <c r="AO36" s="147"/>
      <c r="AP36" s="147"/>
      <c r="AQ36" s="147"/>
      <c r="AR36" s="147"/>
      <c r="AS36" s="182"/>
    </row>
    <row r="37" spans="1:47" s="2" customFormat="1" ht="15" customHeight="1">
      <c r="A37" s="173" t="s">
        <v>99</v>
      </c>
      <c r="B37" s="19">
        <f aca="true" t="shared" si="38" ref="B37:I37">SUM(B38:B42)</f>
        <v>129792321</v>
      </c>
      <c r="C37" s="19">
        <f t="shared" si="38"/>
        <v>0</v>
      </c>
      <c r="D37" s="19">
        <f t="shared" si="38"/>
        <v>0</v>
      </c>
      <c r="E37" s="19">
        <f t="shared" si="38"/>
        <v>0</v>
      </c>
      <c r="F37" s="19">
        <f t="shared" si="38"/>
        <v>-50000000</v>
      </c>
      <c r="G37" s="19"/>
      <c r="H37" s="19">
        <f t="shared" si="38"/>
        <v>0</v>
      </c>
      <c r="I37" s="33">
        <f t="shared" si="38"/>
        <v>79792321</v>
      </c>
      <c r="J37" s="20">
        <f aca="true" t="shared" si="39" ref="J37:AN37">SUM(J38:J42)</f>
        <v>0</v>
      </c>
      <c r="K37" s="20"/>
      <c r="L37" s="20">
        <f t="shared" si="39"/>
        <v>0</v>
      </c>
      <c r="M37" s="20">
        <f t="shared" si="39"/>
        <v>0</v>
      </c>
      <c r="N37" s="19">
        <f t="shared" si="39"/>
        <v>3000000</v>
      </c>
      <c r="O37" s="19">
        <f t="shared" si="39"/>
        <v>0</v>
      </c>
      <c r="P37" s="19">
        <f t="shared" si="39"/>
        <v>-946800</v>
      </c>
      <c r="Q37" s="36">
        <f aca="true" t="shared" si="40" ref="Q37:Q60">SUM(N37:P37)</f>
        <v>2053200</v>
      </c>
      <c r="R37" s="20">
        <f t="shared" si="39"/>
        <v>66792321</v>
      </c>
      <c r="S37" s="20">
        <f>SUM(S38:S42)</f>
        <v>0</v>
      </c>
      <c r="T37" s="20">
        <f>SUM(T38:T42)</f>
        <v>0</v>
      </c>
      <c r="U37" s="20">
        <f>SUM(U38:U42)</f>
        <v>-8987000</v>
      </c>
      <c r="V37" s="20">
        <f t="shared" si="39"/>
        <v>57805321</v>
      </c>
      <c r="W37" s="361">
        <f>SUM(W38:W42)</f>
        <v>19933800</v>
      </c>
      <c r="X37" s="20">
        <f>SUM(X38:X42)</f>
        <v>0</v>
      </c>
      <c r="Y37" s="20">
        <f>SUM(Y38:Y42)</f>
        <v>-3000000</v>
      </c>
      <c r="Z37" s="20">
        <f t="shared" si="39"/>
        <v>0</v>
      </c>
      <c r="AA37" s="20">
        <f t="shared" si="39"/>
        <v>16933800</v>
      </c>
      <c r="AB37" s="20">
        <f t="shared" si="39"/>
        <v>76792321</v>
      </c>
      <c r="AC37" s="358">
        <f t="shared" si="39"/>
        <v>0</v>
      </c>
      <c r="AD37" s="358">
        <f t="shared" si="39"/>
        <v>2053200</v>
      </c>
      <c r="AE37" s="358">
        <f t="shared" si="39"/>
        <v>57805321</v>
      </c>
      <c r="AF37" s="358">
        <f t="shared" si="39"/>
        <v>9899403</v>
      </c>
      <c r="AG37" s="358">
        <f t="shared" si="39"/>
        <v>69757924</v>
      </c>
      <c r="AH37" s="20">
        <f t="shared" si="39"/>
        <v>0</v>
      </c>
      <c r="AI37" s="20">
        <f t="shared" si="39"/>
        <v>0</v>
      </c>
      <c r="AJ37" s="20">
        <f t="shared" si="39"/>
        <v>0</v>
      </c>
      <c r="AK37" s="20">
        <f>SUM(AK38:AK42)</f>
        <v>7034397</v>
      </c>
      <c r="AL37" s="20">
        <f t="shared" si="39"/>
        <v>76792321</v>
      </c>
      <c r="AM37" s="20">
        <f t="shared" si="39"/>
        <v>3000000</v>
      </c>
      <c r="AN37" s="20">
        <f t="shared" si="39"/>
        <v>7034397</v>
      </c>
      <c r="AO37" s="133">
        <f>+AG37/I37</f>
        <v>0.8742435753936773</v>
      </c>
      <c r="AP37" s="133">
        <v>0</v>
      </c>
      <c r="AQ37" s="133">
        <f>+AD37/Q37</f>
        <v>1</v>
      </c>
      <c r="AR37" s="133">
        <f>+AE37/V37</f>
        <v>1</v>
      </c>
      <c r="AS37" s="136">
        <f aca="true" t="shared" si="41" ref="AS37:AS48">+AF37/AA37</f>
        <v>0.584594302519222</v>
      </c>
      <c r="AU37" s="3"/>
    </row>
    <row r="38" spans="1:45" ht="16.5" customHeight="1" hidden="1" outlineLevel="1">
      <c r="A38" s="201" t="s">
        <v>145</v>
      </c>
      <c r="B38" s="12">
        <v>57792321</v>
      </c>
      <c r="C38" s="25"/>
      <c r="D38" s="25"/>
      <c r="E38" s="25"/>
      <c r="F38" s="25"/>
      <c r="G38" s="25"/>
      <c r="H38" s="25"/>
      <c r="I38" s="7">
        <f>SUM(B38:H38)</f>
        <v>57792321</v>
      </c>
      <c r="J38" s="35">
        <v>0</v>
      </c>
      <c r="K38" s="35"/>
      <c r="L38" s="7">
        <v>0</v>
      </c>
      <c r="M38" s="7">
        <f>+'[1]Anexo 2 '!$C$112</f>
        <v>0</v>
      </c>
      <c r="N38" s="233"/>
      <c r="O38" s="25"/>
      <c r="P38" s="7">
        <f>+AD38-N38-O38</f>
        <v>0</v>
      </c>
      <c r="Q38" s="7">
        <f t="shared" si="40"/>
        <v>0</v>
      </c>
      <c r="R38" s="12">
        <v>57792321</v>
      </c>
      <c r="S38" s="12">
        <f>+'[3]Anexo 2 '!$C$113</f>
        <v>0</v>
      </c>
      <c r="T38" s="12">
        <f>+'[3]Anexo 2 '!$C$113</f>
        <v>0</v>
      </c>
      <c r="U38" s="7">
        <f>-R38-S38-T38+AE38</f>
        <v>0</v>
      </c>
      <c r="V38" s="7">
        <f>+SUM(R38:U38)</f>
        <v>57792321</v>
      </c>
      <c r="W38" s="357">
        <v>0</v>
      </c>
      <c r="X38" s="12"/>
      <c r="Y38" s="12"/>
      <c r="Z38" s="12"/>
      <c r="AA38" s="7">
        <f>+SUM(W38:Z38)</f>
        <v>0</v>
      </c>
      <c r="AB38" s="7">
        <f>+M38+Q38+V38+AA38</f>
        <v>57792321</v>
      </c>
      <c r="AC38" s="357">
        <f>+'[4]TÉC ENE-MAR-11'!$G$123</f>
        <v>0</v>
      </c>
      <c r="AD38" s="357">
        <v>0</v>
      </c>
      <c r="AE38" s="357">
        <f>+'[4]TEC JUL-SEP-11'!$G$142</f>
        <v>57792321</v>
      </c>
      <c r="AF38" s="357">
        <f>+'[4]TEC OCT-DIC'!$G$145</f>
        <v>0</v>
      </c>
      <c r="AG38" s="357">
        <f>SUM(AC38:AF38)</f>
        <v>57792321</v>
      </c>
      <c r="AH38" s="7">
        <f>+M38-AC38</f>
        <v>0</v>
      </c>
      <c r="AI38" s="12">
        <f>+Q38-AD38</f>
        <v>0</v>
      </c>
      <c r="AJ38" s="7">
        <f>+V38-AE38</f>
        <v>0</v>
      </c>
      <c r="AK38" s="12">
        <f>+AA38-AF38</f>
        <v>0</v>
      </c>
      <c r="AL38" s="7">
        <f>+AB38</f>
        <v>57792321</v>
      </c>
      <c r="AM38" s="7">
        <f>+I38-AL38</f>
        <v>0</v>
      </c>
      <c r="AN38" s="7">
        <f>+AL38-AG38</f>
        <v>0</v>
      </c>
      <c r="AO38" s="130">
        <f>+AG38/I38</f>
        <v>1</v>
      </c>
      <c r="AP38" s="130">
        <v>0</v>
      </c>
      <c r="AQ38" s="130">
        <v>0</v>
      </c>
      <c r="AR38" s="130">
        <f>+AE38/V38</f>
        <v>1</v>
      </c>
      <c r="AS38" s="135">
        <v>0</v>
      </c>
    </row>
    <row r="39" spans="1:45" ht="15.75" customHeight="1" hidden="1" outlineLevel="1">
      <c r="A39" s="201" t="s">
        <v>146</v>
      </c>
      <c r="B39" s="12">
        <v>10000000</v>
      </c>
      <c r="C39" s="25"/>
      <c r="D39" s="25"/>
      <c r="E39" s="25"/>
      <c r="F39" s="25"/>
      <c r="G39" s="25"/>
      <c r="H39" s="25"/>
      <c r="I39" s="7">
        <f>SUM(B39:H39)</f>
        <v>10000000</v>
      </c>
      <c r="J39" s="35">
        <v>0</v>
      </c>
      <c r="K39" s="35"/>
      <c r="L39" s="7">
        <v>0</v>
      </c>
      <c r="M39" s="7">
        <f>+'[1]Anexo 2 '!$C$113</f>
        <v>0</v>
      </c>
      <c r="N39" s="233"/>
      <c r="O39" s="25"/>
      <c r="P39" s="7">
        <f>+AD39-N39-O39</f>
        <v>0</v>
      </c>
      <c r="Q39" s="7">
        <f t="shared" si="40"/>
        <v>0</v>
      </c>
      <c r="R39" s="12">
        <v>0</v>
      </c>
      <c r="S39" s="12">
        <f>+'[3]Anexo 2 '!$C$114</f>
        <v>0</v>
      </c>
      <c r="T39" s="12">
        <f>+'[3]Anexo 2 '!$C$114</f>
        <v>0</v>
      </c>
      <c r="U39" s="7">
        <f>-R39-S39-T39+AE39</f>
        <v>0</v>
      </c>
      <c r="V39" s="7">
        <f>+SUM(R39:U39)</f>
        <v>0</v>
      </c>
      <c r="W39" s="7">
        <v>10000000</v>
      </c>
      <c r="X39" s="12"/>
      <c r="Y39" s="12">
        <v>-3000000</v>
      </c>
      <c r="Z39" s="12"/>
      <c r="AA39" s="7">
        <f>+SUM(W39:Z39)</f>
        <v>7000000</v>
      </c>
      <c r="AB39" s="7">
        <f>+M39+Q39+V39+AA39</f>
        <v>7000000</v>
      </c>
      <c r="AC39" s="357">
        <f>+'[4]TÉC ENE-MAR-11'!$G$128</f>
        <v>0</v>
      </c>
      <c r="AD39" s="357">
        <v>0</v>
      </c>
      <c r="AE39" s="357">
        <f>+'[4]TEC JUL-SEP-11'!$G$148</f>
        <v>0</v>
      </c>
      <c r="AF39" s="357">
        <f>+'[4]TEC OCT-DIC'!$G$150</f>
        <v>0</v>
      </c>
      <c r="AG39" s="357">
        <f>SUM(AC39:AF39)</f>
        <v>0</v>
      </c>
      <c r="AH39" s="7">
        <f>+M39-AC39</f>
        <v>0</v>
      </c>
      <c r="AI39" s="12">
        <f>+Q39-AD39</f>
        <v>0</v>
      </c>
      <c r="AJ39" s="7">
        <f>+V39-AE39</f>
        <v>0</v>
      </c>
      <c r="AK39" s="12">
        <f>+AA39-AF39</f>
        <v>7000000</v>
      </c>
      <c r="AL39" s="7">
        <f>+AB39</f>
        <v>7000000</v>
      </c>
      <c r="AM39" s="7">
        <f>+I39-AL39</f>
        <v>3000000</v>
      </c>
      <c r="AN39" s="7">
        <f>+AL39-AG39</f>
        <v>7000000</v>
      </c>
      <c r="AO39" s="130">
        <v>0</v>
      </c>
      <c r="AP39" s="130">
        <v>0</v>
      </c>
      <c r="AQ39" s="130">
        <v>0</v>
      </c>
      <c r="AR39" s="130">
        <v>0</v>
      </c>
      <c r="AS39" s="135">
        <f t="shared" si="41"/>
        <v>0</v>
      </c>
    </row>
    <row r="40" spans="1:45" ht="15.75" customHeight="1" hidden="1" outlineLevel="1">
      <c r="A40" s="201" t="s">
        <v>220</v>
      </c>
      <c r="B40" s="12">
        <v>0</v>
      </c>
      <c r="C40" s="25"/>
      <c r="D40" s="25"/>
      <c r="E40" s="25"/>
      <c r="F40" s="25"/>
      <c r="G40" s="25"/>
      <c r="H40" s="25"/>
      <c r="I40" s="7">
        <f>SUM(B40:H40)</f>
        <v>0</v>
      </c>
      <c r="J40" s="35">
        <v>0</v>
      </c>
      <c r="K40" s="35"/>
      <c r="L40" s="7">
        <v>0</v>
      </c>
      <c r="M40" s="7">
        <f>+'[1]Anexo 2 '!$C$113</f>
        <v>0</v>
      </c>
      <c r="N40" s="233"/>
      <c r="O40" s="25"/>
      <c r="P40" s="7">
        <f>+AD40-N40-O40</f>
        <v>0</v>
      </c>
      <c r="Q40" s="7">
        <f t="shared" si="40"/>
        <v>0</v>
      </c>
      <c r="R40" s="12">
        <v>0</v>
      </c>
      <c r="S40" s="12">
        <f>+'[3]Anexo 2 '!$C$114</f>
        <v>0</v>
      </c>
      <c r="T40" s="12">
        <f>+'[3]Anexo 2 '!$C$114</f>
        <v>0</v>
      </c>
      <c r="U40" s="7">
        <f>-R40-S40-T40+AE40</f>
        <v>0</v>
      </c>
      <c r="V40" s="7">
        <f>+SUM(R40:U40)</f>
        <v>0</v>
      </c>
      <c r="W40" s="7">
        <v>0</v>
      </c>
      <c r="X40" s="12"/>
      <c r="Y40" s="12"/>
      <c r="Z40" s="12"/>
      <c r="AA40" s="7">
        <f>+SUM(W40:Z40)</f>
        <v>0</v>
      </c>
      <c r="AB40" s="7">
        <f>+M40+Q40+V40+AA40</f>
        <v>0</v>
      </c>
      <c r="AC40" s="357">
        <f>+'[4]TÉC ENE-MAR-11'!$G$128</f>
        <v>0</v>
      </c>
      <c r="AD40" s="357">
        <v>0</v>
      </c>
      <c r="AE40" s="357">
        <v>0</v>
      </c>
      <c r="AF40" s="357"/>
      <c r="AG40" s="357">
        <f>SUM(AC40:AF40)</f>
        <v>0</v>
      </c>
      <c r="AH40" s="7">
        <f>+M40-AC40</f>
        <v>0</v>
      </c>
      <c r="AI40" s="12">
        <f>+Q40-AD40</f>
        <v>0</v>
      </c>
      <c r="AJ40" s="7">
        <f>+V40-AE40</f>
        <v>0</v>
      </c>
      <c r="AK40" s="12">
        <f>+AA40-AF40</f>
        <v>0</v>
      </c>
      <c r="AL40" s="7">
        <f>+AB40</f>
        <v>0</v>
      </c>
      <c r="AM40" s="7">
        <f>+I40-AL40</f>
        <v>0</v>
      </c>
      <c r="AN40" s="7">
        <f>+AL40-AG40</f>
        <v>0</v>
      </c>
      <c r="AO40" s="130">
        <v>0</v>
      </c>
      <c r="AP40" s="130">
        <v>0</v>
      </c>
      <c r="AQ40" s="130">
        <v>0</v>
      </c>
      <c r="AR40" s="130">
        <v>0</v>
      </c>
      <c r="AS40" s="135">
        <v>0</v>
      </c>
    </row>
    <row r="41" spans="1:45" ht="15.75" customHeight="1" hidden="1" outlineLevel="1">
      <c r="A41" s="201" t="s">
        <v>184</v>
      </c>
      <c r="B41" s="12">
        <v>50000000</v>
      </c>
      <c r="C41" s="25"/>
      <c r="D41" s="25"/>
      <c r="E41" s="25"/>
      <c r="F41" s="31">
        <v>-50000000</v>
      </c>
      <c r="G41" s="31"/>
      <c r="H41" s="25"/>
      <c r="I41" s="7">
        <f>SUM(B41:H41)</f>
        <v>0</v>
      </c>
      <c r="J41" s="35">
        <v>0</v>
      </c>
      <c r="K41" s="35"/>
      <c r="L41" s="7">
        <v>0</v>
      </c>
      <c r="M41" s="7">
        <f>+'[1]Anexo 2 '!$C$113</f>
        <v>0</v>
      </c>
      <c r="N41" s="12"/>
      <c r="O41" s="25"/>
      <c r="P41" s="7">
        <f>+AD41-N41-O41</f>
        <v>0</v>
      </c>
      <c r="Q41" s="7">
        <f>SUM(N41:P41)</f>
        <v>0</v>
      </c>
      <c r="R41" s="12">
        <v>0</v>
      </c>
      <c r="S41" s="12"/>
      <c r="T41" s="12"/>
      <c r="U41" s="7">
        <f>-R41-S41-T41+AE41</f>
        <v>0</v>
      </c>
      <c r="V41" s="7">
        <f>+SUM(R41:U41)</f>
        <v>0</v>
      </c>
      <c r="W41" s="7">
        <v>0</v>
      </c>
      <c r="X41" s="12"/>
      <c r="Y41" s="12"/>
      <c r="Z41" s="12"/>
      <c r="AA41" s="7"/>
      <c r="AB41" s="7">
        <f>+M41+Q41+V41+AA41</f>
        <v>0</v>
      </c>
      <c r="AC41" s="357">
        <f>+'[4]TÉC ENE-MAR-11'!$G$133</f>
        <v>0</v>
      </c>
      <c r="AD41" s="357">
        <v>0</v>
      </c>
      <c r="AE41" s="357">
        <f>+'[4]TEC JUL-SEP-11'!$G$152</f>
        <v>0</v>
      </c>
      <c r="AF41" s="357">
        <f>+'[4]TEC OCT-DIC'!$G$155</f>
        <v>0</v>
      </c>
      <c r="AG41" s="357">
        <f>SUM(AC41:AF41)</f>
        <v>0</v>
      </c>
      <c r="AH41" s="7"/>
      <c r="AI41" s="12"/>
      <c r="AJ41" s="7"/>
      <c r="AK41" s="12">
        <f>+AA41-AF41</f>
        <v>0</v>
      </c>
      <c r="AL41" s="7"/>
      <c r="AM41" s="7">
        <f>+I41-AL41</f>
        <v>0</v>
      </c>
      <c r="AN41" s="7">
        <f>+AL41-AG41</f>
        <v>0</v>
      </c>
      <c r="AO41" s="130"/>
      <c r="AP41" s="130"/>
      <c r="AQ41" s="130"/>
      <c r="AR41" s="130"/>
      <c r="AS41" s="135"/>
    </row>
    <row r="42" spans="1:45" ht="16.5" customHeight="1" hidden="1" outlineLevel="1">
      <c r="A42" s="201" t="s">
        <v>219</v>
      </c>
      <c r="B42" s="12">
        <v>12000000</v>
      </c>
      <c r="C42" s="25"/>
      <c r="D42" s="25"/>
      <c r="E42" s="25"/>
      <c r="F42" s="25"/>
      <c r="G42" s="25"/>
      <c r="H42" s="25"/>
      <c r="I42" s="7">
        <f>SUM(B42:H42)</f>
        <v>12000000</v>
      </c>
      <c r="J42" s="35">
        <v>0</v>
      </c>
      <c r="K42" s="35"/>
      <c r="L42" s="12">
        <v>0</v>
      </c>
      <c r="M42" s="7">
        <f>+'[1]Anexo 2 '!$C$113</f>
        <v>0</v>
      </c>
      <c r="N42" s="12">
        <v>3000000</v>
      </c>
      <c r="O42" s="25"/>
      <c r="P42" s="7">
        <f>+AD42-N42-O42</f>
        <v>-946800</v>
      </c>
      <c r="Q42" s="7">
        <f>SUM(N42:P42)</f>
        <v>2053200</v>
      </c>
      <c r="R42" s="12">
        <v>9000000</v>
      </c>
      <c r="S42" s="12">
        <f>+'[3]Anexo 2 '!$C$115</f>
        <v>0</v>
      </c>
      <c r="T42" s="12">
        <f>+'[3]Anexo 2 '!$C$115</f>
        <v>0</v>
      </c>
      <c r="U42" s="7">
        <f>-R42-S42-T42+AE42</f>
        <v>-8987000</v>
      </c>
      <c r="V42" s="7">
        <f>+SUM(R42:U42)</f>
        <v>13000</v>
      </c>
      <c r="W42" s="357">
        <v>9933800</v>
      </c>
      <c r="X42" s="12"/>
      <c r="Y42" s="12"/>
      <c r="Z42" s="12"/>
      <c r="AA42" s="7">
        <f>+SUM(W42:Z42)</f>
        <v>9933800</v>
      </c>
      <c r="AB42" s="7">
        <f>+M42+Q42+V42+AA42</f>
        <v>12000000</v>
      </c>
      <c r="AC42" s="357">
        <f>+'[4]TÉC ENE-MAR-11'!$G$137</f>
        <v>0</v>
      </c>
      <c r="AD42" s="357">
        <f>+'[4]TÉC ABR-JUN-11'!$G$165</f>
        <v>2053200</v>
      </c>
      <c r="AE42" s="357">
        <f>+'[4]TEC JUL-SEP-11'!$G$156</f>
        <v>13000</v>
      </c>
      <c r="AF42" s="357">
        <f>+'[4]TEC OCT-DIC'!$G$159</f>
        <v>9899403</v>
      </c>
      <c r="AG42" s="357">
        <f>SUM(AC42:AF42)</f>
        <v>11965603</v>
      </c>
      <c r="AH42" s="7">
        <f>+M42-AC42</f>
        <v>0</v>
      </c>
      <c r="AI42" s="12">
        <f>+Q42-AD42</f>
        <v>0</v>
      </c>
      <c r="AJ42" s="7">
        <f>+V42-AE42</f>
        <v>0</v>
      </c>
      <c r="AK42" s="12">
        <f>+AA42-AF42</f>
        <v>34397</v>
      </c>
      <c r="AL42" s="7">
        <f>+AB42</f>
        <v>12000000</v>
      </c>
      <c r="AM42" s="7">
        <f>+I42-AL42</f>
        <v>0</v>
      </c>
      <c r="AN42" s="7">
        <f>+AL42-AG42</f>
        <v>34397</v>
      </c>
      <c r="AO42" s="130">
        <v>0</v>
      </c>
      <c r="AP42" s="130">
        <v>0</v>
      </c>
      <c r="AQ42" s="130">
        <v>0</v>
      </c>
      <c r="AR42" s="130">
        <v>0</v>
      </c>
      <c r="AS42" s="135">
        <f t="shared" si="41"/>
        <v>0.9965373774386438</v>
      </c>
    </row>
    <row r="43" spans="1:47" s="2" customFormat="1" ht="15.75" customHeight="1" collapsed="1">
      <c r="A43" s="173" t="s">
        <v>100</v>
      </c>
      <c r="B43" s="19">
        <f aca="true" t="shared" si="42" ref="B43:P43">+B44+B48</f>
        <v>536789416</v>
      </c>
      <c r="C43" s="19">
        <f t="shared" si="42"/>
        <v>0</v>
      </c>
      <c r="D43" s="19">
        <f t="shared" si="42"/>
        <v>0</v>
      </c>
      <c r="E43" s="19">
        <f t="shared" si="42"/>
        <v>0</v>
      </c>
      <c r="F43" s="19">
        <f t="shared" si="42"/>
        <v>-387000000</v>
      </c>
      <c r="G43" s="19"/>
      <c r="H43" s="19">
        <f t="shared" si="42"/>
        <v>0</v>
      </c>
      <c r="I43" s="19">
        <f t="shared" si="42"/>
        <v>149789416</v>
      </c>
      <c r="J43" s="19">
        <f t="shared" si="42"/>
        <v>114718040</v>
      </c>
      <c r="K43" s="19"/>
      <c r="L43" s="36">
        <f t="shared" si="42"/>
        <v>-95186949.8</v>
      </c>
      <c r="M43" s="19">
        <f>+J43+L43</f>
        <v>19531090.200000003</v>
      </c>
      <c r="N43" s="19">
        <f t="shared" si="42"/>
        <v>48125645</v>
      </c>
      <c r="O43" s="19">
        <f t="shared" si="42"/>
        <v>0</v>
      </c>
      <c r="P43" s="19">
        <f t="shared" si="42"/>
        <v>-14085270</v>
      </c>
      <c r="Q43" s="36">
        <f t="shared" si="40"/>
        <v>34040375</v>
      </c>
      <c r="R43" s="19">
        <f>+R44+R48</f>
        <v>48125645</v>
      </c>
      <c r="S43" s="19">
        <f>+S44+S48</f>
        <v>0</v>
      </c>
      <c r="T43" s="19">
        <f>+T44+T48</f>
        <v>0</v>
      </c>
      <c r="U43" s="19">
        <f>+U44+U48</f>
        <v>-30140593</v>
      </c>
      <c r="V43" s="19">
        <f aca="true" t="shared" si="43" ref="V43:AG43">+V44+V48</f>
        <v>17985052</v>
      </c>
      <c r="W43" s="358">
        <f>+W44+W48</f>
        <v>39678542</v>
      </c>
      <c r="X43" s="19">
        <f t="shared" si="43"/>
        <v>0</v>
      </c>
      <c r="Y43" s="358">
        <f t="shared" si="43"/>
        <v>3000000</v>
      </c>
      <c r="Z43" s="19">
        <f t="shared" si="43"/>
        <v>0</v>
      </c>
      <c r="AA43" s="19">
        <f t="shared" si="43"/>
        <v>42678542</v>
      </c>
      <c r="AB43" s="19">
        <f t="shared" si="43"/>
        <v>114235059.2</v>
      </c>
      <c r="AC43" s="358">
        <f t="shared" si="43"/>
        <v>19531090.2</v>
      </c>
      <c r="AD43" s="358">
        <f t="shared" si="43"/>
        <v>34040375</v>
      </c>
      <c r="AE43" s="358">
        <f t="shared" si="43"/>
        <v>17985052</v>
      </c>
      <c r="AF43" s="358">
        <f t="shared" si="43"/>
        <v>41283311</v>
      </c>
      <c r="AG43" s="358">
        <f t="shared" si="43"/>
        <v>112839828.2</v>
      </c>
      <c r="AH43" s="19">
        <f aca="true" t="shared" si="44" ref="AH43:AN43">+AH44+AH48</f>
        <v>0</v>
      </c>
      <c r="AI43" s="20">
        <f t="shared" si="44"/>
        <v>0</v>
      </c>
      <c r="AJ43" s="19">
        <f t="shared" si="44"/>
        <v>0</v>
      </c>
      <c r="AK43" s="19">
        <f>+AK44+AK48</f>
        <v>1395231</v>
      </c>
      <c r="AL43" s="19">
        <f t="shared" si="44"/>
        <v>114235059.2</v>
      </c>
      <c r="AM43" s="19">
        <f t="shared" si="44"/>
        <v>35554356.8</v>
      </c>
      <c r="AN43" s="19">
        <f t="shared" si="44"/>
        <v>1395231</v>
      </c>
      <c r="AO43" s="133">
        <f aca="true" t="shared" si="45" ref="AO43:AO55">+AG43/I43</f>
        <v>0.7533231066205639</v>
      </c>
      <c r="AP43" s="133">
        <f aca="true" t="shared" si="46" ref="AP43:AP51">+AC43/M43</f>
        <v>0.9999999999999998</v>
      </c>
      <c r="AQ43" s="133">
        <f aca="true" t="shared" si="47" ref="AQ43:AQ51">+AD43/Q43</f>
        <v>1</v>
      </c>
      <c r="AR43" s="133">
        <f>+AE43/V43</f>
        <v>1</v>
      </c>
      <c r="AS43" s="136">
        <f t="shared" si="41"/>
        <v>0.9673083724369028</v>
      </c>
      <c r="AU43" s="3"/>
    </row>
    <row r="44" spans="1:45" ht="15.75" customHeight="1" hidden="1" outlineLevel="1">
      <c r="A44" s="430" t="s">
        <v>101</v>
      </c>
      <c r="B44" s="359">
        <f>SUM(B45:B47)</f>
        <v>359674300</v>
      </c>
      <c r="C44" s="371">
        <f>SUM(C45:C47)</f>
        <v>0</v>
      </c>
      <c r="D44" s="371">
        <f>SUM(D45:D47)</f>
        <v>0</v>
      </c>
      <c r="E44" s="371">
        <f>SUM(E45:E47)</f>
        <v>0</v>
      </c>
      <c r="F44" s="371">
        <f>SUM(F45:F47)</f>
        <v>-317000000</v>
      </c>
      <c r="G44" s="371"/>
      <c r="H44" s="371">
        <f>SUM(H45:H47)</f>
        <v>-2950000</v>
      </c>
      <c r="I44" s="357">
        <f aca="true" t="shared" si="48" ref="I44:I52">SUM(B44:H44)</f>
        <v>39724300</v>
      </c>
      <c r="J44" s="27">
        <f>SUM(J45:J47)</f>
        <v>95618040</v>
      </c>
      <c r="K44" s="72"/>
      <c r="L44" s="7">
        <v>-85749820</v>
      </c>
      <c r="M44" s="12">
        <f aca="true" t="shared" si="49" ref="M44:M52">+J44+L44</f>
        <v>9868220</v>
      </c>
      <c r="N44" s="12">
        <f>SUM(N45:N47)</f>
        <v>18300000</v>
      </c>
      <c r="O44" s="31">
        <f>SUM(O45:O47)</f>
        <v>0</v>
      </c>
      <c r="P44" s="31">
        <f>SUM(P45:P47)</f>
        <v>-6338750</v>
      </c>
      <c r="Q44" s="7">
        <f t="shared" si="40"/>
        <v>11961250</v>
      </c>
      <c r="R44" s="27">
        <f>SUM(R45:R47)</f>
        <v>7600000</v>
      </c>
      <c r="S44" s="27">
        <f>SUM(S45:S47)</f>
        <v>0</v>
      </c>
      <c r="T44" s="27">
        <f>SUM(T45:T47)</f>
        <v>0</v>
      </c>
      <c r="U44" s="7">
        <f aca="true" t="shared" si="50" ref="U44:U52">-R44-S44-T44+AE44</f>
        <v>-4441080</v>
      </c>
      <c r="V44" s="27">
        <f aca="true" t="shared" si="51" ref="V44:AN44">SUM(V45:V47)</f>
        <v>3158920</v>
      </c>
      <c r="W44" s="359">
        <f t="shared" si="51"/>
        <v>5075460</v>
      </c>
      <c r="X44" s="27">
        <f t="shared" si="51"/>
        <v>0</v>
      </c>
      <c r="Y44" s="359">
        <f t="shared" si="51"/>
        <v>0</v>
      </c>
      <c r="Z44" s="27">
        <f t="shared" si="51"/>
        <v>0</v>
      </c>
      <c r="AA44" s="27">
        <f t="shared" si="51"/>
        <v>5075460</v>
      </c>
      <c r="AB44" s="27">
        <f t="shared" si="51"/>
        <v>30063850</v>
      </c>
      <c r="AC44" s="359">
        <f t="shared" si="51"/>
        <v>9868220</v>
      </c>
      <c r="AD44" s="359">
        <f t="shared" si="51"/>
        <v>11961250</v>
      </c>
      <c r="AE44" s="359">
        <f t="shared" si="51"/>
        <v>3158920</v>
      </c>
      <c r="AF44" s="359">
        <f t="shared" si="51"/>
        <v>5050512</v>
      </c>
      <c r="AG44" s="359">
        <f t="shared" si="51"/>
        <v>30038902</v>
      </c>
      <c r="AH44" s="27">
        <f t="shared" si="51"/>
        <v>0</v>
      </c>
      <c r="AI44" s="12">
        <f t="shared" si="51"/>
        <v>0</v>
      </c>
      <c r="AJ44" s="27">
        <f t="shared" si="51"/>
        <v>0</v>
      </c>
      <c r="AK44" s="27">
        <f t="shared" si="51"/>
        <v>24948</v>
      </c>
      <c r="AL44" s="27">
        <f t="shared" si="51"/>
        <v>30063850</v>
      </c>
      <c r="AM44" s="27">
        <f t="shared" si="51"/>
        <v>9660450</v>
      </c>
      <c r="AN44" s="27">
        <f t="shared" si="51"/>
        <v>24948</v>
      </c>
      <c r="AO44" s="130">
        <f t="shared" si="45"/>
        <v>0.7561845520248311</v>
      </c>
      <c r="AP44" s="130">
        <f t="shared" si="46"/>
        <v>1</v>
      </c>
      <c r="AQ44" s="130">
        <f t="shared" si="47"/>
        <v>1</v>
      </c>
      <c r="AR44" s="130">
        <f>+AE44/V44</f>
        <v>1</v>
      </c>
      <c r="AS44" s="135">
        <f t="shared" si="41"/>
        <v>0.9950845834663262</v>
      </c>
    </row>
    <row r="45" spans="1:45" ht="15" customHeight="1" hidden="1" outlineLevel="2">
      <c r="A45" s="431" t="s">
        <v>283</v>
      </c>
      <c r="B45" s="357">
        <v>180000000</v>
      </c>
      <c r="C45" s="369"/>
      <c r="D45" s="369"/>
      <c r="E45" s="369"/>
      <c r="F45" s="369">
        <v>-180000000</v>
      </c>
      <c r="G45" s="369"/>
      <c r="H45" s="369"/>
      <c r="I45" s="357">
        <f t="shared" si="48"/>
        <v>0</v>
      </c>
      <c r="J45" s="7">
        <v>40000000</v>
      </c>
      <c r="K45" s="37"/>
      <c r="L45" s="7">
        <v>-40000000</v>
      </c>
      <c r="M45" s="12">
        <f t="shared" si="49"/>
        <v>0</v>
      </c>
      <c r="N45" s="12">
        <v>0</v>
      </c>
      <c r="O45" s="23"/>
      <c r="P45" s="7">
        <f aca="true" t="shared" si="52" ref="P45:P60">+AD45-N45-O45</f>
        <v>0</v>
      </c>
      <c r="Q45" s="7">
        <f t="shared" si="40"/>
        <v>0</v>
      </c>
      <c r="R45" s="12"/>
      <c r="S45" s="12"/>
      <c r="T45" s="12"/>
      <c r="U45" s="7">
        <f t="shared" si="50"/>
        <v>0</v>
      </c>
      <c r="V45" s="7">
        <f>+SUM(R45:U45)</f>
        <v>0</v>
      </c>
      <c r="W45" s="357">
        <v>0</v>
      </c>
      <c r="X45" s="12"/>
      <c r="Y45" s="360"/>
      <c r="Z45" s="12"/>
      <c r="AA45" s="7">
        <f>+SUM(W45:Z45)</f>
        <v>0</v>
      </c>
      <c r="AB45" s="7">
        <f>+M45+Q45+V45+AA45</f>
        <v>0</v>
      </c>
      <c r="AC45" s="357">
        <f>+'[4]TÉC ENE-MAR-11'!$G$144</f>
        <v>0</v>
      </c>
      <c r="AD45" s="357">
        <f>+'[4]TÉC ABR-JUN-11'!$G$173</f>
        <v>0</v>
      </c>
      <c r="AE45" s="357">
        <f>+'[4]TEC JUL-SEP-11'!$G$164</f>
        <v>0</v>
      </c>
      <c r="AF45" s="357">
        <f>+'[4]TEC OCT-DIC'!$G$173</f>
        <v>0</v>
      </c>
      <c r="AG45" s="357">
        <f>SUM(AC45:AF45)</f>
        <v>0</v>
      </c>
      <c r="AH45" s="7">
        <f>+M45-AC45</f>
        <v>0</v>
      </c>
      <c r="AI45" s="12">
        <f>+Q45-AD45</f>
        <v>0</v>
      </c>
      <c r="AJ45" s="7">
        <f>+V45-AE45</f>
        <v>0</v>
      </c>
      <c r="AK45" s="12">
        <f>+AA45-AF45</f>
        <v>0</v>
      </c>
      <c r="AL45" s="7">
        <f>+AB45</f>
        <v>0</v>
      </c>
      <c r="AM45" s="7">
        <f>+I45-AL45</f>
        <v>0</v>
      </c>
      <c r="AN45" s="7">
        <f aca="true" t="shared" si="53" ref="AN45:AN52">+AL45-AG45</f>
        <v>0</v>
      </c>
      <c r="AO45" s="130">
        <v>0</v>
      </c>
      <c r="AP45" s="130">
        <v>0</v>
      </c>
      <c r="AQ45" s="130">
        <v>0</v>
      </c>
      <c r="AR45" s="130">
        <v>0</v>
      </c>
      <c r="AS45" s="135">
        <v>0</v>
      </c>
    </row>
    <row r="46" spans="1:45" ht="15" customHeight="1" hidden="1" outlineLevel="2">
      <c r="A46" s="431" t="s">
        <v>189</v>
      </c>
      <c r="B46" s="357">
        <v>24000000</v>
      </c>
      <c r="C46" s="372"/>
      <c r="D46" s="372"/>
      <c r="E46" s="372"/>
      <c r="F46" s="372"/>
      <c r="G46" s="372"/>
      <c r="H46" s="372">
        <f>-1880222-1000000-3500000</f>
        <v>-6380222</v>
      </c>
      <c r="I46" s="357">
        <f t="shared" si="48"/>
        <v>17619778</v>
      </c>
      <c r="J46" s="7">
        <v>6000000</v>
      </c>
      <c r="K46" s="37"/>
      <c r="L46" s="7">
        <v>-4497500</v>
      </c>
      <c r="M46" s="12">
        <f t="shared" si="49"/>
        <v>1502500</v>
      </c>
      <c r="N46" s="12">
        <v>6000000</v>
      </c>
      <c r="O46" s="29"/>
      <c r="P46" s="7">
        <f t="shared" si="52"/>
        <v>-3938750</v>
      </c>
      <c r="Q46" s="7">
        <f t="shared" si="40"/>
        <v>2061250</v>
      </c>
      <c r="R46" s="18">
        <v>6000000</v>
      </c>
      <c r="S46" s="18"/>
      <c r="T46" s="18"/>
      <c r="U46" s="7">
        <f t="shared" si="50"/>
        <v>-4324200</v>
      </c>
      <c r="V46" s="7">
        <f>+SUM(R46:U46)</f>
        <v>1675800</v>
      </c>
      <c r="W46" s="357">
        <f>5619778-2758222</f>
        <v>2861556</v>
      </c>
      <c r="X46" s="18"/>
      <c r="Y46" s="367"/>
      <c r="Z46" s="15"/>
      <c r="AA46" s="7">
        <f>+SUM(W46:Z46)</f>
        <v>2861556</v>
      </c>
      <c r="AB46" s="7">
        <f>+M46+Q46+V46+AA46</f>
        <v>8101106</v>
      </c>
      <c r="AC46" s="357">
        <f>+'[4]TÉC ENE-MAR-11'!$G$150</f>
        <v>1502500</v>
      </c>
      <c r="AD46" s="357">
        <f>+'[4]TÉC ABR-JUN-11'!$G$181</f>
        <v>2061250</v>
      </c>
      <c r="AE46" s="357">
        <f>+'[4]TEC JUL-SEP-11'!$G$168</f>
        <v>1675800</v>
      </c>
      <c r="AF46" s="357">
        <f>+'[4]TEC OCT-DIC'!$G$178</f>
        <v>2861450</v>
      </c>
      <c r="AG46" s="357">
        <f>SUM(AC46:AF46)</f>
        <v>8101000</v>
      </c>
      <c r="AH46" s="7">
        <f>+M46-AC46</f>
        <v>0</v>
      </c>
      <c r="AI46" s="12">
        <f>+Q46-AD46</f>
        <v>0</v>
      </c>
      <c r="AJ46" s="7">
        <f>+V46-AE46</f>
        <v>0</v>
      </c>
      <c r="AK46" s="360">
        <f>+AA46-AF46</f>
        <v>106</v>
      </c>
      <c r="AL46" s="7">
        <f>+AB46</f>
        <v>8101106</v>
      </c>
      <c r="AM46" s="7">
        <f>+I46-AL46</f>
        <v>9518672</v>
      </c>
      <c r="AN46" s="7">
        <f t="shared" si="53"/>
        <v>106</v>
      </c>
      <c r="AO46" s="130">
        <f t="shared" si="45"/>
        <v>0.4597674272627044</v>
      </c>
      <c r="AP46" s="130">
        <f t="shared" si="46"/>
        <v>1</v>
      </c>
      <c r="AQ46" s="130">
        <f t="shared" si="47"/>
        <v>1</v>
      </c>
      <c r="AR46" s="130">
        <f>+AE46/V46</f>
        <v>1</v>
      </c>
      <c r="AS46" s="135">
        <f t="shared" si="41"/>
        <v>0.9999629572162837</v>
      </c>
    </row>
    <row r="47" spans="1:45" s="43" customFormat="1" ht="15" customHeight="1" hidden="1" outlineLevel="2">
      <c r="A47" s="431" t="s">
        <v>190</v>
      </c>
      <c r="B47" s="357">
        <v>155674300</v>
      </c>
      <c r="C47" s="372"/>
      <c r="D47" s="372"/>
      <c r="E47" s="371"/>
      <c r="F47" s="371">
        <v>-137000000</v>
      </c>
      <c r="G47" s="371"/>
      <c r="H47" s="371">
        <f>1880222+3500000-1950000</f>
        <v>3430222</v>
      </c>
      <c r="I47" s="357">
        <f t="shared" si="48"/>
        <v>22104522</v>
      </c>
      <c r="J47" s="7">
        <v>49618040</v>
      </c>
      <c r="K47" s="39"/>
      <c r="L47" s="7">
        <v>-41252320</v>
      </c>
      <c r="M47" s="12">
        <f t="shared" si="49"/>
        <v>8365720</v>
      </c>
      <c r="N47" s="12">
        <v>12300000</v>
      </c>
      <c r="O47" s="29"/>
      <c r="P47" s="7">
        <f t="shared" si="52"/>
        <v>-2400000</v>
      </c>
      <c r="Q47" s="7">
        <f t="shared" si="40"/>
        <v>9900000</v>
      </c>
      <c r="R47" s="18">
        <v>1600000</v>
      </c>
      <c r="S47" s="18"/>
      <c r="T47" s="18"/>
      <c r="U47" s="7">
        <f t="shared" si="50"/>
        <v>-116880</v>
      </c>
      <c r="V47" s="7">
        <f>+SUM(R47:U47)</f>
        <v>1483120</v>
      </c>
      <c r="W47" s="357">
        <f>2405682-191778</f>
        <v>2213904</v>
      </c>
      <c r="X47" s="30"/>
      <c r="Y47" s="368"/>
      <c r="Z47" s="41"/>
      <c r="AA47" s="7">
        <f>+SUM(W47:Z47)</f>
        <v>2213904</v>
      </c>
      <c r="AB47" s="7">
        <f>+M47+Q47+V47+AA47</f>
        <v>21962744</v>
      </c>
      <c r="AC47" s="357">
        <f>+'[4]TÉC ENE-MAR-11'!$G$157</f>
        <v>8365720</v>
      </c>
      <c r="AD47" s="357">
        <f>+'[4]TÉC ABR-JUN-11'!$G$193</f>
        <v>9900000</v>
      </c>
      <c r="AE47" s="357">
        <f>+'[4]TEC JUL-SEP-11'!$G$179</f>
        <v>1483120</v>
      </c>
      <c r="AF47" s="357">
        <f>+'[4]TEC OCT-DIC'!$G$189</f>
        <v>2189062</v>
      </c>
      <c r="AG47" s="357">
        <f>SUM(AC47:AF47)</f>
        <v>21937902</v>
      </c>
      <c r="AH47" s="7">
        <f>+M47-AC47</f>
        <v>0</v>
      </c>
      <c r="AI47" s="40"/>
      <c r="AJ47" s="42"/>
      <c r="AK47" s="360">
        <f>+AA47-AF47</f>
        <v>24842</v>
      </c>
      <c r="AL47" s="7">
        <f>+AB47</f>
        <v>21962744</v>
      </c>
      <c r="AM47" s="357">
        <f>+I47-AL47</f>
        <v>141778</v>
      </c>
      <c r="AN47" s="7">
        <f t="shared" si="53"/>
        <v>24842</v>
      </c>
      <c r="AO47" s="130">
        <f t="shared" si="45"/>
        <v>0.9924621758389528</v>
      </c>
      <c r="AP47" s="130">
        <f t="shared" si="46"/>
        <v>1</v>
      </c>
      <c r="AQ47" s="130">
        <f t="shared" si="47"/>
        <v>1</v>
      </c>
      <c r="AR47" s="145"/>
      <c r="AS47" s="188"/>
    </row>
    <row r="48" spans="1:45" ht="15" customHeight="1" hidden="1" outlineLevel="1" collapsed="1">
      <c r="A48" s="430" t="s">
        <v>117</v>
      </c>
      <c r="B48" s="357">
        <f aca="true" t="shared" si="54" ref="B48:H48">SUM(B49:B52)</f>
        <v>177115116</v>
      </c>
      <c r="C48" s="360">
        <f t="shared" si="54"/>
        <v>0</v>
      </c>
      <c r="D48" s="360">
        <f t="shared" si="54"/>
        <v>0</v>
      </c>
      <c r="E48" s="360">
        <f t="shared" si="54"/>
        <v>0</v>
      </c>
      <c r="F48" s="360">
        <f t="shared" si="54"/>
        <v>-70000000</v>
      </c>
      <c r="G48" s="360"/>
      <c r="H48" s="360">
        <f t="shared" si="54"/>
        <v>2950000</v>
      </c>
      <c r="I48" s="357">
        <f t="shared" si="48"/>
        <v>110065116</v>
      </c>
      <c r="J48" s="12">
        <f>SUM(J49:J52)</f>
        <v>19100000</v>
      </c>
      <c r="K48" s="12"/>
      <c r="L48" s="7">
        <v>-9437129.8</v>
      </c>
      <c r="M48" s="12">
        <f t="shared" si="49"/>
        <v>9662870.2</v>
      </c>
      <c r="N48" s="12">
        <f aca="true" t="shared" si="55" ref="N48:AM48">SUM(N49:N52)</f>
        <v>29825645</v>
      </c>
      <c r="O48" s="12">
        <f t="shared" si="55"/>
        <v>0</v>
      </c>
      <c r="P48" s="12">
        <f t="shared" si="55"/>
        <v>-7746520</v>
      </c>
      <c r="Q48" s="7">
        <f t="shared" si="40"/>
        <v>22079125</v>
      </c>
      <c r="R48" s="12">
        <f t="shared" si="55"/>
        <v>40525645</v>
      </c>
      <c r="S48" s="12">
        <f t="shared" si="55"/>
        <v>0</v>
      </c>
      <c r="T48" s="12">
        <f>SUM(T49:T52)</f>
        <v>0</v>
      </c>
      <c r="U48" s="7">
        <f t="shared" si="50"/>
        <v>-25699513</v>
      </c>
      <c r="V48" s="12">
        <f t="shared" si="55"/>
        <v>14826132</v>
      </c>
      <c r="W48" s="360">
        <f>SUM(W49:W52)</f>
        <v>34603082</v>
      </c>
      <c r="X48" s="12">
        <f t="shared" si="55"/>
        <v>0</v>
      </c>
      <c r="Y48" s="360">
        <f t="shared" si="55"/>
        <v>3000000</v>
      </c>
      <c r="Z48" s="12">
        <f t="shared" si="55"/>
        <v>0</v>
      </c>
      <c r="AA48" s="12">
        <f t="shared" si="55"/>
        <v>37603082</v>
      </c>
      <c r="AB48" s="12">
        <f t="shared" si="55"/>
        <v>84171209.2</v>
      </c>
      <c r="AC48" s="357">
        <f t="shared" si="55"/>
        <v>9662870.2</v>
      </c>
      <c r="AD48" s="357">
        <f t="shared" si="55"/>
        <v>22079125</v>
      </c>
      <c r="AE48" s="357">
        <f t="shared" si="55"/>
        <v>14826132</v>
      </c>
      <c r="AF48" s="357">
        <f t="shared" si="55"/>
        <v>36232799</v>
      </c>
      <c r="AG48" s="357">
        <f>SUM(AG49:AG52)</f>
        <v>82800926.2</v>
      </c>
      <c r="AH48" s="12">
        <f t="shared" si="55"/>
        <v>0</v>
      </c>
      <c r="AI48" s="12">
        <f t="shared" si="55"/>
        <v>0</v>
      </c>
      <c r="AJ48" s="12">
        <f t="shared" si="55"/>
        <v>0</v>
      </c>
      <c r="AK48" s="12">
        <f>SUM(AK49:AK52)</f>
        <v>1370283</v>
      </c>
      <c r="AL48" s="12">
        <f t="shared" si="55"/>
        <v>84171209.2</v>
      </c>
      <c r="AM48" s="12">
        <f t="shared" si="55"/>
        <v>25893906.8</v>
      </c>
      <c r="AN48" s="7">
        <f t="shared" si="53"/>
        <v>1370283</v>
      </c>
      <c r="AO48" s="130">
        <f t="shared" si="45"/>
        <v>0.7522903641876869</v>
      </c>
      <c r="AP48" s="130">
        <f t="shared" si="46"/>
        <v>1</v>
      </c>
      <c r="AQ48" s="130">
        <f t="shared" si="47"/>
        <v>1</v>
      </c>
      <c r="AR48" s="130">
        <f>+AE48/V48</f>
        <v>1</v>
      </c>
      <c r="AS48" s="135">
        <f t="shared" si="41"/>
        <v>0.9635592901666943</v>
      </c>
    </row>
    <row r="49" spans="1:45" ht="15" customHeight="1" hidden="1" outlineLevel="2">
      <c r="A49" s="431" t="s">
        <v>141</v>
      </c>
      <c r="B49" s="357">
        <v>23000000</v>
      </c>
      <c r="C49" s="432"/>
      <c r="D49" s="432"/>
      <c r="E49" s="432"/>
      <c r="F49" s="432"/>
      <c r="G49" s="432"/>
      <c r="H49" s="370">
        <f>2000000</f>
        <v>2000000</v>
      </c>
      <c r="I49" s="357">
        <f t="shared" si="48"/>
        <v>25000000</v>
      </c>
      <c r="J49" s="7">
        <v>5000000</v>
      </c>
      <c r="K49" s="7"/>
      <c r="L49" s="7">
        <v>-3147511</v>
      </c>
      <c r="M49" s="12">
        <f>+J49+L49</f>
        <v>1852489</v>
      </c>
      <c r="N49" s="12">
        <v>8000000</v>
      </c>
      <c r="O49" s="45"/>
      <c r="P49" s="7">
        <f t="shared" si="52"/>
        <v>-482353</v>
      </c>
      <c r="Q49" s="7">
        <f t="shared" si="40"/>
        <v>7517647</v>
      </c>
      <c r="R49" s="12">
        <f>8000000</f>
        <v>8000000</v>
      </c>
      <c r="S49" s="12"/>
      <c r="T49" s="12"/>
      <c r="U49" s="7">
        <f t="shared" si="50"/>
        <v>-2023218</v>
      </c>
      <c r="V49" s="7">
        <f>+SUM(R49:U49)</f>
        <v>5976782</v>
      </c>
      <c r="W49" s="357">
        <f>7653082+2000000</f>
        <v>9653082</v>
      </c>
      <c r="X49" s="12"/>
      <c r="Y49" s="360"/>
      <c r="Z49" s="12"/>
      <c r="AA49" s="7">
        <f>+SUM(W49:Z49)</f>
        <v>9653082</v>
      </c>
      <c r="AB49" s="7">
        <f>+M49+Q49+V49+AA49</f>
        <v>25000000</v>
      </c>
      <c r="AC49" s="357">
        <f>+'[4]TÉC ENE-MAR-11'!$G$165</f>
        <v>1852489</v>
      </c>
      <c r="AD49" s="357">
        <f>+'[4]TÉC ABR-JUN-11'!$G$201</f>
        <v>7517647</v>
      </c>
      <c r="AE49" s="357">
        <f>+'[4]TEC JUL-SEP-11'!$G$185</f>
        <v>5976782</v>
      </c>
      <c r="AF49" s="357">
        <f>+'[4]TEC OCT-DIC'!$G$197</f>
        <v>8983206</v>
      </c>
      <c r="AG49" s="357">
        <f>SUM(AC49:AF49)</f>
        <v>24330124</v>
      </c>
      <c r="AH49" s="7">
        <f>+M49-AC49</f>
        <v>0</v>
      </c>
      <c r="AI49" s="12">
        <f>+Q49-AD49</f>
        <v>0</v>
      </c>
      <c r="AJ49" s="7">
        <f>+V49-AE49</f>
        <v>0</v>
      </c>
      <c r="AK49" s="12">
        <f>+AA49-AF49</f>
        <v>669876</v>
      </c>
      <c r="AL49" s="7">
        <f>+AB49</f>
        <v>25000000</v>
      </c>
      <c r="AM49" s="7">
        <f>+I49-AL49</f>
        <v>0</v>
      </c>
      <c r="AN49" s="7">
        <f t="shared" si="53"/>
        <v>669876</v>
      </c>
      <c r="AO49" s="130">
        <f t="shared" si="45"/>
        <v>0.97320496</v>
      </c>
      <c r="AP49" s="130">
        <f t="shared" si="46"/>
        <v>1</v>
      </c>
      <c r="AQ49" s="130">
        <f t="shared" si="47"/>
        <v>1</v>
      </c>
      <c r="AR49" s="130">
        <f>+AE49/V49</f>
        <v>1</v>
      </c>
      <c r="AS49" s="135">
        <f>+AF49/AA49</f>
        <v>0.9306049611927051</v>
      </c>
    </row>
    <row r="50" spans="1:45" ht="15" customHeight="1" hidden="1" outlineLevel="2">
      <c r="A50" s="431" t="s">
        <v>142</v>
      </c>
      <c r="B50" s="357">
        <v>126035116</v>
      </c>
      <c r="C50" s="432"/>
      <c r="D50" s="432"/>
      <c r="E50" s="432"/>
      <c r="F50" s="370">
        <v>-70000000</v>
      </c>
      <c r="G50" s="370"/>
      <c r="H50" s="370">
        <f>4000000+1775950+1000000-2000000+1950000</f>
        <v>6725950</v>
      </c>
      <c r="I50" s="357">
        <f t="shared" si="48"/>
        <v>62761066</v>
      </c>
      <c r="J50" s="7">
        <v>9700000</v>
      </c>
      <c r="K50" s="7"/>
      <c r="L50" s="7">
        <v>-5080050</v>
      </c>
      <c r="M50" s="12">
        <f t="shared" si="49"/>
        <v>4619950</v>
      </c>
      <c r="N50" s="12">
        <f>28725645-12300000</f>
        <v>16425645</v>
      </c>
      <c r="O50" s="45"/>
      <c r="P50" s="7">
        <f t="shared" si="52"/>
        <v>-4895395</v>
      </c>
      <c r="Q50" s="7">
        <f t="shared" si="40"/>
        <v>11530250</v>
      </c>
      <c r="R50" s="12">
        <f>28725645-1600000</f>
        <v>27125645</v>
      </c>
      <c r="S50" s="12"/>
      <c r="T50" s="12"/>
      <c r="U50" s="7">
        <f t="shared" si="50"/>
        <v>-20276295</v>
      </c>
      <c r="V50" s="7">
        <f aca="true" t="shared" si="56" ref="V50:V60">+SUM(R50:U50)</f>
        <v>6849350</v>
      </c>
      <c r="W50" s="357">
        <f>10000000+6725950</f>
        <v>16725950</v>
      </c>
      <c r="X50" s="12"/>
      <c r="Y50" s="360">
        <v>3000000</v>
      </c>
      <c r="Z50" s="12"/>
      <c r="AA50" s="7">
        <f>+SUM(W50:Z50)</f>
        <v>19725950</v>
      </c>
      <c r="AB50" s="7">
        <f>+M50+Q50+V50+AA50</f>
        <v>42725500</v>
      </c>
      <c r="AC50" s="357">
        <f>+'[4]TÉC ENE-MAR-11'!$G$177</f>
        <v>4619950</v>
      </c>
      <c r="AD50" s="357">
        <f>+'[4]TÉC ABR-JUN-11'!$G$228</f>
        <v>11530250</v>
      </c>
      <c r="AE50" s="357">
        <f>+'[4]TEC JUL-SEP-11'!$G$202</f>
        <v>6849350</v>
      </c>
      <c r="AF50" s="357">
        <f>+'[4]TEC OCT-DIC'!$G$223</f>
        <v>19081805</v>
      </c>
      <c r="AG50" s="357">
        <f>SUM(AC50:AF50)</f>
        <v>42081355</v>
      </c>
      <c r="AH50" s="7">
        <f>+M50-AC50</f>
        <v>0</v>
      </c>
      <c r="AI50" s="12">
        <f>+Q50-AD50</f>
        <v>0</v>
      </c>
      <c r="AJ50" s="7">
        <f>+V50-AE50</f>
        <v>0</v>
      </c>
      <c r="AK50" s="12">
        <f>+AA50-AF50</f>
        <v>644145</v>
      </c>
      <c r="AL50" s="7">
        <f>+AB50</f>
        <v>42725500</v>
      </c>
      <c r="AM50" s="7">
        <f>+I50-AL50</f>
        <v>20035566</v>
      </c>
      <c r="AN50" s="7">
        <f t="shared" si="53"/>
        <v>644145</v>
      </c>
      <c r="AO50" s="130">
        <f t="shared" si="45"/>
        <v>0.6705009599422674</v>
      </c>
      <c r="AP50" s="130">
        <f t="shared" si="46"/>
        <v>1</v>
      </c>
      <c r="AQ50" s="130">
        <f t="shared" si="47"/>
        <v>1</v>
      </c>
      <c r="AR50" s="130">
        <f>+AE50/V50</f>
        <v>1</v>
      </c>
      <c r="AS50" s="135">
        <f>+AF50/AA50</f>
        <v>0.9673452989589855</v>
      </c>
    </row>
    <row r="51" spans="1:45" ht="15" customHeight="1" hidden="1" outlineLevel="2">
      <c r="A51" s="431" t="s">
        <v>143</v>
      </c>
      <c r="B51" s="357">
        <v>22080000</v>
      </c>
      <c r="C51" s="432"/>
      <c r="D51" s="432"/>
      <c r="E51" s="432"/>
      <c r="F51" s="432"/>
      <c r="G51" s="432"/>
      <c r="H51" s="370">
        <v>-1775950</v>
      </c>
      <c r="I51" s="357">
        <f t="shared" si="48"/>
        <v>20304050</v>
      </c>
      <c r="J51" s="7">
        <v>3400000</v>
      </c>
      <c r="K51" s="7"/>
      <c r="L51" s="7">
        <v>-209568.8</v>
      </c>
      <c r="M51" s="12">
        <f t="shared" si="49"/>
        <v>3190431.2</v>
      </c>
      <c r="N51" s="12">
        <v>3400000</v>
      </c>
      <c r="O51" s="45"/>
      <c r="P51" s="7">
        <f t="shared" si="52"/>
        <v>-368772</v>
      </c>
      <c r="Q51" s="7">
        <f t="shared" si="40"/>
        <v>3031228</v>
      </c>
      <c r="R51" s="12">
        <v>3400000</v>
      </c>
      <c r="S51" s="12"/>
      <c r="T51" s="12"/>
      <c r="U51" s="7">
        <f t="shared" si="50"/>
        <v>-3400000</v>
      </c>
      <c r="V51" s="7">
        <f t="shared" si="56"/>
        <v>0</v>
      </c>
      <c r="W51" s="357">
        <f>10000000-1775950</f>
        <v>8224050</v>
      </c>
      <c r="X51" s="12"/>
      <c r="Y51" s="360"/>
      <c r="Z51" s="12"/>
      <c r="AA51" s="7">
        <f>+SUM(W51:Z51)</f>
        <v>8224050</v>
      </c>
      <c r="AB51" s="7">
        <f>+M51+Q51+V51+AA51</f>
        <v>14445709.2</v>
      </c>
      <c r="AC51" s="357">
        <f>+'[4]TÉC ENE-MAR-11'!$G$183</f>
        <v>3190431.2</v>
      </c>
      <c r="AD51" s="357">
        <f>+'[4]TÉC ABR-JUN-11'!$G$240</f>
        <v>3031228</v>
      </c>
      <c r="AE51" s="357">
        <f>+'[4]TEC JUL-SEP-11'!$G$212</f>
        <v>0</v>
      </c>
      <c r="AF51" s="357">
        <f>+'[4]TEC OCT-DIC'!$G$236</f>
        <v>8167788</v>
      </c>
      <c r="AG51" s="357">
        <f>SUM(AC51:AF51)</f>
        <v>14389447.2</v>
      </c>
      <c r="AH51" s="7">
        <f>+M51-AC51</f>
        <v>0</v>
      </c>
      <c r="AI51" s="12">
        <f>+Q51-AD51</f>
        <v>0</v>
      </c>
      <c r="AJ51" s="7">
        <f>+V51-AE51</f>
        <v>0</v>
      </c>
      <c r="AK51" s="12">
        <f>+AA51-AF51</f>
        <v>56262</v>
      </c>
      <c r="AL51" s="7">
        <f>+AB51</f>
        <v>14445709.2</v>
      </c>
      <c r="AM51" s="7">
        <f>+I51-AL51</f>
        <v>5858340.800000001</v>
      </c>
      <c r="AN51" s="7">
        <f t="shared" si="53"/>
        <v>56262</v>
      </c>
      <c r="AO51" s="130">
        <f t="shared" si="45"/>
        <v>0.7086983729847001</v>
      </c>
      <c r="AP51" s="130">
        <f t="shared" si="46"/>
        <v>1</v>
      </c>
      <c r="AQ51" s="130">
        <f t="shared" si="47"/>
        <v>1</v>
      </c>
      <c r="AR51" s="130">
        <v>0</v>
      </c>
      <c r="AS51" s="135">
        <f>+AF51/AA51</f>
        <v>0.9931588450945702</v>
      </c>
    </row>
    <row r="52" spans="1:45" ht="15" customHeight="1" hidden="1" outlineLevel="2">
      <c r="A52" s="431" t="s">
        <v>144</v>
      </c>
      <c r="B52" s="357">
        <v>6000000</v>
      </c>
      <c r="C52" s="432"/>
      <c r="D52" s="432"/>
      <c r="E52" s="432"/>
      <c r="F52" s="432"/>
      <c r="G52" s="432"/>
      <c r="H52" s="370">
        <v>-4000000</v>
      </c>
      <c r="I52" s="357">
        <f t="shared" si="48"/>
        <v>2000000</v>
      </c>
      <c r="J52" s="7">
        <v>1000000</v>
      </c>
      <c r="K52" s="7"/>
      <c r="L52" s="7">
        <v>-1000000</v>
      </c>
      <c r="M52" s="12">
        <f t="shared" si="49"/>
        <v>0</v>
      </c>
      <c r="N52" s="12">
        <v>2000000</v>
      </c>
      <c r="O52" s="45"/>
      <c r="P52" s="7">
        <f t="shared" si="52"/>
        <v>-2000000</v>
      </c>
      <c r="Q52" s="7">
        <f t="shared" si="40"/>
        <v>0</v>
      </c>
      <c r="R52" s="12">
        <v>2000000</v>
      </c>
      <c r="S52" s="12"/>
      <c r="T52" s="12"/>
      <c r="U52" s="7">
        <f t="shared" si="50"/>
        <v>0</v>
      </c>
      <c r="V52" s="7">
        <f t="shared" si="56"/>
        <v>2000000</v>
      </c>
      <c r="W52" s="357">
        <f>4000000-4000000</f>
        <v>0</v>
      </c>
      <c r="X52" s="12"/>
      <c r="Y52" s="360"/>
      <c r="Z52" s="12"/>
      <c r="AA52" s="7">
        <f>+SUM(W52:Z52)</f>
        <v>0</v>
      </c>
      <c r="AB52" s="7">
        <f>+M52+Q52+V52+AA52</f>
        <v>2000000</v>
      </c>
      <c r="AC52" s="357">
        <f>+'[4]TÉC ENE-MAR-11'!$G$191</f>
        <v>0</v>
      </c>
      <c r="AD52" s="357">
        <f>+'[4]TÉC ABR-JUN-11'!$G$246</f>
        <v>0</v>
      </c>
      <c r="AE52" s="357">
        <f>+'[4]TEC JUL-SEP-11'!$G$216</f>
        <v>2000000</v>
      </c>
      <c r="AF52" s="357">
        <f>+'[4]TEC OCT-DIC'!$G$245</f>
        <v>0</v>
      </c>
      <c r="AG52" s="357">
        <f>SUM(AC52:AF52)</f>
        <v>2000000</v>
      </c>
      <c r="AH52" s="7">
        <f>+M52-AC52</f>
        <v>0</v>
      </c>
      <c r="AI52" s="12">
        <f>+Q52-AD52</f>
        <v>0</v>
      </c>
      <c r="AJ52" s="7">
        <f>+V52-AE52</f>
        <v>0</v>
      </c>
      <c r="AK52" s="12">
        <f>+AA52-AF52</f>
        <v>0</v>
      </c>
      <c r="AL52" s="7">
        <f>+AB52</f>
        <v>2000000</v>
      </c>
      <c r="AM52" s="7">
        <f>+I52-AL52</f>
        <v>0</v>
      </c>
      <c r="AN52" s="7">
        <f t="shared" si="53"/>
        <v>0</v>
      </c>
      <c r="AO52" s="130">
        <f t="shared" si="45"/>
        <v>1</v>
      </c>
      <c r="AP52" s="130">
        <v>0</v>
      </c>
      <c r="AQ52" s="130">
        <v>0</v>
      </c>
      <c r="AR52" s="130">
        <v>0</v>
      </c>
      <c r="AS52" s="135">
        <v>0</v>
      </c>
    </row>
    <row r="53" spans="1:47" s="2" customFormat="1" ht="15" customHeight="1" collapsed="1">
      <c r="A53" s="433" t="s">
        <v>102</v>
      </c>
      <c r="B53" s="358">
        <f aca="true" t="shared" si="57" ref="B53:AN53">+SUM(B54:B56)</f>
        <v>108380000</v>
      </c>
      <c r="C53" s="373">
        <f t="shared" si="57"/>
        <v>0</v>
      </c>
      <c r="D53" s="373">
        <f t="shared" si="57"/>
        <v>0</v>
      </c>
      <c r="E53" s="373">
        <f t="shared" si="57"/>
        <v>0</v>
      </c>
      <c r="F53" s="373">
        <f t="shared" si="57"/>
        <v>50000000</v>
      </c>
      <c r="G53" s="373"/>
      <c r="H53" s="373">
        <f t="shared" si="57"/>
        <v>0</v>
      </c>
      <c r="I53" s="358">
        <f t="shared" si="57"/>
        <v>158380000</v>
      </c>
      <c r="J53" s="19">
        <f t="shared" si="57"/>
        <v>5000000</v>
      </c>
      <c r="K53" s="19"/>
      <c r="L53" s="36">
        <f t="shared" si="57"/>
        <v>-486637</v>
      </c>
      <c r="M53" s="20">
        <f t="shared" si="57"/>
        <v>4513363</v>
      </c>
      <c r="N53" s="20">
        <f t="shared" si="57"/>
        <v>23400000</v>
      </c>
      <c r="O53" s="36">
        <f t="shared" si="57"/>
        <v>0</v>
      </c>
      <c r="P53" s="36">
        <f t="shared" si="57"/>
        <v>-23742</v>
      </c>
      <c r="Q53" s="36">
        <f t="shared" si="40"/>
        <v>23376258</v>
      </c>
      <c r="R53" s="20">
        <f t="shared" si="57"/>
        <v>35450000</v>
      </c>
      <c r="S53" s="20">
        <f t="shared" si="57"/>
        <v>0</v>
      </c>
      <c r="T53" s="20">
        <f>+SUM(T54:T56)</f>
        <v>0</v>
      </c>
      <c r="U53" s="20">
        <f t="shared" si="57"/>
        <v>-9538573</v>
      </c>
      <c r="V53" s="20">
        <f t="shared" si="57"/>
        <v>25911427</v>
      </c>
      <c r="W53" s="361">
        <f>+SUM(W54:W56)</f>
        <v>104578952</v>
      </c>
      <c r="X53" s="20">
        <f t="shared" si="57"/>
        <v>0</v>
      </c>
      <c r="Y53" s="361">
        <f t="shared" si="57"/>
        <v>0</v>
      </c>
      <c r="Z53" s="20">
        <f t="shared" si="57"/>
        <v>0</v>
      </c>
      <c r="AA53" s="20">
        <f t="shared" si="57"/>
        <v>104578952</v>
      </c>
      <c r="AB53" s="20">
        <f t="shared" si="57"/>
        <v>158380000</v>
      </c>
      <c r="AC53" s="358">
        <f t="shared" si="57"/>
        <v>4513363</v>
      </c>
      <c r="AD53" s="358">
        <f t="shared" si="57"/>
        <v>23376258</v>
      </c>
      <c r="AE53" s="358">
        <f t="shared" si="57"/>
        <v>25911427</v>
      </c>
      <c r="AF53" s="358">
        <f t="shared" si="57"/>
        <v>104415863</v>
      </c>
      <c r="AG53" s="358">
        <f t="shared" si="57"/>
        <v>158216911</v>
      </c>
      <c r="AH53" s="20">
        <f t="shared" si="57"/>
        <v>0</v>
      </c>
      <c r="AI53" s="20">
        <f t="shared" si="57"/>
        <v>0</v>
      </c>
      <c r="AJ53" s="20">
        <f t="shared" si="57"/>
        <v>0</v>
      </c>
      <c r="AK53" s="20">
        <f>+SUM(AK54:AK56)</f>
        <v>163089</v>
      </c>
      <c r="AL53" s="20">
        <f t="shared" si="57"/>
        <v>158380000</v>
      </c>
      <c r="AM53" s="20">
        <f t="shared" si="57"/>
        <v>0</v>
      </c>
      <c r="AN53" s="20">
        <f t="shared" si="57"/>
        <v>163089</v>
      </c>
      <c r="AO53" s="133">
        <f t="shared" si="45"/>
        <v>0.9989702677105695</v>
      </c>
      <c r="AP53" s="133">
        <f>+AC53/M53</f>
        <v>1</v>
      </c>
      <c r="AQ53" s="130">
        <f aca="true" t="shared" si="58" ref="AQ53:AQ59">+AD53/Q53</f>
        <v>1</v>
      </c>
      <c r="AR53" s="133">
        <f aca="true" t="shared" si="59" ref="AR53:AR60">+AE53/V53</f>
        <v>1</v>
      </c>
      <c r="AS53" s="136">
        <f>+AF53/AA53</f>
        <v>0.998440517935196</v>
      </c>
      <c r="AU53" s="3"/>
    </row>
    <row r="54" spans="1:45" ht="15" customHeight="1" hidden="1" outlineLevel="1">
      <c r="A54" s="430" t="s">
        <v>185</v>
      </c>
      <c r="B54" s="357">
        <v>42900000</v>
      </c>
      <c r="C54" s="432"/>
      <c r="D54" s="432"/>
      <c r="E54" s="432"/>
      <c r="F54" s="432"/>
      <c r="G54" s="432"/>
      <c r="H54" s="370">
        <v>5325685</v>
      </c>
      <c r="I54" s="357">
        <f>SUM(B54:H54)</f>
        <v>48225685</v>
      </c>
      <c r="J54" s="7">
        <v>0</v>
      </c>
      <c r="K54" s="7"/>
      <c r="L54" s="7">
        <v>0</v>
      </c>
      <c r="M54" s="7">
        <f>+'[1]Anexo 2 '!$C$129</f>
        <v>0</v>
      </c>
      <c r="N54" s="12"/>
      <c r="O54" s="45"/>
      <c r="P54" s="7">
        <f t="shared" si="52"/>
        <v>0</v>
      </c>
      <c r="Q54" s="7">
        <f t="shared" si="40"/>
        <v>0</v>
      </c>
      <c r="R54" s="12">
        <f>7000000+1300000</f>
        <v>8300000</v>
      </c>
      <c r="S54" s="12"/>
      <c r="T54" s="12"/>
      <c r="U54" s="7">
        <f>-R54-S54-T54+AE54</f>
        <v>-2104325</v>
      </c>
      <c r="V54" s="7">
        <f t="shared" si="56"/>
        <v>6195675</v>
      </c>
      <c r="W54" s="362">
        <v>42030010</v>
      </c>
      <c r="X54" s="12"/>
      <c r="Y54" s="360"/>
      <c r="Z54" s="12"/>
      <c r="AA54" s="22">
        <f>+SUM(W54:Z54)</f>
        <v>42030010</v>
      </c>
      <c r="AB54" s="7">
        <f>+M54+Q54+V54+AA54</f>
        <v>48225685</v>
      </c>
      <c r="AC54" s="357">
        <f>+'[4]TÉC ENE-MAR-11'!$G$200</f>
        <v>0</v>
      </c>
      <c r="AD54" s="357">
        <f>+'[4]TÉC ABR-JUN-11'!$G$255</f>
        <v>0</v>
      </c>
      <c r="AE54" s="357">
        <f>+'[4]TEC JUL-SEP-11'!$G$224</f>
        <v>6195675</v>
      </c>
      <c r="AF54" s="357">
        <f>+'[4]TEC OCT-DIC'!$G$254</f>
        <v>42030010</v>
      </c>
      <c r="AG54" s="357">
        <f>SUM(AC54:AF54)</f>
        <v>48225685</v>
      </c>
      <c r="AH54" s="7">
        <f>+M54-AC54</f>
        <v>0</v>
      </c>
      <c r="AI54" s="12">
        <f>+Q54-AD54</f>
        <v>0</v>
      </c>
      <c r="AJ54" s="7">
        <f>+V54-AE54</f>
        <v>0</v>
      </c>
      <c r="AK54" s="12">
        <f>+AA54-AF54</f>
        <v>0</v>
      </c>
      <c r="AL54" s="7">
        <f>+AB54</f>
        <v>48225685</v>
      </c>
      <c r="AM54" s="7">
        <f>+I54-AL54</f>
        <v>0</v>
      </c>
      <c r="AN54" s="7">
        <f>+AL54-AG54</f>
        <v>0</v>
      </c>
      <c r="AO54" s="130">
        <f t="shared" si="45"/>
        <v>1</v>
      </c>
      <c r="AP54" s="130">
        <v>0</v>
      </c>
      <c r="AQ54" s="130">
        <v>0</v>
      </c>
      <c r="AR54" s="130">
        <f t="shared" si="59"/>
        <v>1</v>
      </c>
      <c r="AS54" s="135">
        <f aca="true" t="shared" si="60" ref="AS54:AS60">+AF54/AA54</f>
        <v>1</v>
      </c>
    </row>
    <row r="55" spans="1:45" ht="15" customHeight="1" hidden="1" outlineLevel="1">
      <c r="A55" s="430" t="s">
        <v>186</v>
      </c>
      <c r="B55" s="360">
        <v>42300000</v>
      </c>
      <c r="C55" s="432"/>
      <c r="D55" s="432"/>
      <c r="E55" s="432"/>
      <c r="F55" s="432"/>
      <c r="G55" s="432"/>
      <c r="H55" s="370">
        <f>-5325685-1237407-1416469</f>
        <v>-7979561</v>
      </c>
      <c r="I55" s="357">
        <f>SUM(B55:H55)</f>
        <v>34320439</v>
      </c>
      <c r="J55" s="7">
        <v>0</v>
      </c>
      <c r="K55" s="7"/>
      <c r="L55" s="7">
        <v>0</v>
      </c>
      <c r="M55" s="7">
        <f>+J55+L55</f>
        <v>0</v>
      </c>
      <c r="N55" s="7">
        <v>11400000</v>
      </c>
      <c r="O55" s="45"/>
      <c r="P55" s="7">
        <f t="shared" si="52"/>
        <v>-23542</v>
      </c>
      <c r="Q55" s="7">
        <f t="shared" si="40"/>
        <v>11376458</v>
      </c>
      <c r="R55" s="23">
        <f>18050000+3733163-1300000-2195531</f>
        <v>18287632</v>
      </c>
      <c r="S55" s="23"/>
      <c r="T55" s="23"/>
      <c r="U55" s="7">
        <f>-R55-S55-T55+AE55</f>
        <v>-4341648</v>
      </c>
      <c r="V55" s="7">
        <f t="shared" si="56"/>
        <v>13945984</v>
      </c>
      <c r="W55" s="362">
        <f>11651873-2653876</f>
        <v>8997997</v>
      </c>
      <c r="X55" s="23"/>
      <c r="Y55" s="369"/>
      <c r="Z55" s="12"/>
      <c r="AA55" s="22">
        <f>+SUM(W55:Z55)</f>
        <v>8997997</v>
      </c>
      <c r="AB55" s="7">
        <f>+M55+Q55+V55+AA55</f>
        <v>34320439</v>
      </c>
      <c r="AC55" s="357">
        <f>+'[4]TÉC ENE-MAR-11'!$G$206</f>
        <v>0</v>
      </c>
      <c r="AD55" s="357">
        <f>+'[4]TÉC ABR-JUN-11'!$G$263</f>
        <v>11376458</v>
      </c>
      <c r="AE55" s="357">
        <f>+'[4]TEC JUL-SEP-11'!$G$230</f>
        <v>13945984</v>
      </c>
      <c r="AF55" s="357">
        <f>+'[4]TEC OCT-DIC'!$G$292</f>
        <v>8997997</v>
      </c>
      <c r="AG55" s="357">
        <f>SUM(AC55:AF55)</f>
        <v>34320439</v>
      </c>
      <c r="AH55" s="7">
        <f>+M55-AC55</f>
        <v>0</v>
      </c>
      <c r="AI55" s="12">
        <f>+Q55-AD55</f>
        <v>0</v>
      </c>
      <c r="AJ55" s="7">
        <f>+V55-AE55</f>
        <v>0</v>
      </c>
      <c r="AK55" s="360">
        <f>+AA55-AF55</f>
        <v>0</v>
      </c>
      <c r="AL55" s="7">
        <f>+AB55</f>
        <v>34320439</v>
      </c>
      <c r="AM55" s="7">
        <f>+I55-AL55</f>
        <v>0</v>
      </c>
      <c r="AN55" s="7">
        <f>+AL55-AG55</f>
        <v>0</v>
      </c>
      <c r="AO55" s="130">
        <f t="shared" si="45"/>
        <v>1</v>
      </c>
      <c r="AP55" s="130">
        <v>0</v>
      </c>
      <c r="AQ55" s="130">
        <f t="shared" si="58"/>
        <v>1</v>
      </c>
      <c r="AR55" s="130">
        <f t="shared" si="59"/>
        <v>1</v>
      </c>
      <c r="AS55" s="135">
        <f t="shared" si="60"/>
        <v>1</v>
      </c>
    </row>
    <row r="56" spans="1:45" ht="15" customHeight="1" hidden="1" outlineLevel="1">
      <c r="A56" s="430" t="s">
        <v>266</v>
      </c>
      <c r="B56" s="360">
        <v>23180000</v>
      </c>
      <c r="C56" s="432"/>
      <c r="D56" s="432"/>
      <c r="E56" s="432"/>
      <c r="F56" s="370">
        <v>50000000</v>
      </c>
      <c r="G56" s="370"/>
      <c r="H56" s="370">
        <f>1237407+1416469</f>
        <v>2653876</v>
      </c>
      <c r="I56" s="357">
        <f>SUM(B56:H56)</f>
        <v>75833876</v>
      </c>
      <c r="J56" s="7">
        <v>5000000</v>
      </c>
      <c r="K56" s="7"/>
      <c r="L56" s="7">
        <v>-486637</v>
      </c>
      <c r="M56" s="7">
        <f>+J56+L56</f>
        <v>4513363</v>
      </c>
      <c r="N56" s="7">
        <v>12000000</v>
      </c>
      <c r="O56" s="45"/>
      <c r="P56" s="7">
        <f t="shared" si="52"/>
        <v>-200</v>
      </c>
      <c r="Q56" s="7">
        <f t="shared" si="40"/>
        <v>11999800</v>
      </c>
      <c r="R56" s="23">
        <f>10400000-3733163+2195531</f>
        <v>8862368</v>
      </c>
      <c r="S56" s="23"/>
      <c r="T56" s="23"/>
      <c r="U56" s="7">
        <f>-R56-S56-T56+AE56</f>
        <v>-3092600</v>
      </c>
      <c r="V56" s="7">
        <f>+SUM(R56:U56)</f>
        <v>5769768</v>
      </c>
      <c r="W56" s="362">
        <f>50897069+2653876</f>
        <v>53550945</v>
      </c>
      <c r="X56" s="23"/>
      <c r="Y56" s="369"/>
      <c r="Z56" s="12"/>
      <c r="AA56" s="22">
        <f>+SUM(W56:Z56)</f>
        <v>53550945</v>
      </c>
      <c r="AB56" s="7">
        <f>+M56+Q56+V56+AA56</f>
        <v>75833876</v>
      </c>
      <c r="AC56" s="360">
        <f>+'[4]TÉC ENE-MAR-11'!$G$212</f>
        <v>4513363</v>
      </c>
      <c r="AD56" s="360">
        <f>+'[4]TÉC ABR-JUN-11'!$G$288</f>
        <v>11999800</v>
      </c>
      <c r="AE56" s="360">
        <f>+'[4]TEC JUL-SEP-11'!$G$248</f>
        <v>5769768</v>
      </c>
      <c r="AF56" s="360">
        <f>+'[4]TEC OCT-DIC'!$G$307</f>
        <v>53387856</v>
      </c>
      <c r="AG56" s="360">
        <f>SUM(AC56:AF56)</f>
        <v>75670787</v>
      </c>
      <c r="AH56" s="7">
        <f>+M56-AC56</f>
        <v>0</v>
      </c>
      <c r="AI56" s="12">
        <f>+Q56-AD56</f>
        <v>0</v>
      </c>
      <c r="AJ56" s="7">
        <f>+V56-AE56</f>
        <v>0</v>
      </c>
      <c r="AK56" s="12">
        <f>+AA56-AF56</f>
        <v>163089</v>
      </c>
      <c r="AL56" s="7">
        <f>+AB56</f>
        <v>75833876</v>
      </c>
      <c r="AM56" s="7">
        <f>+I56-AL56</f>
        <v>0</v>
      </c>
      <c r="AN56" s="7">
        <f>+AL56-AG56</f>
        <v>163089</v>
      </c>
      <c r="AO56" s="130">
        <f>+AG56/I56</f>
        <v>0.9978493912140268</v>
      </c>
      <c r="AP56" s="130">
        <f>+AC56/M56</f>
        <v>1</v>
      </c>
      <c r="AQ56" s="130">
        <f t="shared" si="58"/>
        <v>1</v>
      </c>
      <c r="AR56" s="130">
        <f t="shared" si="59"/>
        <v>1</v>
      </c>
      <c r="AS56" s="135">
        <f t="shared" si="60"/>
        <v>0.9969545075254974</v>
      </c>
    </row>
    <row r="57" spans="1:47" s="2" customFormat="1" ht="15" customHeight="1" collapsed="1" thickBot="1">
      <c r="A57" s="433" t="s">
        <v>103</v>
      </c>
      <c r="B57" s="358">
        <f aca="true" t="shared" si="61" ref="B57:I57">SUM(B58:B59)</f>
        <v>335820000</v>
      </c>
      <c r="C57" s="358">
        <f t="shared" si="61"/>
        <v>0</v>
      </c>
      <c r="D57" s="358">
        <f t="shared" si="61"/>
        <v>0</v>
      </c>
      <c r="E57" s="358">
        <f t="shared" si="61"/>
        <v>0</v>
      </c>
      <c r="F57" s="358">
        <f t="shared" si="61"/>
        <v>0</v>
      </c>
      <c r="G57" s="358"/>
      <c r="H57" s="358">
        <f t="shared" si="61"/>
        <v>0</v>
      </c>
      <c r="I57" s="358">
        <f t="shared" si="61"/>
        <v>335820000</v>
      </c>
      <c r="J57" s="19">
        <f>SUM(J58:J60)</f>
        <v>74380000</v>
      </c>
      <c r="K57" s="19"/>
      <c r="L57" s="36">
        <f>SUM(L58:L60)</f>
        <v>-18099094</v>
      </c>
      <c r="M57" s="20">
        <f>SUM(M58:M60)</f>
        <v>56280906</v>
      </c>
      <c r="N57" s="20">
        <f>SUM(N58:N60)</f>
        <v>83980000</v>
      </c>
      <c r="O57" s="19">
        <f>SUM(O58:O59)</f>
        <v>0</v>
      </c>
      <c r="P57" s="19">
        <f>SUM(P58:P59)</f>
        <v>-233426</v>
      </c>
      <c r="Q57" s="36">
        <f t="shared" si="40"/>
        <v>83746574</v>
      </c>
      <c r="R57" s="20">
        <f>SUM(R58:R59)</f>
        <v>107680000</v>
      </c>
      <c r="S57" s="20">
        <f>SUM(S58:S59)</f>
        <v>0</v>
      </c>
      <c r="T57" s="20">
        <f>SUM(T58:T59)</f>
        <v>0</v>
      </c>
      <c r="U57" s="20">
        <f>SUM(U58:U59)</f>
        <v>-21590468</v>
      </c>
      <c r="V57" s="20">
        <f aca="true" t="shared" si="62" ref="V57:AN57">SUM(V58:V59)</f>
        <v>86089532</v>
      </c>
      <c r="W57" s="361">
        <f>SUM(W58:W59)</f>
        <v>109702988</v>
      </c>
      <c r="X57" s="20">
        <f>SUM(X58:X59)</f>
        <v>0</v>
      </c>
      <c r="Y57" s="361">
        <f>SUM(Y58:Y59)</f>
        <v>0</v>
      </c>
      <c r="Z57" s="20">
        <f t="shared" si="62"/>
        <v>0</v>
      </c>
      <c r="AA57" s="20">
        <f t="shared" si="62"/>
        <v>109702988</v>
      </c>
      <c r="AB57" s="20">
        <f t="shared" si="62"/>
        <v>335820000</v>
      </c>
      <c r="AC57" s="358">
        <f t="shared" si="62"/>
        <v>56280906</v>
      </c>
      <c r="AD57" s="358">
        <f t="shared" si="62"/>
        <v>83746574</v>
      </c>
      <c r="AE57" s="358">
        <f t="shared" si="62"/>
        <v>86089532</v>
      </c>
      <c r="AF57" s="358">
        <f t="shared" si="62"/>
        <v>108591894</v>
      </c>
      <c r="AG57" s="358">
        <f>SUM(AG58:AG59)</f>
        <v>334708906</v>
      </c>
      <c r="AH57" s="20">
        <f t="shared" si="62"/>
        <v>0</v>
      </c>
      <c r="AI57" s="20">
        <f t="shared" si="62"/>
        <v>0</v>
      </c>
      <c r="AJ57" s="20">
        <f t="shared" si="62"/>
        <v>0</v>
      </c>
      <c r="AK57" s="20">
        <f>SUM(AK58:AK59)</f>
        <v>1111094</v>
      </c>
      <c r="AL57" s="20">
        <f t="shared" si="62"/>
        <v>335820000</v>
      </c>
      <c r="AM57" s="20">
        <f t="shared" si="62"/>
        <v>0</v>
      </c>
      <c r="AN57" s="20">
        <f t="shared" si="62"/>
        <v>1111094</v>
      </c>
      <c r="AO57" s="133">
        <f>+AG57/I57</f>
        <v>0.9966914001548448</v>
      </c>
      <c r="AP57" s="133">
        <f>+AC57/M57</f>
        <v>1</v>
      </c>
      <c r="AQ57" s="133">
        <f t="shared" si="58"/>
        <v>1</v>
      </c>
      <c r="AR57" s="133">
        <f t="shared" si="59"/>
        <v>1</v>
      </c>
      <c r="AS57" s="136">
        <f t="shared" si="60"/>
        <v>0.9898717982048036</v>
      </c>
      <c r="AU57" s="3"/>
    </row>
    <row r="58" spans="1:47" s="2" customFormat="1" ht="15" customHeight="1" hidden="1" outlineLevel="1">
      <c r="A58" s="201" t="s">
        <v>147</v>
      </c>
      <c r="B58" s="12">
        <v>161320000</v>
      </c>
      <c r="C58" s="45"/>
      <c r="D58" s="45"/>
      <c r="E58" s="45"/>
      <c r="F58" s="45"/>
      <c r="G58" s="45"/>
      <c r="H58" s="8">
        <f>-18402664+3200000</f>
        <v>-15202664</v>
      </c>
      <c r="I58" s="7">
        <f>SUM(B58:H58)</f>
        <v>146117336</v>
      </c>
      <c r="J58" s="7">
        <v>30497142</v>
      </c>
      <c r="K58" s="7"/>
      <c r="L58" s="7">
        <v>-7354664</v>
      </c>
      <c r="M58" s="7">
        <f>+J58+L58</f>
        <v>23142478</v>
      </c>
      <c r="N58" s="7">
        <f>43980000+556611</f>
        <v>44536611</v>
      </c>
      <c r="O58" s="45"/>
      <c r="P58" s="7">
        <f t="shared" si="52"/>
        <v>-233425</v>
      </c>
      <c r="Q58" s="7">
        <f t="shared" si="40"/>
        <v>44303186</v>
      </c>
      <c r="R58" s="22">
        <v>43980000</v>
      </c>
      <c r="S58" s="22"/>
      <c r="T58" s="22"/>
      <c r="U58" s="7">
        <f>-R58-S58-T58+AE58</f>
        <v>-4778664</v>
      </c>
      <c r="V58" s="7">
        <f t="shared" si="56"/>
        <v>39201336</v>
      </c>
      <c r="W58" s="22">
        <f>54673000-15202664</f>
        <v>39470336</v>
      </c>
      <c r="X58" s="22"/>
      <c r="Y58" s="362"/>
      <c r="Z58" s="22"/>
      <c r="AA58" s="22">
        <f>+SUM(W58:Z58)</f>
        <v>39470336</v>
      </c>
      <c r="AB58" s="7">
        <f>+M58+Q58+V58+AA58</f>
        <v>146117336</v>
      </c>
      <c r="AC58" s="360">
        <f>+'[4]TÉC ENE-MAR-11'!$G$233</f>
        <v>23142478</v>
      </c>
      <c r="AD58" s="360">
        <f>+'[4]TÉC ABR-JUN-11'!$G$306</f>
        <v>44303186</v>
      </c>
      <c r="AE58" s="360">
        <f>+'[4]TEC JUL-SEP-11'!$G$272</f>
        <v>39201336</v>
      </c>
      <c r="AF58" s="360">
        <f>+'[4]TEC OCT-DIC'!$G$329</f>
        <v>39469486</v>
      </c>
      <c r="AG58" s="360">
        <f>SUM(AC58:AF58)</f>
        <v>146116486</v>
      </c>
      <c r="AH58" s="7">
        <f>+M58-AC58</f>
        <v>0</v>
      </c>
      <c r="AI58" s="12">
        <f>+Q58-AD58</f>
        <v>0</v>
      </c>
      <c r="AJ58" s="7">
        <f>+V58-AE58</f>
        <v>0</v>
      </c>
      <c r="AK58" s="12">
        <f>+AA58-AF58</f>
        <v>850</v>
      </c>
      <c r="AL58" s="7">
        <f>+AB58</f>
        <v>146117336</v>
      </c>
      <c r="AM58" s="7">
        <f>+I58-AL58</f>
        <v>0</v>
      </c>
      <c r="AN58" s="7">
        <f>+AL58-AG58</f>
        <v>850</v>
      </c>
      <c r="AO58" s="130">
        <f>+AG58/I58</f>
        <v>0.9999941827573423</v>
      </c>
      <c r="AP58" s="130">
        <f>+AC58/M58</f>
        <v>1</v>
      </c>
      <c r="AQ58" s="130">
        <f t="shared" si="58"/>
        <v>1</v>
      </c>
      <c r="AR58" s="130">
        <f t="shared" si="59"/>
        <v>1</v>
      </c>
      <c r="AS58" s="135">
        <f t="shared" si="60"/>
        <v>0.9999784648400257</v>
      </c>
      <c r="AU58" s="3"/>
    </row>
    <row r="59" spans="1:45" ht="15" customHeight="1" hidden="1" outlineLevel="1" thickBot="1">
      <c r="A59" s="201" t="s">
        <v>118</v>
      </c>
      <c r="B59" s="12">
        <v>174500000</v>
      </c>
      <c r="C59" s="45"/>
      <c r="D59" s="45"/>
      <c r="E59" s="45"/>
      <c r="F59" s="45"/>
      <c r="G59" s="45"/>
      <c r="H59" s="8">
        <f>18402664-3200000</f>
        <v>15202664</v>
      </c>
      <c r="I59" s="7">
        <f>SUM(B59:H59)</f>
        <v>189702664</v>
      </c>
      <c r="J59" s="7">
        <v>43882858</v>
      </c>
      <c r="K59" s="7"/>
      <c r="L59" s="7">
        <v>-10744430</v>
      </c>
      <c r="M59" s="7">
        <f>+J59+L59</f>
        <v>33138428</v>
      </c>
      <c r="N59" s="7">
        <f>40000000-556611</f>
        <v>39443389</v>
      </c>
      <c r="O59" s="45"/>
      <c r="P59" s="7">
        <f t="shared" si="52"/>
        <v>-1</v>
      </c>
      <c r="Q59" s="7">
        <f t="shared" si="40"/>
        <v>39443388</v>
      </c>
      <c r="R59" s="12">
        <v>63700000</v>
      </c>
      <c r="S59" s="12"/>
      <c r="T59" s="12"/>
      <c r="U59" s="7">
        <f>-R59-S59-T59+AE59</f>
        <v>-16811804</v>
      </c>
      <c r="V59" s="7">
        <f t="shared" si="56"/>
        <v>46888196</v>
      </c>
      <c r="W59" s="22">
        <f>55029988+15202664</f>
        <v>70232652</v>
      </c>
      <c r="X59" s="8"/>
      <c r="Y59" s="370"/>
      <c r="Z59" s="12"/>
      <c r="AA59" s="22">
        <f>+SUM(W59:Z59)</f>
        <v>70232652</v>
      </c>
      <c r="AB59" s="7">
        <f>+M59+Q59+V59+AA59</f>
        <v>189702664</v>
      </c>
      <c r="AC59" s="360">
        <f>+'[4]TÉC ENE-MAR-11'!$G$265</f>
        <v>33138428</v>
      </c>
      <c r="AD59" s="360">
        <f>+'[4]TÉC ABR-JUN-11'!$G$350</f>
        <v>39443388</v>
      </c>
      <c r="AE59" s="360">
        <f>+'[4]TEC JUL-SEP-11'!$G$313</f>
        <v>46888196</v>
      </c>
      <c r="AF59" s="360">
        <f>+'[4]TEC OCT-DIC'!$G$370</f>
        <v>69122408</v>
      </c>
      <c r="AG59" s="360">
        <f>SUM(AC59:AF59)</f>
        <v>188592420</v>
      </c>
      <c r="AH59" s="7">
        <f>+M59-AC59</f>
        <v>0</v>
      </c>
      <c r="AI59" s="12">
        <f>+Q59-AD59</f>
        <v>0</v>
      </c>
      <c r="AJ59" s="7">
        <f>+V59-AE59</f>
        <v>0</v>
      </c>
      <c r="AK59" s="12">
        <f>+AA59-AF59</f>
        <v>1110244</v>
      </c>
      <c r="AL59" s="7">
        <f>+AB59</f>
        <v>189702664</v>
      </c>
      <c r="AM59" s="7">
        <f>+I59-AL59</f>
        <v>0</v>
      </c>
      <c r="AN59" s="7">
        <f>+AL59-AG59</f>
        <v>1110244</v>
      </c>
      <c r="AO59" s="130">
        <f>+AG59/I59</f>
        <v>0.9941474517194973</v>
      </c>
      <c r="AP59" s="130">
        <f>+AC59/M59</f>
        <v>1</v>
      </c>
      <c r="AQ59" s="130">
        <f t="shared" si="58"/>
        <v>1</v>
      </c>
      <c r="AR59" s="130">
        <f t="shared" si="59"/>
        <v>1</v>
      </c>
      <c r="AS59" s="135">
        <f t="shared" si="60"/>
        <v>0.9841919111925319</v>
      </c>
    </row>
    <row r="60" spans="1:45" ht="15" customHeight="1" collapsed="1" thickBot="1">
      <c r="A60" s="50" t="s">
        <v>233</v>
      </c>
      <c r="B60" s="50">
        <v>1374122930</v>
      </c>
      <c r="C60" s="50"/>
      <c r="D60" s="50"/>
      <c r="E60" s="50"/>
      <c r="F60" s="50">
        <v>66584098</v>
      </c>
      <c r="G60" s="50"/>
      <c r="H60" s="50"/>
      <c r="I60" s="50">
        <f>SUM(B60:H60)</f>
        <v>1440707028</v>
      </c>
      <c r="J60" s="50"/>
      <c r="K60" s="50"/>
      <c r="L60" s="50">
        <f>+AC60-J60</f>
        <v>0</v>
      </c>
      <c r="M60" s="50">
        <f>+J60+L60</f>
        <v>0</v>
      </c>
      <c r="N60" s="50">
        <v>0</v>
      </c>
      <c r="O60" s="50"/>
      <c r="P60" s="50">
        <f t="shared" si="52"/>
        <v>0</v>
      </c>
      <c r="Q60" s="50">
        <f t="shared" si="40"/>
        <v>0</v>
      </c>
      <c r="R60" s="50">
        <v>85000000</v>
      </c>
      <c r="S60" s="50"/>
      <c r="T60" s="50"/>
      <c r="U60" s="50">
        <f>-R60-S60-T60+AE60</f>
        <v>-22011681</v>
      </c>
      <c r="V60" s="50">
        <f t="shared" si="56"/>
        <v>62988319</v>
      </c>
      <c r="W60" s="50">
        <v>15000000</v>
      </c>
      <c r="X60" s="50"/>
      <c r="Y60" s="50"/>
      <c r="Z60" s="50"/>
      <c r="AA60" s="50">
        <f>+SUM(W60:Z60)</f>
        <v>15000000</v>
      </c>
      <c r="AB60" s="50">
        <f>+M60+Q60+V60+AA60</f>
        <v>77988319</v>
      </c>
      <c r="AC60" s="50">
        <v>0</v>
      </c>
      <c r="AD60" s="50">
        <v>0</v>
      </c>
      <c r="AE60" s="50">
        <f>+'[4]TEC JUL-SEP-11'!$G$336</f>
        <v>62988319</v>
      </c>
      <c r="AF60" s="50">
        <f>+'[4]TEC OCT-DIC'!$G$430</f>
        <v>14042589</v>
      </c>
      <c r="AG60" s="50">
        <f>SUM(AC60:AF60)</f>
        <v>77030908</v>
      </c>
      <c r="AH60" s="50">
        <f>+M60-AC60</f>
        <v>0</v>
      </c>
      <c r="AI60" s="50">
        <f>+Q60-AD60</f>
        <v>0</v>
      </c>
      <c r="AJ60" s="50">
        <f>+V60-AE60</f>
        <v>0</v>
      </c>
      <c r="AK60" s="50">
        <f>+AA60-AF60</f>
        <v>957411</v>
      </c>
      <c r="AL60" s="50">
        <f>+AB60</f>
        <v>77988319</v>
      </c>
      <c r="AM60" s="50">
        <f>+I60-AL60</f>
        <v>1362718709</v>
      </c>
      <c r="AN60" s="50">
        <f>+AL60-AG60</f>
        <v>957411</v>
      </c>
      <c r="AO60" s="148">
        <f>+AG60/I60</f>
        <v>0.053467434046556205</v>
      </c>
      <c r="AP60" s="148">
        <v>0</v>
      </c>
      <c r="AQ60" s="148">
        <v>0</v>
      </c>
      <c r="AR60" s="148">
        <f t="shared" si="59"/>
        <v>1</v>
      </c>
      <c r="AS60" s="148">
        <f t="shared" si="60"/>
        <v>0.9361726</v>
      </c>
    </row>
    <row r="61" spans="1:45" ht="15" customHeight="1" thickBot="1">
      <c r="A61" s="189"/>
      <c r="B61" s="27"/>
      <c r="C61" s="150"/>
      <c r="D61" s="150"/>
      <c r="E61" s="150"/>
      <c r="F61" s="150"/>
      <c r="G61" s="150"/>
      <c r="H61" s="150"/>
      <c r="I61" s="27"/>
      <c r="J61" s="53"/>
      <c r="K61" s="53"/>
      <c r="L61" s="97"/>
      <c r="M61" s="27"/>
      <c r="N61" s="11"/>
      <c r="O61" s="150"/>
      <c r="P61" s="150"/>
      <c r="Q61" s="11"/>
      <c r="R61" s="11"/>
      <c r="S61" s="11"/>
      <c r="T61" s="11"/>
      <c r="U61" s="11"/>
      <c r="V61" s="11"/>
      <c r="W61" s="11"/>
      <c r="X61" s="11"/>
      <c r="Y61" s="11"/>
      <c r="Z61" s="97"/>
      <c r="AA61" s="11"/>
      <c r="AB61" s="11"/>
      <c r="AC61" s="27"/>
      <c r="AD61" s="27"/>
      <c r="AE61" s="27"/>
      <c r="AF61" s="27"/>
      <c r="AG61" s="27"/>
      <c r="AH61" s="11"/>
      <c r="AI61" s="27"/>
      <c r="AJ61" s="27"/>
      <c r="AK61" s="27"/>
      <c r="AL61" s="11"/>
      <c r="AM61" s="11"/>
      <c r="AN61" s="11"/>
      <c r="AO61" s="146"/>
      <c r="AP61" s="146"/>
      <c r="AQ61" s="146"/>
      <c r="AR61" s="146"/>
      <c r="AS61" s="180"/>
    </row>
    <row r="62" spans="1:45" ht="15" customHeight="1" thickBot="1">
      <c r="A62" s="50" t="s">
        <v>57</v>
      </c>
      <c r="B62" s="50">
        <f>+B60+B35</f>
        <v>2484904667</v>
      </c>
      <c r="C62" s="50">
        <f aca="true" t="shared" si="63" ref="C62:AN62">+C35</f>
        <v>0</v>
      </c>
      <c r="D62" s="50">
        <f>+D35</f>
        <v>0</v>
      </c>
      <c r="E62" s="50">
        <f>+E35</f>
        <v>0</v>
      </c>
      <c r="F62" s="50">
        <f>+F35</f>
        <v>-387000000</v>
      </c>
      <c r="G62" s="50"/>
      <c r="H62" s="50">
        <f>+H35</f>
        <v>0</v>
      </c>
      <c r="I62" s="50">
        <f t="shared" si="63"/>
        <v>723781737</v>
      </c>
      <c r="J62" s="50">
        <f>+J35</f>
        <v>194098040</v>
      </c>
      <c r="K62" s="50"/>
      <c r="L62" s="50">
        <f t="shared" si="63"/>
        <v>0</v>
      </c>
      <c r="M62" s="50">
        <f t="shared" si="63"/>
        <v>80325359.2</v>
      </c>
      <c r="N62" s="50">
        <f t="shared" si="63"/>
        <v>158505645</v>
      </c>
      <c r="O62" s="50">
        <f>+O35</f>
        <v>0</v>
      </c>
      <c r="P62" s="50">
        <f>+P35</f>
        <v>-15289238</v>
      </c>
      <c r="Q62" s="50">
        <f t="shared" si="63"/>
        <v>143216407</v>
      </c>
      <c r="R62" s="50">
        <f t="shared" si="63"/>
        <v>258047966</v>
      </c>
      <c r="S62" s="50">
        <f>+S35</f>
        <v>0</v>
      </c>
      <c r="T62" s="50">
        <f>+T35</f>
        <v>0</v>
      </c>
      <c r="U62" s="50">
        <f>+U35</f>
        <v>-92268315</v>
      </c>
      <c r="V62" s="50">
        <f t="shared" si="63"/>
        <v>187791332</v>
      </c>
      <c r="W62" s="50">
        <f>+W35</f>
        <v>288894282</v>
      </c>
      <c r="X62" s="50">
        <f>+X35</f>
        <v>0</v>
      </c>
      <c r="Y62" s="50">
        <f>+Y35</f>
        <v>0</v>
      </c>
      <c r="Z62" s="50">
        <f t="shared" si="63"/>
        <v>0</v>
      </c>
      <c r="AA62" s="50">
        <f t="shared" si="63"/>
        <v>273894282</v>
      </c>
      <c r="AB62" s="50">
        <f t="shared" si="63"/>
        <v>685227380.2</v>
      </c>
      <c r="AC62" s="50">
        <f t="shared" si="63"/>
        <v>80325359.2</v>
      </c>
      <c r="AD62" s="50">
        <f t="shared" si="63"/>
        <v>143216407</v>
      </c>
      <c r="AE62" s="50">
        <f>+AE35</f>
        <v>187791332</v>
      </c>
      <c r="AF62" s="50">
        <f>+AF35</f>
        <v>264190471</v>
      </c>
      <c r="AG62" s="50">
        <f>+AG35</f>
        <v>675523569.2</v>
      </c>
      <c r="AH62" s="50">
        <f t="shared" si="63"/>
        <v>0</v>
      </c>
      <c r="AI62" s="50">
        <f t="shared" si="63"/>
        <v>0</v>
      </c>
      <c r="AJ62" s="50">
        <f t="shared" si="63"/>
        <v>0</v>
      </c>
      <c r="AK62" s="50">
        <f>+AK35</f>
        <v>9703811</v>
      </c>
      <c r="AL62" s="50">
        <f t="shared" si="63"/>
        <v>685227380.2</v>
      </c>
      <c r="AM62" s="50">
        <f t="shared" si="63"/>
        <v>38554356.8</v>
      </c>
      <c r="AN62" s="50">
        <f t="shared" si="63"/>
        <v>9703811</v>
      </c>
      <c r="AO62" s="148">
        <f>+AG62/I62</f>
        <v>0.9333249716965435</v>
      </c>
      <c r="AP62" s="148">
        <f>+AC62/M62</f>
        <v>1</v>
      </c>
      <c r="AQ62" s="148">
        <f>+AD62/Q62</f>
        <v>1</v>
      </c>
      <c r="AR62" s="148">
        <f>+AE62/V62</f>
        <v>1</v>
      </c>
      <c r="AS62" s="148">
        <f>+AF62/AA62</f>
        <v>0.9645709617260283</v>
      </c>
    </row>
    <row r="63" spans="1:45" ht="15" customHeight="1" thickBot="1">
      <c r="A63" s="171"/>
      <c r="B63" s="47"/>
      <c r="C63" s="48"/>
      <c r="D63" s="48"/>
      <c r="E63" s="48"/>
      <c r="F63" s="48"/>
      <c r="G63" s="48"/>
      <c r="H63" s="48"/>
      <c r="I63" s="47"/>
      <c r="J63" s="49"/>
      <c r="K63" s="49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7"/>
      <c r="AD63" s="47"/>
      <c r="AE63" s="47"/>
      <c r="AF63" s="47"/>
      <c r="AG63" s="47"/>
      <c r="AH63" s="48"/>
      <c r="AI63" s="48"/>
      <c r="AJ63" s="48"/>
      <c r="AK63" s="48"/>
      <c r="AL63" s="48"/>
      <c r="AM63" s="48"/>
      <c r="AN63" s="48"/>
      <c r="AO63" s="151"/>
      <c r="AP63" s="70"/>
      <c r="AQ63" s="70"/>
      <c r="AR63" s="70"/>
      <c r="AS63" s="190"/>
    </row>
    <row r="64" spans="1:45" ht="15" customHeight="1" thickBot="1">
      <c r="A64" s="50" t="s">
        <v>104</v>
      </c>
      <c r="B64" s="50">
        <f>+B21+B32+B62+B60</f>
        <v>4155102906.2674356</v>
      </c>
      <c r="C64" s="50">
        <f aca="true" t="shared" si="64" ref="C64:AN64">+C21+C32+C62+C60</f>
        <v>0</v>
      </c>
      <c r="D64" s="50">
        <f t="shared" si="64"/>
        <v>0</v>
      </c>
      <c r="E64" s="50">
        <f t="shared" si="64"/>
        <v>0</v>
      </c>
      <c r="F64" s="50">
        <f t="shared" si="64"/>
        <v>-320415902</v>
      </c>
      <c r="G64" s="50"/>
      <c r="H64" s="50">
        <f t="shared" si="64"/>
        <v>0</v>
      </c>
      <c r="I64" s="50">
        <f t="shared" si="64"/>
        <v>2460564074.2674356</v>
      </c>
      <c r="J64" s="50">
        <f t="shared" si="64"/>
        <v>259202111.11840683</v>
      </c>
      <c r="K64" s="50">
        <f t="shared" si="64"/>
        <v>0</v>
      </c>
      <c r="L64" s="50">
        <f t="shared" si="64"/>
        <v>-4561079.118406836</v>
      </c>
      <c r="M64" s="50">
        <f t="shared" si="64"/>
        <v>140868351.2</v>
      </c>
      <c r="N64" s="50">
        <f t="shared" si="64"/>
        <v>234493709.53432193</v>
      </c>
      <c r="O64" s="50">
        <f t="shared" si="64"/>
        <v>0</v>
      </c>
      <c r="P64" s="50">
        <f t="shared" si="64"/>
        <v>-20965903.53432194</v>
      </c>
      <c r="Q64" s="50">
        <f t="shared" si="64"/>
        <v>213527806</v>
      </c>
      <c r="R64" s="50">
        <f t="shared" si="64"/>
        <v>417236030.5343219</v>
      </c>
      <c r="S64" s="50">
        <f t="shared" si="64"/>
        <v>0</v>
      </c>
      <c r="T64" s="50">
        <f>+T21+T32+T62+T60</f>
        <v>0</v>
      </c>
      <c r="U64" s="50">
        <f t="shared" si="64"/>
        <v>-114896037.97432195</v>
      </c>
      <c r="V64" s="50">
        <f t="shared" si="64"/>
        <v>324351673.56</v>
      </c>
      <c r="W64" s="50">
        <f>+W62+W32+W21</f>
        <v>380543177.7074355</v>
      </c>
      <c r="X64" s="50">
        <f t="shared" si="64"/>
        <v>0</v>
      </c>
      <c r="Y64" s="50">
        <f t="shared" si="64"/>
        <v>0</v>
      </c>
      <c r="Z64" s="50">
        <f t="shared" si="64"/>
        <v>0</v>
      </c>
      <c r="AA64" s="50">
        <f t="shared" si="64"/>
        <v>380543177.7074355</v>
      </c>
      <c r="AB64" s="50">
        <f t="shared" si="64"/>
        <v>1059291008.4674356</v>
      </c>
      <c r="AC64" s="50">
        <f t="shared" si="64"/>
        <v>140868351.2</v>
      </c>
      <c r="AD64" s="50">
        <f>+AD21+AD32+AD62+AD60</f>
        <v>213527806</v>
      </c>
      <c r="AE64" s="50">
        <f>+AE21+AE32+AE62+AE60</f>
        <v>324351673.56</v>
      </c>
      <c r="AF64" s="50">
        <f>+AF21+AF32+AF62+AF60</f>
        <v>353652977</v>
      </c>
      <c r="AG64" s="50">
        <f>+AG21+AG32+AG62+AG60</f>
        <v>1032400807.76</v>
      </c>
      <c r="AH64" s="50">
        <f t="shared" si="64"/>
        <v>0</v>
      </c>
      <c r="AI64" s="50">
        <f t="shared" si="64"/>
        <v>0</v>
      </c>
      <c r="AJ64" s="50">
        <f t="shared" si="64"/>
        <v>0</v>
      </c>
      <c r="AK64" s="50">
        <f t="shared" si="64"/>
        <v>26890200.70743549</v>
      </c>
      <c r="AL64" s="50">
        <f t="shared" si="64"/>
        <v>1059291008.4674356</v>
      </c>
      <c r="AM64" s="50">
        <f t="shared" si="64"/>
        <v>1401273065.8</v>
      </c>
      <c r="AN64" s="50">
        <f t="shared" si="64"/>
        <v>26890200.70743549</v>
      </c>
      <c r="AO64" s="148">
        <f>+AG64/I64</f>
        <v>0.4195789162968124</v>
      </c>
      <c r="AP64" s="148">
        <f>+AC64/M64</f>
        <v>1</v>
      </c>
      <c r="AQ64" s="148">
        <f>+AD64/Q64</f>
        <v>1</v>
      </c>
      <c r="AR64" s="148">
        <f>+AE64/V64</f>
        <v>1</v>
      </c>
      <c r="AS64" s="148">
        <f>+AF64/AA64</f>
        <v>0.9293373202235966</v>
      </c>
    </row>
    <row r="65" ht="15" customHeight="1"/>
    <row r="66" ht="15" customHeight="1"/>
  </sheetData>
  <sheetProtection/>
  <mergeCells count="10">
    <mergeCell ref="W7:AA7"/>
    <mergeCell ref="C7:C8"/>
    <mergeCell ref="A7:A8"/>
    <mergeCell ref="R7:V7"/>
    <mergeCell ref="J7:M7"/>
    <mergeCell ref="N7:Q7"/>
    <mergeCell ref="D7:D8"/>
    <mergeCell ref="E7:E8"/>
    <mergeCell ref="F7:F8"/>
    <mergeCell ref="G7:G8"/>
  </mergeCells>
  <printOptions horizontalCentered="1" verticalCentered="1"/>
  <pageMargins left="0.8267716535433072" right="0.15748031496062992" top="0.2755905511811024" bottom="0.31496062992125984" header="0.2362204724409449" footer="0"/>
  <pageSetup horizontalDpi="600" verticalDpi="600" orientation="landscape" scale="69" r:id="rId3"/>
  <colBreaks count="1" manualBreakCount="1">
    <brk id="41" max="6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Fondo Nal. de la Porcicultura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LuisRicardoPaez</dc:creator>
  <cp:keywords/>
  <dc:description/>
  <cp:lastModifiedBy>Sandra Gonzalez</cp:lastModifiedBy>
  <cp:lastPrinted>2013-04-25T14:37:44Z</cp:lastPrinted>
  <dcterms:created xsi:type="dcterms:W3CDTF">2009-01-06T14:02:35Z</dcterms:created>
  <dcterms:modified xsi:type="dcterms:W3CDTF">2019-11-18T20:35:02Z</dcterms:modified>
  <cp:category/>
  <cp:version/>
  <cp:contentType/>
  <cp:contentStatus/>
</cp:coreProperties>
</file>